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ks074\Documents\ABM-MOEA REPO\BETO-ABM-MOEA\"/>
    </mc:Choice>
  </mc:AlternateContent>
  <xr:revisionPtr revIDLastSave="0" documentId="13_ncr:1_{4C02AC99-4FF8-461F-99CB-69B3D3577B7A}" xr6:coauthVersionLast="47" xr6:coauthVersionMax="47" xr10:uidLastSave="{00000000-0000-0000-0000-000000000000}"/>
  <bookViews>
    <workbookView xWindow="0" yWindow="90" windowWidth="19755" windowHeight="20910" tabRatio="602" firstSheet="2" activeTab="6" xr2:uid="{828EDBD2-2078-5D4F-A1A0-69F25A94E2E3}"/>
  </bookViews>
  <sheets>
    <sheet name="README" sheetId="3" r:id="rId1"/>
    <sheet name="ExpData" sheetId="10" r:id="rId2"/>
    <sheet name="General" sheetId="8" r:id="rId3"/>
    <sheet name="TEA" sheetId="1" r:id="rId4"/>
    <sheet name="NPV Solver" sheetId="5" r:id="rId5"/>
    <sheet name="Baseline NPV" sheetId="21" r:id="rId6"/>
    <sheet name="LCA" sheetId="2" r:id="rId7"/>
    <sheet name="LCI" sheetId="9" r:id="rId8"/>
    <sheet name="SubstanceList" sheetId="31" r:id="rId9"/>
    <sheet name="I_O" sheetId="7" r:id="rId10"/>
    <sheet name="SoyCult" sheetId="23" r:id="rId11"/>
    <sheet name="CornCult" sheetId="13" r:id="rId12"/>
    <sheet name="MiscCult" sheetId="17" r:id="rId13"/>
    <sheet name="SwitchCult" sheetId="25" r:id="rId14"/>
    <sheet name="PopCult" sheetId="26" r:id="rId15"/>
    <sheet name="AlgaeCult" sheetId="18" r:id="rId16"/>
    <sheet name="StarchFerm" sheetId="14" r:id="rId17"/>
    <sheet name="AcidHydFerm" sheetId="16" r:id="rId18"/>
    <sheet name="HTL" sheetId="19" r:id="rId19"/>
    <sheet name="Pyrol" sheetId="28" r:id="rId20"/>
    <sheet name="HexExt" sheetId="15" r:id="rId21"/>
    <sheet name="Transest" sheetId="24" r:id="rId22"/>
    <sheet name="Fischer-Tropsch" sheetId="30" r:id="rId23"/>
    <sheet name="Gasification" sheetId="29" r:id="rId24"/>
    <sheet name="HydroProc" sheetId="27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AcFt_Per_Gal">'[1]Conversions Page'!$D$12</definedName>
    <definedName name="Acre_p_ha">'[1]Conversions Page'!$D$4</definedName>
    <definedName name="Aglime_Per_Ha_I">[1]Inputs!$A$13</definedName>
    <definedName name="ash_content">'[2]Independent Variables'!$C$10</definedName>
    <definedName name="biochar_yield">'[3]Process Models'!$H$9</definedName>
    <definedName name="biocrude_yield">'[3]Process Models'!$H$8</definedName>
    <definedName name="biomass_input">'[2]Independent Variables'!$C$5</definedName>
    <definedName name="Bushel_per_kg">'[1]Conversions Page'!$D$10</definedName>
    <definedName name="Bushels_CG">'[1]Process Model'!$C$156</definedName>
    <definedName name="CO2_per_ha_I">[1]Inputs!$A$15</definedName>
    <definedName name="conversion_tonne_to_kilograms">[4]Conversions!$E$2</definedName>
    <definedName name="conversions_megajoule_to_kilojoules">[4]Conversions!$E$3</definedName>
    <definedName name="Diesel_per_ha_I">[1]Inputs!$F$6</definedName>
    <definedName name="drying_heat">'[2]Independent Variables'!$C$11</definedName>
    <definedName name="Full_Prod" localSheetId="10">[5]TEA!$C$95</definedName>
    <definedName name="Full_Prod">[6]TEA!$C$100</definedName>
    <definedName name="Gal_BD_Out" localSheetId="10">'[7]Process Model'!$R$12</definedName>
    <definedName name="Gal_BD_Out">#REF!</definedName>
    <definedName name="h2O_Avail_per_ha">[1]Inputs!$A$16</definedName>
    <definedName name="Herb_per_Ha_I">[1]Inputs!$A$14</definedName>
    <definedName name="hours">'[2]Independent Variables'!$C$4</definedName>
    <definedName name="K_Per_Ha_I">[1]Inputs!$A$8</definedName>
    <definedName name="K2O_reqd_per_ha">[1]Inputs!$K$25</definedName>
    <definedName name="kg_per_lb">'[1]Conversions Page'!$D$7</definedName>
    <definedName name="Km_f_Mi">'[1]Conversions Page'!$D$3</definedName>
    <definedName name="L_per_Gal">'[1]Conversions Page'!$D$11</definedName>
    <definedName name="Labor_p_ha_I">[1]Inputs!$F$5</definedName>
    <definedName name="m3_per_Gal">'[1]Conversions Page'!$D$13</definedName>
    <definedName name="MESP">[1]TEA!$C$101</definedName>
    <definedName name="MFSP" localSheetId="10">[5]TEA!$C$98</definedName>
    <definedName name="MFSP">[6]TEA!$C$103</definedName>
    <definedName name="N_Per_Ha_I">[1]Inputs!$A$6</definedName>
    <definedName name="N_reqd_per_ha">[1]Inputs!$K$23</definedName>
    <definedName name="P_Per_Ha_I">[1]Inputs!$A$7</definedName>
    <definedName name="P2O5_reqd_per_ha">[1]Inputs!$K$24</definedName>
    <definedName name="percent_solids">'[2]Independent Variables'!$C$6</definedName>
    <definedName name="Precip">[1]Inputs!$K$10</definedName>
    <definedName name="process_electricity">'[2]Independent Variables'!$C$13</definedName>
    <definedName name="process_heat">'[2]Independent Variables'!$C$12</definedName>
    <definedName name="S_reqd_per_ha">[1]Inputs!$K$26</definedName>
    <definedName name="Scale_Farm_Size" localSheetId="10">[5]TEA!$C$5</definedName>
    <definedName name="Scale_Farm_Size">[6]TEA!$C$5</definedName>
    <definedName name="Seeds_per_ha_I">[1]Inputs!$A$5</definedName>
    <definedName name="shifts">'[2]Independent Variables'!$C$3</definedName>
    <definedName name="Total_Mass_From_Soil_I">[1]Inputs!$K$15</definedName>
    <definedName name="up_time">'[2]Independent Variables'!$C$2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3" l="1"/>
  <c r="B19" i="23"/>
  <c r="AT4" i="5"/>
  <c r="B79" i="1"/>
  <c r="B25" i="1"/>
  <c r="B123" i="1"/>
  <c r="O190" i="7"/>
  <c r="O227" i="7"/>
  <c r="O247" i="7"/>
  <c r="B10" i="1" s="1"/>
  <c r="G73" i="9"/>
  <c r="C173" i="7"/>
  <c r="D173" i="7"/>
  <c r="E173" i="7"/>
  <c r="F173" i="7"/>
  <c r="G173" i="7"/>
  <c r="H173" i="7"/>
  <c r="I173" i="7"/>
  <c r="J173" i="7"/>
  <c r="K173" i="7"/>
  <c r="L173" i="7"/>
  <c r="B173" i="7"/>
  <c r="G53" i="9"/>
  <c r="C191" i="7"/>
  <c r="D191" i="7"/>
  <c r="E191" i="7"/>
  <c r="F191" i="7"/>
  <c r="G191" i="7"/>
  <c r="H191" i="7"/>
  <c r="I191" i="7"/>
  <c r="J191" i="7"/>
  <c r="K191" i="7"/>
  <c r="L191" i="7"/>
  <c r="B191" i="7"/>
  <c r="B35" i="28"/>
  <c r="B34" i="28"/>
  <c r="B33" i="28"/>
  <c r="B23" i="28"/>
  <c r="B24" i="28"/>
  <c r="B25" i="28"/>
  <c r="B26" i="28"/>
  <c r="B27" i="28"/>
  <c r="B28" i="28"/>
  <c r="B29" i="28"/>
  <c r="B22" i="28"/>
  <c r="B21" i="28"/>
  <c r="O4" i="23"/>
  <c r="B33" i="19" l="1"/>
  <c r="J4" i="24"/>
  <c r="L8" i="15"/>
  <c r="O12" i="23"/>
  <c r="O5" i="23"/>
  <c r="O18" i="23"/>
  <c r="K6" i="13"/>
  <c r="O24" i="23"/>
  <c r="O17" i="23" s="1"/>
  <c r="O10" i="23"/>
  <c r="F6" i="10"/>
  <c r="I6" i="10"/>
  <c r="F7" i="10"/>
  <c r="F8" i="10"/>
  <c r="F9" i="10"/>
  <c r="F10" i="10"/>
  <c r="F11" i="10"/>
  <c r="F12" i="10"/>
  <c r="I12" i="10"/>
  <c r="F13" i="10"/>
  <c r="F14" i="10"/>
  <c r="F15" i="10"/>
  <c r="I15" i="10"/>
  <c r="F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B6" i="10"/>
  <c r="B7" i="10"/>
  <c r="B8" i="10"/>
  <c r="B9" i="10"/>
  <c r="B10" i="10"/>
  <c r="B11" i="10"/>
  <c r="B12" i="10"/>
  <c r="B13" i="10"/>
  <c r="B14" i="10"/>
  <c r="B15" i="10"/>
  <c r="C15" i="10"/>
  <c r="B17" i="10"/>
  <c r="C17" i="10"/>
  <c r="D17" i="10"/>
  <c r="E17" i="10"/>
  <c r="A11" i="10"/>
  <c r="A12" i="10"/>
  <c r="A13" i="10"/>
  <c r="A14" i="10"/>
  <c r="A15" i="10"/>
  <c r="A16" i="10"/>
  <c r="A17" i="10"/>
  <c r="A7" i="10"/>
  <c r="A8" i="10"/>
  <c r="A9" i="10"/>
  <c r="A10" i="10"/>
  <c r="A6" i="10"/>
  <c r="A154" i="7"/>
  <c r="A44" i="7"/>
  <c r="A50" i="7"/>
  <c r="K21" i="25"/>
  <c r="K9" i="25" s="1"/>
  <c r="K4" i="25"/>
  <c r="K6" i="25"/>
  <c r="K7" i="25"/>
  <c r="K5" i="25" s="1"/>
  <c r="E11" i="7"/>
  <c r="D13" i="7"/>
  <c r="D11" i="7"/>
  <c r="K9" i="13"/>
  <c r="E13" i="7" s="1"/>
  <c r="K14" i="17"/>
  <c r="K13" i="17"/>
  <c r="K12" i="17"/>
  <c r="K11" i="17"/>
  <c r="K10" i="17"/>
  <c r="K9" i="17"/>
  <c r="K18" i="17"/>
  <c r="K4" i="17" s="1"/>
  <c r="K5" i="17"/>
  <c r="B31" i="19"/>
  <c r="F1" i="10"/>
  <c r="G1" i="10"/>
  <c r="F2" i="1"/>
  <c r="F2" i="5"/>
  <c r="F2" i="21"/>
  <c r="G2" i="21"/>
  <c r="F2" i="7"/>
  <c r="K25" i="13"/>
  <c r="L4" i="16" s="1"/>
  <c r="L18" i="16" s="1"/>
  <c r="O14" i="23" l="1"/>
  <c r="O6" i="23"/>
  <c r="O8" i="23"/>
  <c r="O7" i="23"/>
  <c r="O13" i="23"/>
  <c r="K17" i="25"/>
  <c r="K16" i="25"/>
  <c r="K14" i="25"/>
  <c r="K15" i="25"/>
  <c r="K13" i="25"/>
  <c r="K12" i="25"/>
  <c r="K11" i="25"/>
  <c r="K10" i="25"/>
  <c r="K8" i="25"/>
  <c r="B36" i="19"/>
  <c r="B35" i="19"/>
  <c r="B34" i="19"/>
  <c r="B32" i="19"/>
  <c r="B41" i="19"/>
  <c r="B40" i="19"/>
  <c r="K7" i="17"/>
  <c r="K8" i="17"/>
  <c r="K6" i="17"/>
  <c r="Q16" i="15"/>
  <c r="Q15" i="15"/>
  <c r="Q11" i="15"/>
  <c r="Q10" i="15"/>
  <c r="I40" i="7" s="1"/>
  <c r="Q9" i="15"/>
  <c r="Q8" i="15"/>
  <c r="Q7" i="15"/>
  <c r="Q6" i="15"/>
  <c r="Q5" i="15"/>
  <c r="L15" i="16"/>
  <c r="L16" i="16"/>
  <c r="L24" i="16"/>
  <c r="L14" i="16"/>
  <c r="L23" i="16" s="1"/>
  <c r="L13" i="16"/>
  <c r="L10" i="16"/>
  <c r="L9" i="16"/>
  <c r="L8" i="16"/>
  <c r="L5" i="16"/>
  <c r="L7" i="16"/>
  <c r="L12" i="16"/>
  <c r="L11" i="16"/>
  <c r="L19" i="16"/>
  <c r="L6" i="16"/>
  <c r="L17" i="16"/>
  <c r="K24" i="13" l="1"/>
  <c r="K19" i="13"/>
  <c r="K18" i="13"/>
  <c r="K13" i="13"/>
  <c r="K14" i="13"/>
  <c r="K15" i="13"/>
  <c r="K16" i="13"/>
  <c r="K17" i="13"/>
  <c r="K12" i="13"/>
  <c r="K11" i="13"/>
  <c r="K7" i="13"/>
  <c r="K8" i="13"/>
  <c r="K10" i="13"/>
  <c r="K5" i="13"/>
  <c r="O15" i="23"/>
  <c r="B35" i="7" s="1"/>
  <c r="B194" i="7" s="1"/>
  <c r="O194" i="7" s="1"/>
  <c r="D24" i="7" l="1"/>
  <c r="E24" i="7"/>
  <c r="D28" i="7"/>
  <c r="E28" i="7"/>
  <c r="E33" i="7"/>
  <c r="D33" i="7"/>
  <c r="E26" i="7"/>
  <c r="D26" i="7"/>
  <c r="D21" i="7"/>
  <c r="E21" i="7"/>
  <c r="E35" i="7"/>
  <c r="D35" i="7"/>
  <c r="E31" i="7"/>
  <c r="D31" i="7"/>
  <c r="E16" i="7"/>
  <c r="D16" i="7"/>
  <c r="E9" i="7"/>
  <c r="D9" i="7"/>
  <c r="E23" i="7"/>
  <c r="D23" i="7"/>
  <c r="D8" i="7"/>
  <c r="E8" i="7"/>
  <c r="E20" i="7"/>
  <c r="D20" i="7"/>
  <c r="K4" i="13"/>
  <c r="K4" i="14"/>
  <c r="E32" i="7"/>
  <c r="D32" i="7"/>
  <c r="B5" i="13"/>
  <c r="K20" i="13" s="1"/>
  <c r="C79" i="1"/>
  <c r="D79" i="1"/>
  <c r="E79" i="1"/>
  <c r="G79" i="1"/>
  <c r="H79" i="1"/>
  <c r="I79" i="1"/>
  <c r="J79" i="1"/>
  <c r="K79" i="1"/>
  <c r="L79" i="1"/>
  <c r="M79" i="1"/>
  <c r="N79" i="1"/>
  <c r="O79" i="1"/>
  <c r="P79" i="1"/>
  <c r="Q79" i="1"/>
  <c r="C80" i="1"/>
  <c r="D80" i="1"/>
  <c r="E80" i="1"/>
  <c r="G80" i="1"/>
  <c r="H80" i="1"/>
  <c r="I80" i="1"/>
  <c r="J80" i="1"/>
  <c r="K80" i="1"/>
  <c r="L80" i="1"/>
  <c r="M80" i="1"/>
  <c r="N80" i="1"/>
  <c r="O80" i="1"/>
  <c r="P80" i="1"/>
  <c r="Q80" i="1"/>
  <c r="C82" i="1"/>
  <c r="D82" i="1"/>
  <c r="E82" i="1"/>
  <c r="G82" i="1"/>
  <c r="H82" i="1"/>
  <c r="I82" i="1"/>
  <c r="J82" i="1"/>
  <c r="K82" i="1"/>
  <c r="L82" i="1"/>
  <c r="M82" i="1"/>
  <c r="N82" i="1"/>
  <c r="O82" i="1"/>
  <c r="P82" i="1"/>
  <c r="Q82" i="1"/>
  <c r="C83" i="1"/>
  <c r="D83" i="1"/>
  <c r="E83" i="1"/>
  <c r="G83" i="1"/>
  <c r="H83" i="1"/>
  <c r="I83" i="1"/>
  <c r="J83" i="1"/>
  <c r="K83" i="1"/>
  <c r="L83" i="1"/>
  <c r="M83" i="1"/>
  <c r="N83" i="1"/>
  <c r="O83" i="1"/>
  <c r="P83" i="1"/>
  <c r="Q83" i="1"/>
  <c r="C85" i="1"/>
  <c r="D85" i="1"/>
  <c r="E85" i="1"/>
  <c r="G85" i="1"/>
  <c r="H85" i="1"/>
  <c r="I85" i="1"/>
  <c r="J85" i="1"/>
  <c r="K85" i="1"/>
  <c r="L85" i="1"/>
  <c r="M85" i="1"/>
  <c r="N85" i="1"/>
  <c r="O85" i="1"/>
  <c r="P85" i="1"/>
  <c r="Q85" i="1"/>
  <c r="C86" i="1"/>
  <c r="D86" i="1"/>
  <c r="E86" i="1"/>
  <c r="G86" i="1"/>
  <c r="H86" i="1"/>
  <c r="I86" i="1"/>
  <c r="J86" i="1"/>
  <c r="K86" i="1"/>
  <c r="L86" i="1"/>
  <c r="M86" i="1"/>
  <c r="N86" i="1"/>
  <c r="O86" i="1"/>
  <c r="P86" i="1"/>
  <c r="Q86" i="1"/>
  <c r="C87" i="1"/>
  <c r="D87" i="1"/>
  <c r="E87" i="1"/>
  <c r="G87" i="1"/>
  <c r="H87" i="1"/>
  <c r="I87" i="1"/>
  <c r="J87" i="1"/>
  <c r="K87" i="1"/>
  <c r="L87" i="1"/>
  <c r="M87" i="1"/>
  <c r="N87" i="1"/>
  <c r="O87" i="1"/>
  <c r="P87" i="1"/>
  <c r="Q87" i="1"/>
  <c r="C88" i="1"/>
  <c r="D88" i="1"/>
  <c r="E88" i="1"/>
  <c r="G88" i="1"/>
  <c r="H88" i="1"/>
  <c r="I88" i="1"/>
  <c r="J88" i="1"/>
  <c r="K88" i="1"/>
  <c r="L88" i="1"/>
  <c r="M88" i="1"/>
  <c r="N88" i="1"/>
  <c r="O88" i="1"/>
  <c r="P88" i="1"/>
  <c r="Q88" i="1"/>
  <c r="C89" i="1"/>
  <c r="D89" i="1"/>
  <c r="E89" i="1"/>
  <c r="G89" i="1"/>
  <c r="H89" i="1"/>
  <c r="I89" i="1"/>
  <c r="J89" i="1"/>
  <c r="K89" i="1"/>
  <c r="L89" i="1"/>
  <c r="M89" i="1"/>
  <c r="N89" i="1"/>
  <c r="O89" i="1"/>
  <c r="P89" i="1"/>
  <c r="Q89" i="1"/>
  <c r="C90" i="1"/>
  <c r="D90" i="1"/>
  <c r="E90" i="1"/>
  <c r="G90" i="1"/>
  <c r="H90" i="1"/>
  <c r="I90" i="1"/>
  <c r="J90" i="1"/>
  <c r="K90" i="1"/>
  <c r="L90" i="1"/>
  <c r="M90" i="1"/>
  <c r="N90" i="1"/>
  <c r="O90" i="1"/>
  <c r="P90" i="1"/>
  <c r="Q90" i="1"/>
  <c r="B90" i="1"/>
  <c r="B89" i="1"/>
  <c r="B88" i="1"/>
  <c r="B87" i="1"/>
  <c r="B86" i="1"/>
  <c r="B85" i="1"/>
  <c r="B83" i="1"/>
  <c r="B82" i="1"/>
  <c r="B80" i="1"/>
  <c r="A33" i="27"/>
  <c r="A34" i="27"/>
  <c r="A35" i="27"/>
  <c r="A36" i="27"/>
  <c r="A37" i="27"/>
  <c r="A38" i="27"/>
  <c r="A32" i="27"/>
  <c r="A28" i="27"/>
  <c r="A27" i="27"/>
  <c r="A26" i="27"/>
  <c r="A25" i="27"/>
  <c r="A24" i="27"/>
  <c r="A23" i="27"/>
  <c r="A22" i="27"/>
  <c r="B9" i="27"/>
  <c r="C11" i="7"/>
  <c r="B11" i="7"/>
  <c r="I80" i="7"/>
  <c r="I79" i="7"/>
  <c r="I77" i="7"/>
  <c r="I75" i="7"/>
  <c r="I70" i="7"/>
  <c r="I69" i="7"/>
  <c r="I68" i="7"/>
  <c r="I62" i="7"/>
  <c r="I61" i="7"/>
  <c r="I43" i="7"/>
  <c r="I41" i="7"/>
  <c r="I34" i="7"/>
  <c r="I32" i="7"/>
  <c r="I29" i="7"/>
  <c r="I25" i="7"/>
  <c r="I24" i="7"/>
  <c r="I23" i="7"/>
  <c r="I14" i="7"/>
  <c r="I12" i="7"/>
  <c r="I10" i="7"/>
  <c r="I9" i="7"/>
  <c r="I8" i="7"/>
  <c r="I124" i="7"/>
  <c r="J124" i="7"/>
  <c r="K124" i="7"/>
  <c r="I108" i="7"/>
  <c r="J108" i="7"/>
  <c r="I92" i="7"/>
  <c r="J92" i="7"/>
  <c r="K92" i="7"/>
  <c r="L92" i="7"/>
  <c r="D10" i="7" l="1"/>
  <c r="E10" i="7"/>
  <c r="E14" i="7"/>
  <c r="E156" i="7" s="1"/>
  <c r="D14" i="7"/>
  <c r="D156" i="7" s="1"/>
  <c r="K25" i="14"/>
  <c r="K17" i="14"/>
  <c r="D61" i="7" s="1"/>
  <c r="K19" i="14"/>
  <c r="D46" i="7"/>
  <c r="D209" i="7" s="1"/>
  <c r="K16" i="14"/>
  <c r="K18" i="14"/>
  <c r="D40" i="7" s="1"/>
  <c r="D149" i="7" s="1"/>
  <c r="K13" i="14"/>
  <c r="K24" i="14" s="1"/>
  <c r="K12" i="14"/>
  <c r="D60" i="7" s="1"/>
  <c r="D189" i="7" s="1"/>
  <c r="K11" i="14"/>
  <c r="D57" i="7" s="1"/>
  <c r="K10" i="14"/>
  <c r="K14" i="14"/>
  <c r="D56" i="7" s="1"/>
  <c r="K9" i="14"/>
  <c r="K20" i="14"/>
  <c r="D41" i="7" s="1"/>
  <c r="D150" i="7" s="1"/>
  <c r="K15" i="14"/>
  <c r="K8" i="14"/>
  <c r="K7" i="14"/>
  <c r="K5" i="14"/>
  <c r="D58" i="7" s="1"/>
  <c r="D185" i="7" s="1"/>
  <c r="K6" i="14"/>
  <c r="D54" i="7" s="1"/>
  <c r="D180" i="7" s="1"/>
  <c r="C200" i="7"/>
  <c r="D200" i="7"/>
  <c r="E200" i="7"/>
  <c r="G200" i="7"/>
  <c r="H200" i="7"/>
  <c r="I200" i="7"/>
  <c r="J200" i="7"/>
  <c r="K200" i="7"/>
  <c r="L200" i="7"/>
  <c r="D201" i="7"/>
  <c r="E201" i="7"/>
  <c r="G201" i="7"/>
  <c r="H201" i="7"/>
  <c r="I201" i="7"/>
  <c r="J201" i="7"/>
  <c r="K201" i="7"/>
  <c r="L201" i="7"/>
  <c r="C202" i="7"/>
  <c r="D202" i="7"/>
  <c r="E202" i="7"/>
  <c r="G202" i="7"/>
  <c r="H202" i="7"/>
  <c r="I202" i="7"/>
  <c r="J202" i="7"/>
  <c r="K202" i="7"/>
  <c r="L202" i="7"/>
  <c r="C203" i="7"/>
  <c r="D203" i="7"/>
  <c r="E203" i="7"/>
  <c r="G203" i="7"/>
  <c r="H203" i="7"/>
  <c r="I203" i="7"/>
  <c r="J203" i="7"/>
  <c r="K203" i="7"/>
  <c r="L203" i="7"/>
  <c r="D204" i="7"/>
  <c r="E204" i="7"/>
  <c r="G204" i="7"/>
  <c r="H204" i="7"/>
  <c r="I204" i="7"/>
  <c r="J204" i="7"/>
  <c r="K204" i="7"/>
  <c r="L204" i="7"/>
  <c r="C205" i="7"/>
  <c r="D205" i="7"/>
  <c r="E205" i="7"/>
  <c r="G205" i="7"/>
  <c r="H205" i="7"/>
  <c r="I205" i="7"/>
  <c r="J205" i="7"/>
  <c r="K205" i="7"/>
  <c r="L205" i="7"/>
  <c r="C206" i="7"/>
  <c r="D206" i="7"/>
  <c r="E206" i="7"/>
  <c r="G206" i="7"/>
  <c r="H206" i="7"/>
  <c r="I206" i="7"/>
  <c r="J206" i="7"/>
  <c r="K206" i="7"/>
  <c r="L206" i="7"/>
  <c r="C207" i="7"/>
  <c r="D207" i="7"/>
  <c r="E207" i="7"/>
  <c r="G207" i="7"/>
  <c r="H207" i="7"/>
  <c r="I207" i="7"/>
  <c r="J207" i="7"/>
  <c r="K207" i="7"/>
  <c r="L207" i="7"/>
  <c r="C208" i="7"/>
  <c r="D208" i="7"/>
  <c r="E208" i="7"/>
  <c r="G208" i="7"/>
  <c r="H208" i="7"/>
  <c r="I208" i="7"/>
  <c r="J208" i="7"/>
  <c r="K208" i="7"/>
  <c r="L208" i="7"/>
  <c r="C209" i="7"/>
  <c r="E209" i="7"/>
  <c r="G209" i="7"/>
  <c r="H209" i="7"/>
  <c r="I209" i="7"/>
  <c r="J209" i="7"/>
  <c r="K209" i="7"/>
  <c r="L209" i="7"/>
  <c r="C210" i="7"/>
  <c r="D210" i="7"/>
  <c r="E210" i="7"/>
  <c r="G210" i="7"/>
  <c r="H210" i="7"/>
  <c r="I210" i="7"/>
  <c r="J210" i="7"/>
  <c r="K210" i="7"/>
  <c r="L210" i="7"/>
  <c r="C211" i="7"/>
  <c r="D211" i="7"/>
  <c r="E211" i="7"/>
  <c r="G211" i="7"/>
  <c r="H211" i="7"/>
  <c r="I211" i="7"/>
  <c r="J211" i="7"/>
  <c r="K211" i="7"/>
  <c r="L211" i="7"/>
  <c r="C212" i="7"/>
  <c r="D212" i="7"/>
  <c r="E212" i="7"/>
  <c r="G212" i="7"/>
  <c r="H212" i="7"/>
  <c r="I212" i="7"/>
  <c r="J212" i="7"/>
  <c r="K212" i="7"/>
  <c r="L212" i="7"/>
  <c r="C213" i="7"/>
  <c r="D213" i="7"/>
  <c r="E213" i="7"/>
  <c r="G213" i="7"/>
  <c r="H213" i="7"/>
  <c r="I213" i="7"/>
  <c r="J213" i="7"/>
  <c r="K213" i="7"/>
  <c r="L213" i="7"/>
  <c r="C214" i="7"/>
  <c r="D214" i="7"/>
  <c r="E214" i="7"/>
  <c r="G214" i="7"/>
  <c r="H214" i="7"/>
  <c r="I214" i="7"/>
  <c r="J214" i="7"/>
  <c r="K214" i="7"/>
  <c r="L214" i="7"/>
  <c r="C215" i="7"/>
  <c r="D215" i="7"/>
  <c r="E215" i="7"/>
  <c r="G215" i="7"/>
  <c r="H215" i="7"/>
  <c r="I215" i="7"/>
  <c r="J215" i="7"/>
  <c r="K215" i="7"/>
  <c r="L215" i="7"/>
  <c r="C216" i="7"/>
  <c r="D216" i="7"/>
  <c r="E216" i="7"/>
  <c r="G216" i="7"/>
  <c r="H216" i="7"/>
  <c r="I216" i="7"/>
  <c r="J216" i="7"/>
  <c r="K216" i="7"/>
  <c r="L216" i="7"/>
  <c r="C217" i="7"/>
  <c r="D217" i="7"/>
  <c r="E217" i="7"/>
  <c r="G217" i="7"/>
  <c r="H217" i="7"/>
  <c r="I217" i="7"/>
  <c r="J217" i="7"/>
  <c r="K217" i="7"/>
  <c r="L217" i="7"/>
  <c r="D218" i="7"/>
  <c r="E218" i="7"/>
  <c r="G218" i="7"/>
  <c r="H218" i="7"/>
  <c r="I218" i="7"/>
  <c r="J218" i="7"/>
  <c r="K218" i="7"/>
  <c r="L218" i="7"/>
  <c r="D219" i="7"/>
  <c r="E219" i="7"/>
  <c r="G219" i="7"/>
  <c r="H219" i="7"/>
  <c r="I219" i="7"/>
  <c r="J219" i="7"/>
  <c r="K219" i="7"/>
  <c r="L219" i="7"/>
  <c r="D220" i="7"/>
  <c r="E220" i="7"/>
  <c r="G220" i="7"/>
  <c r="H220" i="7"/>
  <c r="I220" i="7"/>
  <c r="J220" i="7"/>
  <c r="K220" i="7"/>
  <c r="L220" i="7"/>
  <c r="C221" i="7"/>
  <c r="D221" i="7"/>
  <c r="E221" i="7"/>
  <c r="G221" i="7"/>
  <c r="H221" i="7"/>
  <c r="I221" i="7"/>
  <c r="J221" i="7"/>
  <c r="K221" i="7"/>
  <c r="L221" i="7"/>
  <c r="C222" i="7"/>
  <c r="D222" i="7"/>
  <c r="E222" i="7"/>
  <c r="G222" i="7"/>
  <c r="H222" i="7"/>
  <c r="I222" i="7"/>
  <c r="J222" i="7"/>
  <c r="K222" i="7"/>
  <c r="L222" i="7"/>
  <c r="D223" i="7"/>
  <c r="E223" i="7"/>
  <c r="G223" i="7"/>
  <c r="H223" i="7"/>
  <c r="I223" i="7"/>
  <c r="J223" i="7"/>
  <c r="K223" i="7"/>
  <c r="L223" i="7"/>
  <c r="C225" i="7"/>
  <c r="D225" i="7"/>
  <c r="E225" i="7"/>
  <c r="G225" i="7"/>
  <c r="H225" i="7"/>
  <c r="I225" i="7"/>
  <c r="J225" i="7"/>
  <c r="K225" i="7"/>
  <c r="L225" i="7"/>
  <c r="C226" i="7"/>
  <c r="D226" i="7"/>
  <c r="E226" i="7"/>
  <c r="G226" i="7"/>
  <c r="H226" i="7"/>
  <c r="I226" i="7"/>
  <c r="J226" i="7"/>
  <c r="K226" i="7"/>
  <c r="L226" i="7"/>
  <c r="C227" i="7"/>
  <c r="D227" i="7"/>
  <c r="E227" i="7"/>
  <c r="G227" i="7"/>
  <c r="H227" i="7"/>
  <c r="I227" i="7"/>
  <c r="J227" i="7"/>
  <c r="K227" i="7"/>
  <c r="L227" i="7"/>
  <c r="D228" i="7"/>
  <c r="E228" i="7"/>
  <c r="G228" i="7"/>
  <c r="H228" i="7"/>
  <c r="I228" i="7"/>
  <c r="J228" i="7"/>
  <c r="K228" i="7"/>
  <c r="L228" i="7"/>
  <c r="C229" i="7"/>
  <c r="D229" i="7"/>
  <c r="E229" i="7"/>
  <c r="G229" i="7"/>
  <c r="H229" i="7"/>
  <c r="I229" i="7"/>
  <c r="J229" i="7"/>
  <c r="K229" i="7"/>
  <c r="L229" i="7"/>
  <c r="C230" i="7"/>
  <c r="D230" i="7"/>
  <c r="E230" i="7"/>
  <c r="G230" i="7"/>
  <c r="H230" i="7"/>
  <c r="I230" i="7"/>
  <c r="J230" i="7"/>
  <c r="K230" i="7"/>
  <c r="L230" i="7"/>
  <c r="D231" i="7"/>
  <c r="E231" i="7"/>
  <c r="G231" i="7"/>
  <c r="H231" i="7"/>
  <c r="I231" i="7"/>
  <c r="J231" i="7"/>
  <c r="K231" i="7"/>
  <c r="L231" i="7"/>
  <c r="C232" i="7"/>
  <c r="D232" i="7"/>
  <c r="E232" i="7"/>
  <c r="G232" i="7"/>
  <c r="H232" i="7"/>
  <c r="I232" i="7"/>
  <c r="J232" i="7"/>
  <c r="K232" i="7"/>
  <c r="L232" i="7"/>
  <c r="D234" i="7"/>
  <c r="E234" i="7"/>
  <c r="G234" i="7"/>
  <c r="H234" i="7"/>
  <c r="I234" i="7"/>
  <c r="J234" i="7"/>
  <c r="K234" i="7"/>
  <c r="L234" i="7"/>
  <c r="D237" i="7"/>
  <c r="E237" i="7"/>
  <c r="G237" i="7"/>
  <c r="H237" i="7"/>
  <c r="I237" i="7"/>
  <c r="J237" i="7"/>
  <c r="K237" i="7"/>
  <c r="L237" i="7"/>
  <c r="C238" i="7"/>
  <c r="D238" i="7"/>
  <c r="E238" i="7"/>
  <c r="G238" i="7"/>
  <c r="H238" i="7"/>
  <c r="I238" i="7"/>
  <c r="J238" i="7"/>
  <c r="K238" i="7"/>
  <c r="L238" i="7"/>
  <c r="D239" i="7"/>
  <c r="E239" i="7"/>
  <c r="G239" i="7"/>
  <c r="H239" i="7"/>
  <c r="I239" i="7"/>
  <c r="J239" i="7"/>
  <c r="K239" i="7"/>
  <c r="L239" i="7"/>
  <c r="B239" i="7"/>
  <c r="B238" i="7"/>
  <c r="B237" i="7"/>
  <c r="B234" i="7"/>
  <c r="B232" i="7"/>
  <c r="B231" i="7"/>
  <c r="B230" i="7"/>
  <c r="B229" i="7"/>
  <c r="B228" i="7"/>
  <c r="B226" i="7"/>
  <c r="B225" i="7"/>
  <c r="B223" i="7"/>
  <c r="B222" i="7"/>
  <c r="B221" i="7"/>
  <c r="B217" i="7"/>
  <c r="B216" i="7"/>
  <c r="B215" i="7"/>
  <c r="B214" i="7"/>
  <c r="B212" i="7"/>
  <c r="B211" i="7"/>
  <c r="B210" i="7"/>
  <c r="B209" i="7"/>
  <c r="B208" i="7"/>
  <c r="B207" i="7"/>
  <c r="B206" i="7"/>
  <c r="B205" i="7"/>
  <c r="B203" i="7"/>
  <c r="B202" i="7"/>
  <c r="B201" i="7"/>
  <c r="B200" i="7"/>
  <c r="D148" i="7"/>
  <c r="E148" i="7"/>
  <c r="G148" i="7"/>
  <c r="H148" i="7"/>
  <c r="I148" i="7"/>
  <c r="J148" i="7"/>
  <c r="K148" i="7"/>
  <c r="L148" i="7"/>
  <c r="E149" i="7"/>
  <c r="G149" i="7"/>
  <c r="H149" i="7"/>
  <c r="I149" i="7"/>
  <c r="J149" i="7"/>
  <c r="K149" i="7"/>
  <c r="L149" i="7"/>
  <c r="E150" i="7"/>
  <c r="G150" i="7"/>
  <c r="H150" i="7"/>
  <c r="I150" i="7"/>
  <c r="J150" i="7"/>
  <c r="K150" i="7"/>
  <c r="L150" i="7"/>
  <c r="C151" i="7"/>
  <c r="D151" i="7"/>
  <c r="E151" i="7"/>
  <c r="G151" i="7"/>
  <c r="H151" i="7"/>
  <c r="I151" i="7"/>
  <c r="J151" i="7"/>
  <c r="K151" i="7"/>
  <c r="L151" i="7"/>
  <c r="C152" i="7"/>
  <c r="D152" i="7"/>
  <c r="E152" i="7"/>
  <c r="G152" i="7"/>
  <c r="H152" i="7"/>
  <c r="J152" i="7"/>
  <c r="K152" i="7"/>
  <c r="L152" i="7"/>
  <c r="C153" i="7"/>
  <c r="D153" i="7"/>
  <c r="E153" i="7"/>
  <c r="G153" i="7"/>
  <c r="H153" i="7"/>
  <c r="I153" i="7"/>
  <c r="J153" i="7"/>
  <c r="K153" i="7"/>
  <c r="L153" i="7"/>
  <c r="C155" i="7"/>
  <c r="D155" i="7"/>
  <c r="E155" i="7"/>
  <c r="G155" i="7"/>
  <c r="H155" i="7"/>
  <c r="I155" i="7"/>
  <c r="J155" i="7"/>
  <c r="K155" i="7"/>
  <c r="L155" i="7"/>
  <c r="G156" i="7"/>
  <c r="H156" i="7"/>
  <c r="I156" i="7"/>
  <c r="J156" i="7"/>
  <c r="K156" i="7"/>
  <c r="L156" i="7"/>
  <c r="C157" i="7"/>
  <c r="D157" i="7"/>
  <c r="E157" i="7"/>
  <c r="G157" i="7"/>
  <c r="H157" i="7"/>
  <c r="I157" i="7"/>
  <c r="J157" i="7"/>
  <c r="K157" i="7"/>
  <c r="L157" i="7"/>
  <c r="C158" i="7"/>
  <c r="D158" i="7"/>
  <c r="E158" i="7"/>
  <c r="G158" i="7"/>
  <c r="H158" i="7"/>
  <c r="I158" i="7"/>
  <c r="J158" i="7"/>
  <c r="K158" i="7"/>
  <c r="L158" i="7"/>
  <c r="C160" i="7"/>
  <c r="D160" i="7"/>
  <c r="E160" i="7"/>
  <c r="G160" i="7"/>
  <c r="H160" i="7"/>
  <c r="I160" i="7"/>
  <c r="J160" i="7"/>
  <c r="K160" i="7"/>
  <c r="L160" i="7"/>
  <c r="C161" i="7"/>
  <c r="D161" i="7"/>
  <c r="E161" i="7"/>
  <c r="G161" i="7"/>
  <c r="H161" i="7"/>
  <c r="I161" i="7"/>
  <c r="J161" i="7"/>
  <c r="K161" i="7"/>
  <c r="L161" i="7"/>
  <c r="C162" i="7"/>
  <c r="D162" i="7"/>
  <c r="E162" i="7"/>
  <c r="G162" i="7"/>
  <c r="H162" i="7"/>
  <c r="I162" i="7"/>
  <c r="J162" i="7"/>
  <c r="K162" i="7"/>
  <c r="L162" i="7"/>
  <c r="C163" i="7"/>
  <c r="D163" i="7"/>
  <c r="E163" i="7"/>
  <c r="G163" i="7"/>
  <c r="H163" i="7"/>
  <c r="I163" i="7"/>
  <c r="J163" i="7"/>
  <c r="K163" i="7"/>
  <c r="L163" i="7"/>
  <c r="C164" i="7"/>
  <c r="D164" i="7"/>
  <c r="E164" i="7"/>
  <c r="G164" i="7"/>
  <c r="H164" i="7"/>
  <c r="I164" i="7"/>
  <c r="J164" i="7"/>
  <c r="K164" i="7"/>
  <c r="L164" i="7"/>
  <c r="C166" i="7"/>
  <c r="D166" i="7"/>
  <c r="E166" i="7"/>
  <c r="G166" i="7"/>
  <c r="H166" i="7"/>
  <c r="I166" i="7"/>
  <c r="J166" i="7"/>
  <c r="K166" i="7"/>
  <c r="L166" i="7"/>
  <c r="C167" i="7"/>
  <c r="D167" i="7"/>
  <c r="E167" i="7"/>
  <c r="G167" i="7"/>
  <c r="H167" i="7"/>
  <c r="I167" i="7"/>
  <c r="J167" i="7"/>
  <c r="K167" i="7"/>
  <c r="L167" i="7"/>
  <c r="D168" i="7"/>
  <c r="E168" i="7"/>
  <c r="G168" i="7"/>
  <c r="H168" i="7"/>
  <c r="I168" i="7"/>
  <c r="J168" i="7"/>
  <c r="K168" i="7"/>
  <c r="L168" i="7"/>
  <c r="D169" i="7"/>
  <c r="E169" i="7"/>
  <c r="G169" i="7"/>
  <c r="H169" i="7"/>
  <c r="J169" i="7"/>
  <c r="K169" i="7"/>
  <c r="L169" i="7"/>
  <c r="D170" i="7"/>
  <c r="E170" i="7"/>
  <c r="G170" i="7"/>
  <c r="H170" i="7"/>
  <c r="I170" i="7"/>
  <c r="J170" i="7"/>
  <c r="K170" i="7"/>
  <c r="L170" i="7"/>
  <c r="D171" i="7"/>
  <c r="E171" i="7"/>
  <c r="G171" i="7"/>
  <c r="H171" i="7"/>
  <c r="I171" i="7"/>
  <c r="J171" i="7"/>
  <c r="K171" i="7"/>
  <c r="L171" i="7"/>
  <c r="C174" i="7"/>
  <c r="D174" i="7"/>
  <c r="E174" i="7"/>
  <c r="G174" i="7"/>
  <c r="H174" i="7"/>
  <c r="I174" i="7"/>
  <c r="J174" i="7"/>
  <c r="K174" i="7"/>
  <c r="L174" i="7"/>
  <c r="D175" i="7"/>
  <c r="E175" i="7"/>
  <c r="G175" i="7"/>
  <c r="H175" i="7"/>
  <c r="I175" i="7"/>
  <c r="J175" i="7"/>
  <c r="K175" i="7"/>
  <c r="L175" i="7"/>
  <c r="D177" i="7"/>
  <c r="E177" i="7"/>
  <c r="G177" i="7"/>
  <c r="H177" i="7"/>
  <c r="I177" i="7"/>
  <c r="J177" i="7"/>
  <c r="K177" i="7"/>
  <c r="L177" i="7"/>
  <c r="C178" i="7"/>
  <c r="D178" i="7"/>
  <c r="E178" i="7"/>
  <c r="G178" i="7"/>
  <c r="H178" i="7"/>
  <c r="I178" i="7"/>
  <c r="J178" i="7"/>
  <c r="K178" i="7"/>
  <c r="L178" i="7"/>
  <c r="D179" i="7"/>
  <c r="E179" i="7"/>
  <c r="G179" i="7"/>
  <c r="H179" i="7"/>
  <c r="I179" i="7"/>
  <c r="J179" i="7"/>
  <c r="K179" i="7"/>
  <c r="L179" i="7"/>
  <c r="C180" i="7"/>
  <c r="E180" i="7"/>
  <c r="G180" i="7"/>
  <c r="H180" i="7"/>
  <c r="I180" i="7"/>
  <c r="J180" i="7"/>
  <c r="K180" i="7"/>
  <c r="L180" i="7"/>
  <c r="D181" i="7"/>
  <c r="E181" i="7"/>
  <c r="G181" i="7"/>
  <c r="H181" i="7"/>
  <c r="I181" i="7"/>
  <c r="J181" i="7"/>
  <c r="K181" i="7"/>
  <c r="L181" i="7"/>
  <c r="C182" i="7"/>
  <c r="D182" i="7"/>
  <c r="E182" i="7"/>
  <c r="G182" i="7"/>
  <c r="H182" i="7"/>
  <c r="I182" i="7"/>
  <c r="J182" i="7"/>
  <c r="K182" i="7"/>
  <c r="L182" i="7"/>
  <c r="C183" i="7"/>
  <c r="D183" i="7"/>
  <c r="E183" i="7"/>
  <c r="G183" i="7"/>
  <c r="H183" i="7"/>
  <c r="I183" i="7"/>
  <c r="J183" i="7"/>
  <c r="K183" i="7"/>
  <c r="L183" i="7"/>
  <c r="E185" i="7"/>
  <c r="G185" i="7"/>
  <c r="H185" i="7"/>
  <c r="I185" i="7"/>
  <c r="J185" i="7"/>
  <c r="K185" i="7"/>
  <c r="L185" i="7"/>
  <c r="D186" i="7"/>
  <c r="E186" i="7"/>
  <c r="G186" i="7"/>
  <c r="H186" i="7"/>
  <c r="I186" i="7"/>
  <c r="J186" i="7"/>
  <c r="K186" i="7"/>
  <c r="L186" i="7"/>
  <c r="C187" i="7"/>
  <c r="D187" i="7"/>
  <c r="E187" i="7"/>
  <c r="G187" i="7"/>
  <c r="H187" i="7"/>
  <c r="I187" i="7"/>
  <c r="J187" i="7"/>
  <c r="K187" i="7"/>
  <c r="L187" i="7"/>
  <c r="C188" i="7"/>
  <c r="D188" i="7"/>
  <c r="E188" i="7"/>
  <c r="G188" i="7"/>
  <c r="H188" i="7"/>
  <c r="I188" i="7"/>
  <c r="J188" i="7"/>
  <c r="K188" i="7"/>
  <c r="L188" i="7"/>
  <c r="C189" i="7"/>
  <c r="E189" i="7"/>
  <c r="G189" i="7"/>
  <c r="H189" i="7"/>
  <c r="I189" i="7"/>
  <c r="J189" i="7"/>
  <c r="K189" i="7"/>
  <c r="L189" i="7"/>
  <c r="D190" i="7"/>
  <c r="E190" i="7"/>
  <c r="G190" i="7"/>
  <c r="H190" i="7"/>
  <c r="I190" i="7"/>
  <c r="J190" i="7"/>
  <c r="K190" i="7"/>
  <c r="L190" i="7"/>
  <c r="D193" i="7"/>
  <c r="E193" i="7"/>
  <c r="G193" i="7"/>
  <c r="H193" i="7"/>
  <c r="I193" i="7"/>
  <c r="J193" i="7"/>
  <c r="K193" i="7"/>
  <c r="L193" i="7"/>
  <c r="D194" i="7"/>
  <c r="E194" i="7"/>
  <c r="G194" i="7"/>
  <c r="H194" i="7"/>
  <c r="I194" i="7"/>
  <c r="J194" i="7"/>
  <c r="K194" i="7"/>
  <c r="L194" i="7"/>
  <c r="D195" i="7"/>
  <c r="E195" i="7"/>
  <c r="G195" i="7"/>
  <c r="H195" i="7"/>
  <c r="I195" i="7"/>
  <c r="J195" i="7"/>
  <c r="K195" i="7"/>
  <c r="L195" i="7"/>
  <c r="D196" i="7"/>
  <c r="E196" i="7"/>
  <c r="G196" i="7"/>
  <c r="H196" i="7"/>
  <c r="I196" i="7"/>
  <c r="J196" i="7"/>
  <c r="K196" i="7"/>
  <c r="L196" i="7"/>
  <c r="D197" i="7"/>
  <c r="E197" i="7"/>
  <c r="G197" i="7"/>
  <c r="H197" i="7"/>
  <c r="I197" i="7"/>
  <c r="J197" i="7"/>
  <c r="K197" i="7"/>
  <c r="L197" i="7"/>
  <c r="B196" i="7"/>
  <c r="A64" i="7"/>
  <c r="B195" i="7"/>
  <c r="B189" i="7"/>
  <c r="B188" i="7"/>
  <c r="B187" i="7"/>
  <c r="B183" i="7"/>
  <c r="B182" i="7"/>
  <c r="B180" i="7"/>
  <c r="B178" i="7"/>
  <c r="B174" i="7"/>
  <c r="B167" i="7"/>
  <c r="B166" i="7"/>
  <c r="B164" i="7"/>
  <c r="B163" i="7"/>
  <c r="B162" i="7"/>
  <c r="B161" i="7"/>
  <c r="B160" i="7"/>
  <c r="B158" i="7"/>
  <c r="B157" i="7"/>
  <c r="B155" i="7"/>
  <c r="A237" i="7"/>
  <c r="N237" i="7" s="1"/>
  <c r="A238" i="7"/>
  <c r="N238" i="7" s="1"/>
  <c r="A239" i="7"/>
  <c r="N239" i="7" s="1"/>
  <c r="A231" i="7"/>
  <c r="N231" i="7" s="1"/>
  <c r="G127" i="1" s="1"/>
  <c r="A232" i="7"/>
  <c r="N232" i="7" s="1"/>
  <c r="A233" i="7"/>
  <c r="A85" i="1" s="1"/>
  <c r="A234" i="7"/>
  <c r="A86" i="1" s="1"/>
  <c r="A235" i="7"/>
  <c r="A87" i="1" s="1"/>
  <c r="A236" i="7"/>
  <c r="A132" i="1" s="1"/>
  <c r="A201" i="7"/>
  <c r="N201" i="7" s="1"/>
  <c r="L53" i="1" s="1"/>
  <c r="A202" i="7"/>
  <c r="N202" i="7" s="1"/>
  <c r="N54" i="1" s="1"/>
  <c r="A203" i="7"/>
  <c r="N203" i="7" s="1"/>
  <c r="P55" i="1" s="1"/>
  <c r="A204" i="7"/>
  <c r="N204" i="7" s="1"/>
  <c r="C56" i="1" s="1"/>
  <c r="A205" i="7"/>
  <c r="N205" i="7" s="1"/>
  <c r="C57" i="1" s="1"/>
  <c r="A206" i="7"/>
  <c r="N206" i="7" s="1"/>
  <c r="E58" i="1" s="1"/>
  <c r="A207" i="7"/>
  <c r="N207" i="7" s="1"/>
  <c r="H59" i="1" s="1"/>
  <c r="A208" i="7"/>
  <c r="N208" i="7" s="1"/>
  <c r="J60" i="1" s="1"/>
  <c r="A209" i="7"/>
  <c r="N209" i="7" s="1"/>
  <c r="L61" i="1" s="1"/>
  <c r="A210" i="7"/>
  <c r="N210" i="7" s="1"/>
  <c r="N62" i="1" s="1"/>
  <c r="A211" i="7"/>
  <c r="N211" i="7" s="1"/>
  <c r="P63" i="1" s="1"/>
  <c r="A212" i="7"/>
  <c r="N212" i="7" s="1"/>
  <c r="C64" i="1" s="1"/>
  <c r="A213" i="7"/>
  <c r="N213" i="7" s="1"/>
  <c r="C65" i="1" s="1"/>
  <c r="A214" i="7"/>
  <c r="N214" i="7" s="1"/>
  <c r="E66" i="1" s="1"/>
  <c r="A215" i="7"/>
  <c r="N215" i="7" s="1"/>
  <c r="H67" i="1" s="1"/>
  <c r="A216" i="7"/>
  <c r="N216" i="7" s="1"/>
  <c r="J68" i="1" s="1"/>
  <c r="A217" i="7"/>
  <c r="N217" i="7" s="1"/>
  <c r="L69" i="1" s="1"/>
  <c r="A218" i="7"/>
  <c r="N218" i="7" s="1"/>
  <c r="N70" i="1" s="1"/>
  <c r="A219" i="7"/>
  <c r="N219" i="7" s="1"/>
  <c r="P71" i="1" s="1"/>
  <c r="A220" i="7"/>
  <c r="N220" i="7" s="1"/>
  <c r="C72" i="1" s="1"/>
  <c r="A221" i="7"/>
  <c r="N221" i="7" s="1"/>
  <c r="C73" i="1" s="1"/>
  <c r="A222" i="7"/>
  <c r="N222" i="7" s="1"/>
  <c r="E74" i="1" s="1"/>
  <c r="A223" i="7"/>
  <c r="N223" i="7" s="1"/>
  <c r="H75" i="1" s="1"/>
  <c r="A224" i="7"/>
  <c r="N224" i="7" s="1"/>
  <c r="J76" i="1" s="1"/>
  <c r="A225" i="7"/>
  <c r="N225" i="7" s="1"/>
  <c r="L77" i="1" s="1"/>
  <c r="A226" i="7"/>
  <c r="N226" i="7" s="1"/>
  <c r="A227" i="7"/>
  <c r="N227" i="7" s="1"/>
  <c r="A228" i="7"/>
  <c r="N228" i="7" s="1"/>
  <c r="A229" i="7"/>
  <c r="N229" i="7" s="1"/>
  <c r="A230" i="7"/>
  <c r="N230" i="7" s="1"/>
  <c r="A200" i="7"/>
  <c r="A197" i="7"/>
  <c r="N197" i="7" s="1"/>
  <c r="A196" i="7"/>
  <c r="N196" i="7" s="1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N194" i="7" s="1"/>
  <c r="A195" i="7"/>
  <c r="N195" i="7" s="1"/>
  <c r="A169" i="7"/>
  <c r="A168" i="7"/>
  <c r="A167" i="7"/>
  <c r="A166" i="7"/>
  <c r="A165" i="7"/>
  <c r="A164" i="7"/>
  <c r="A163" i="7"/>
  <c r="A162" i="7"/>
  <c r="A161" i="7"/>
  <c r="A160" i="7"/>
  <c r="A158" i="7"/>
  <c r="A159" i="7"/>
  <c r="A156" i="7"/>
  <c r="A157" i="7"/>
  <c r="A155" i="7"/>
  <c r="A153" i="7"/>
  <c r="A149" i="7"/>
  <c r="A150" i="7"/>
  <c r="A151" i="7"/>
  <c r="A152" i="7"/>
  <c r="A148" i="7"/>
  <c r="B153" i="7"/>
  <c r="B124" i="7"/>
  <c r="C124" i="7"/>
  <c r="D124" i="7"/>
  <c r="E124" i="7"/>
  <c r="G124" i="7"/>
  <c r="H124" i="7"/>
  <c r="L124" i="7"/>
  <c r="A124" i="7"/>
  <c r="A131" i="7"/>
  <c r="A128" i="7"/>
  <c r="A127" i="7"/>
  <c r="A126" i="7"/>
  <c r="A125" i="7"/>
  <c r="A136" i="7"/>
  <c r="A135" i="7"/>
  <c r="A130" i="7"/>
  <c r="A129" i="7"/>
  <c r="A134" i="7"/>
  <c r="A133" i="7"/>
  <c r="A132" i="7"/>
  <c r="B108" i="7"/>
  <c r="C108" i="7"/>
  <c r="D108" i="7"/>
  <c r="E108" i="7"/>
  <c r="G108" i="7"/>
  <c r="H108" i="7"/>
  <c r="K108" i="7"/>
  <c r="L108" i="7"/>
  <c r="A108" i="7"/>
  <c r="B92" i="7"/>
  <c r="C92" i="7"/>
  <c r="D92" i="7"/>
  <c r="E92" i="7"/>
  <c r="G92" i="7"/>
  <c r="H92" i="7"/>
  <c r="A92" i="7"/>
  <c r="A81" i="7"/>
  <c r="A72" i="7"/>
  <c r="B8" i="24"/>
  <c r="I10" i="24"/>
  <c r="I6" i="24"/>
  <c r="I7" i="24"/>
  <c r="I8" i="24"/>
  <c r="I9" i="24"/>
  <c r="I5" i="24"/>
  <c r="G3" i="24"/>
  <c r="G4" i="24" s="1"/>
  <c r="B4" i="24" s="1"/>
  <c r="J6" i="24" s="1"/>
  <c r="A63" i="7"/>
  <c r="B9" i="15"/>
  <c r="B10" i="15"/>
  <c r="B3" i="15"/>
  <c r="B4" i="15"/>
  <c r="B8" i="15"/>
  <c r="B5" i="15"/>
  <c r="B5" i="23"/>
  <c r="O20" i="23"/>
  <c r="B14" i="23"/>
  <c r="B9" i="23"/>
  <c r="O19" i="23"/>
  <c r="O9" i="23"/>
  <c r="I4" i="24"/>
  <c r="B3" i="24" l="1"/>
  <c r="J5" i="24" s="1"/>
  <c r="B5" i="24"/>
  <c r="G5" i="24"/>
  <c r="B6" i="24"/>
  <c r="C27" i="7"/>
  <c r="C181" i="7" s="1"/>
  <c r="B27" i="7"/>
  <c r="B181" i="7" s="1"/>
  <c r="C13" i="7"/>
  <c r="C171" i="7" s="1"/>
  <c r="B13" i="7"/>
  <c r="B171" i="7" s="1"/>
  <c r="C9" i="7"/>
  <c r="B9" i="7"/>
  <c r="C8" i="7"/>
  <c r="C148" i="7" s="1"/>
  <c r="B8" i="7"/>
  <c r="C23" i="7"/>
  <c r="C175" i="7" s="1"/>
  <c r="B23" i="7"/>
  <c r="B175" i="7" s="1"/>
  <c r="C10" i="7"/>
  <c r="B10" i="7"/>
  <c r="C81" i="1"/>
  <c r="D81" i="1"/>
  <c r="E81" i="1"/>
  <c r="G81" i="1"/>
  <c r="H81" i="1"/>
  <c r="I81" i="1"/>
  <c r="J81" i="1"/>
  <c r="K81" i="1"/>
  <c r="L81" i="1"/>
  <c r="M81" i="1"/>
  <c r="N81" i="1"/>
  <c r="O81" i="1"/>
  <c r="P81" i="1"/>
  <c r="Q81" i="1"/>
  <c r="B81" i="1"/>
  <c r="C78" i="1"/>
  <c r="D78" i="1"/>
  <c r="E78" i="1"/>
  <c r="G78" i="1"/>
  <c r="H78" i="1"/>
  <c r="I78" i="1"/>
  <c r="J78" i="1"/>
  <c r="K78" i="1"/>
  <c r="L78" i="1"/>
  <c r="M78" i="1"/>
  <c r="N78" i="1"/>
  <c r="O78" i="1"/>
  <c r="P78" i="1"/>
  <c r="Q78" i="1"/>
  <c r="C84" i="1"/>
  <c r="C128" i="1" s="1"/>
  <c r="D84" i="1"/>
  <c r="D128" i="1" s="1"/>
  <c r="E84" i="1"/>
  <c r="E128" i="1" s="1"/>
  <c r="G84" i="1"/>
  <c r="G128" i="1" s="1"/>
  <c r="H84" i="1"/>
  <c r="H128" i="1" s="1"/>
  <c r="I84" i="1"/>
  <c r="I128" i="1" s="1"/>
  <c r="J84" i="1"/>
  <c r="J128" i="1" s="1"/>
  <c r="K84" i="1"/>
  <c r="K128" i="1" s="1"/>
  <c r="L84" i="1"/>
  <c r="L128" i="1" s="1"/>
  <c r="M84" i="1"/>
  <c r="M128" i="1" s="1"/>
  <c r="N84" i="1"/>
  <c r="N128" i="1" s="1"/>
  <c r="O84" i="1"/>
  <c r="P84" i="1"/>
  <c r="Q84" i="1"/>
  <c r="B84" i="1"/>
  <c r="B128" i="1" s="1"/>
  <c r="C91" i="1"/>
  <c r="D91" i="1"/>
  <c r="D135" i="1" s="1"/>
  <c r="E91" i="1"/>
  <c r="E135" i="1" s="1"/>
  <c r="G91" i="1"/>
  <c r="G135" i="1" s="1"/>
  <c r="H91" i="1"/>
  <c r="H135" i="1" s="1"/>
  <c r="I91" i="1"/>
  <c r="I135" i="1" s="1"/>
  <c r="J91" i="1"/>
  <c r="J135" i="1" s="1"/>
  <c r="K91" i="1"/>
  <c r="K135" i="1" s="1"/>
  <c r="L91" i="1"/>
  <c r="L135" i="1" s="1"/>
  <c r="M91" i="1"/>
  <c r="M135" i="1" s="1"/>
  <c r="N91" i="1"/>
  <c r="N135" i="1" s="1"/>
  <c r="O91" i="1"/>
  <c r="P91" i="1"/>
  <c r="Q91" i="1"/>
  <c r="B91" i="1"/>
  <c r="B135" i="1" s="1"/>
  <c r="U196" i="7"/>
  <c r="S196" i="7"/>
  <c r="O196" i="7"/>
  <c r="T196" i="7"/>
  <c r="V196" i="7"/>
  <c r="W196" i="7"/>
  <c r="Q196" i="7"/>
  <c r="X196" i="7"/>
  <c r="R196" i="7"/>
  <c r="S197" i="7"/>
  <c r="Q197" i="7"/>
  <c r="X197" i="7"/>
  <c r="U197" i="7"/>
  <c r="W197" i="7"/>
  <c r="V197" i="7"/>
  <c r="R197" i="7"/>
  <c r="T197" i="7"/>
  <c r="X239" i="7"/>
  <c r="Q238" i="7"/>
  <c r="Q134" i="1" s="1"/>
  <c r="U231" i="7"/>
  <c r="P238" i="7"/>
  <c r="T231" i="7"/>
  <c r="V239" i="7"/>
  <c r="X237" i="7"/>
  <c r="S231" i="7"/>
  <c r="U239" i="7"/>
  <c r="W237" i="7"/>
  <c r="R231" i="7"/>
  <c r="T239" i="7"/>
  <c r="V237" i="7"/>
  <c r="A116" i="1"/>
  <c r="S239" i="7"/>
  <c r="U237" i="7"/>
  <c r="A100" i="1"/>
  <c r="R239" i="7"/>
  <c r="T237" i="7"/>
  <c r="A73" i="1"/>
  <c r="S237" i="7"/>
  <c r="A57" i="1"/>
  <c r="A110" i="1"/>
  <c r="B53" i="1"/>
  <c r="I69" i="1"/>
  <c r="D67" i="1"/>
  <c r="H69" i="1"/>
  <c r="C67" i="1"/>
  <c r="A99" i="1"/>
  <c r="G69" i="1"/>
  <c r="Q66" i="1"/>
  <c r="A98" i="1"/>
  <c r="E69" i="1"/>
  <c r="P66" i="1"/>
  <c r="A97" i="1"/>
  <c r="D69" i="1"/>
  <c r="O66" i="1"/>
  <c r="A88" i="1"/>
  <c r="C69" i="1"/>
  <c r="N66" i="1"/>
  <c r="X232" i="7"/>
  <c r="Q231" i="7"/>
  <c r="A131" i="1"/>
  <c r="I68" i="1"/>
  <c r="D66" i="1"/>
  <c r="H68" i="1"/>
  <c r="C66" i="1"/>
  <c r="V232" i="7"/>
  <c r="Q239" i="7"/>
  <c r="E68" i="1"/>
  <c r="R237" i="7"/>
  <c r="T232" i="7"/>
  <c r="B70" i="1"/>
  <c r="D68" i="1"/>
  <c r="I53" i="1"/>
  <c r="G68" i="1"/>
  <c r="A126" i="1"/>
  <c r="Q237" i="7"/>
  <c r="Q133" i="1" s="1"/>
  <c r="S232" i="7"/>
  <c r="A115" i="1"/>
  <c r="B69" i="1"/>
  <c r="C68" i="1"/>
  <c r="H53" i="1"/>
  <c r="O231" i="7"/>
  <c r="O127" i="1" s="1"/>
  <c r="A114" i="1"/>
  <c r="B68" i="1"/>
  <c r="Q67" i="1"/>
  <c r="G53" i="1"/>
  <c r="K53" i="1"/>
  <c r="U232" i="7"/>
  <c r="A113" i="1"/>
  <c r="B67" i="1"/>
  <c r="P67" i="1"/>
  <c r="E53" i="1"/>
  <c r="W232" i="7"/>
  <c r="J53" i="1"/>
  <c r="A112" i="1"/>
  <c r="B66" i="1"/>
  <c r="K69" i="1"/>
  <c r="G67" i="1"/>
  <c r="D53" i="1"/>
  <c r="A130" i="1"/>
  <c r="A111" i="1"/>
  <c r="B57" i="1"/>
  <c r="J69" i="1"/>
  <c r="E67" i="1"/>
  <c r="C53" i="1"/>
  <c r="W238" i="7"/>
  <c r="X238" i="7"/>
  <c r="D134" i="1"/>
  <c r="B134" i="1"/>
  <c r="E134" i="1"/>
  <c r="G134" i="1"/>
  <c r="H134" i="1"/>
  <c r="I134" i="1"/>
  <c r="J134" i="1"/>
  <c r="K134" i="1"/>
  <c r="L134" i="1"/>
  <c r="M134" i="1"/>
  <c r="O238" i="7"/>
  <c r="N134" i="1"/>
  <c r="R238" i="7"/>
  <c r="S238" i="7"/>
  <c r="T238" i="7"/>
  <c r="U238" i="7"/>
  <c r="C134" i="1"/>
  <c r="V238" i="7"/>
  <c r="R232" i="7"/>
  <c r="A79" i="1"/>
  <c r="A63" i="1"/>
  <c r="B133" i="1"/>
  <c r="B73" i="1"/>
  <c r="E127" i="1"/>
  <c r="K77" i="1"/>
  <c r="I76" i="1"/>
  <c r="G75" i="1"/>
  <c r="D74" i="1"/>
  <c r="Q72" i="1"/>
  <c r="O71" i="1"/>
  <c r="M70" i="1"/>
  <c r="Q64" i="1"/>
  <c r="O63" i="1"/>
  <c r="M62" i="1"/>
  <c r="K61" i="1"/>
  <c r="I60" i="1"/>
  <c r="G59" i="1"/>
  <c r="D58" i="1"/>
  <c r="Q56" i="1"/>
  <c r="O55" i="1"/>
  <c r="M54" i="1"/>
  <c r="O237" i="7"/>
  <c r="Q232" i="7"/>
  <c r="A78" i="1"/>
  <c r="A62" i="1"/>
  <c r="B72" i="1"/>
  <c r="B56" i="1"/>
  <c r="D127" i="1"/>
  <c r="J77" i="1"/>
  <c r="H76" i="1"/>
  <c r="E75" i="1"/>
  <c r="C74" i="1"/>
  <c r="P72" i="1"/>
  <c r="N71" i="1"/>
  <c r="L70" i="1"/>
  <c r="P64" i="1"/>
  <c r="N63" i="1"/>
  <c r="L62" i="1"/>
  <c r="J61" i="1"/>
  <c r="H60" i="1"/>
  <c r="E59" i="1"/>
  <c r="C58" i="1"/>
  <c r="P56" i="1"/>
  <c r="N55" i="1"/>
  <c r="L54" i="1"/>
  <c r="P232" i="7"/>
  <c r="A129" i="1"/>
  <c r="A77" i="1"/>
  <c r="A61" i="1"/>
  <c r="B71" i="1"/>
  <c r="B55" i="1"/>
  <c r="I77" i="1"/>
  <c r="G76" i="1"/>
  <c r="D75" i="1"/>
  <c r="Q73" i="1"/>
  <c r="O72" i="1"/>
  <c r="M71" i="1"/>
  <c r="K70" i="1"/>
  <c r="Q65" i="1"/>
  <c r="O64" i="1"/>
  <c r="M63" i="1"/>
  <c r="K62" i="1"/>
  <c r="I61" i="1"/>
  <c r="G60" i="1"/>
  <c r="D59" i="1"/>
  <c r="Q57" i="1"/>
  <c r="O56" i="1"/>
  <c r="M55" i="1"/>
  <c r="K54" i="1"/>
  <c r="O232" i="7"/>
  <c r="A128" i="1"/>
  <c r="A76" i="1"/>
  <c r="A60" i="1"/>
  <c r="B54" i="1"/>
  <c r="H77" i="1"/>
  <c r="E76" i="1"/>
  <c r="C75" i="1"/>
  <c r="P73" i="1"/>
  <c r="N72" i="1"/>
  <c r="L71" i="1"/>
  <c r="J70" i="1"/>
  <c r="P65" i="1"/>
  <c r="N64" i="1"/>
  <c r="L63" i="1"/>
  <c r="J62" i="1"/>
  <c r="H61" i="1"/>
  <c r="E60" i="1"/>
  <c r="C59" i="1"/>
  <c r="P57" i="1"/>
  <c r="N56" i="1"/>
  <c r="L55" i="1"/>
  <c r="J54" i="1"/>
  <c r="X231" i="7"/>
  <c r="A127" i="1"/>
  <c r="A134" i="1"/>
  <c r="A75" i="1"/>
  <c r="A59" i="1"/>
  <c r="N133" i="1"/>
  <c r="G77" i="1"/>
  <c r="D76" i="1"/>
  <c r="Q74" i="1"/>
  <c r="O73" i="1"/>
  <c r="M72" i="1"/>
  <c r="K71" i="1"/>
  <c r="I70" i="1"/>
  <c r="O65" i="1"/>
  <c r="M64" i="1"/>
  <c r="K63" i="1"/>
  <c r="I62" i="1"/>
  <c r="G61" i="1"/>
  <c r="D60" i="1"/>
  <c r="Q58" i="1"/>
  <c r="O57" i="1"/>
  <c r="M56" i="1"/>
  <c r="K55" i="1"/>
  <c r="I54" i="1"/>
  <c r="W239" i="7"/>
  <c r="W231" i="7"/>
  <c r="A135" i="1"/>
  <c r="A74" i="1"/>
  <c r="A58" i="1"/>
  <c r="M133" i="1"/>
  <c r="E77" i="1"/>
  <c r="C76" i="1"/>
  <c r="P74" i="1"/>
  <c r="N73" i="1"/>
  <c r="L72" i="1"/>
  <c r="J71" i="1"/>
  <c r="H70" i="1"/>
  <c r="N65" i="1"/>
  <c r="L64" i="1"/>
  <c r="J63" i="1"/>
  <c r="H62" i="1"/>
  <c r="E61" i="1"/>
  <c r="C60" i="1"/>
  <c r="P58" i="1"/>
  <c r="N57" i="1"/>
  <c r="L56" i="1"/>
  <c r="J55" i="1"/>
  <c r="H54" i="1"/>
  <c r="V231" i="7"/>
  <c r="B127" i="1"/>
  <c r="L133" i="1"/>
  <c r="D77" i="1"/>
  <c r="Q75" i="1"/>
  <c r="O74" i="1"/>
  <c r="M73" i="1"/>
  <c r="K72" i="1"/>
  <c r="I71" i="1"/>
  <c r="G70" i="1"/>
  <c r="M65" i="1"/>
  <c r="K64" i="1"/>
  <c r="I63" i="1"/>
  <c r="G62" i="1"/>
  <c r="D61" i="1"/>
  <c r="Q59" i="1"/>
  <c r="O58" i="1"/>
  <c r="M57" i="1"/>
  <c r="K56" i="1"/>
  <c r="I55" i="1"/>
  <c r="G54" i="1"/>
  <c r="A125" i="1"/>
  <c r="A109" i="1"/>
  <c r="A72" i="1"/>
  <c r="A56" i="1"/>
  <c r="K133" i="1"/>
  <c r="C77" i="1"/>
  <c r="P75" i="1"/>
  <c r="N74" i="1"/>
  <c r="L73" i="1"/>
  <c r="J72" i="1"/>
  <c r="H71" i="1"/>
  <c r="E70" i="1"/>
  <c r="L65" i="1"/>
  <c r="J64" i="1"/>
  <c r="H63" i="1"/>
  <c r="E62" i="1"/>
  <c r="C61" i="1"/>
  <c r="P59" i="1"/>
  <c r="N58" i="1"/>
  <c r="L57" i="1"/>
  <c r="J56" i="1"/>
  <c r="H55" i="1"/>
  <c r="E54" i="1"/>
  <c r="A124" i="1"/>
  <c r="A108" i="1"/>
  <c r="A71" i="1"/>
  <c r="A55" i="1"/>
  <c r="B65" i="1"/>
  <c r="J133" i="1"/>
  <c r="N127" i="1"/>
  <c r="Q76" i="1"/>
  <c r="O75" i="1"/>
  <c r="M74" i="1"/>
  <c r="K73" i="1"/>
  <c r="I72" i="1"/>
  <c r="G71" i="1"/>
  <c r="D70" i="1"/>
  <c r="Q68" i="1"/>
  <c r="O67" i="1"/>
  <c r="M66" i="1"/>
  <c r="K65" i="1"/>
  <c r="I64" i="1"/>
  <c r="G63" i="1"/>
  <c r="D62" i="1"/>
  <c r="Q60" i="1"/>
  <c r="O59" i="1"/>
  <c r="M58" i="1"/>
  <c r="K57" i="1"/>
  <c r="I56" i="1"/>
  <c r="G55" i="1"/>
  <c r="D54" i="1"/>
  <c r="A123" i="1"/>
  <c r="A107" i="1"/>
  <c r="A70" i="1"/>
  <c r="A54" i="1"/>
  <c r="B64" i="1"/>
  <c r="I133" i="1"/>
  <c r="M127" i="1"/>
  <c r="P76" i="1"/>
  <c r="N75" i="1"/>
  <c r="L74" i="1"/>
  <c r="J73" i="1"/>
  <c r="H72" i="1"/>
  <c r="E71" i="1"/>
  <c r="C70" i="1"/>
  <c r="P68" i="1"/>
  <c r="N67" i="1"/>
  <c r="L66" i="1"/>
  <c r="J65" i="1"/>
  <c r="H64" i="1"/>
  <c r="E63" i="1"/>
  <c r="C62" i="1"/>
  <c r="P60" i="1"/>
  <c r="N59" i="1"/>
  <c r="L58" i="1"/>
  <c r="J57" i="1"/>
  <c r="H56" i="1"/>
  <c r="E55" i="1"/>
  <c r="C54" i="1"/>
  <c r="A122" i="1"/>
  <c r="A106" i="1"/>
  <c r="A84" i="1"/>
  <c r="A69" i="1"/>
  <c r="A53" i="1"/>
  <c r="B63" i="1"/>
  <c r="H133" i="1"/>
  <c r="L127" i="1"/>
  <c r="Q77" i="1"/>
  <c r="O76" i="1"/>
  <c r="M75" i="1"/>
  <c r="K74" i="1"/>
  <c r="I73" i="1"/>
  <c r="G72" i="1"/>
  <c r="D71" i="1"/>
  <c r="Q69" i="1"/>
  <c r="O68" i="1"/>
  <c r="M67" i="1"/>
  <c r="K66" i="1"/>
  <c r="I65" i="1"/>
  <c r="G64" i="1"/>
  <c r="D63" i="1"/>
  <c r="Q61" i="1"/>
  <c r="O60" i="1"/>
  <c r="M59" i="1"/>
  <c r="K58" i="1"/>
  <c r="I57" i="1"/>
  <c r="G56" i="1"/>
  <c r="D55" i="1"/>
  <c r="Q53" i="1"/>
  <c r="A121" i="1"/>
  <c r="A105" i="1"/>
  <c r="A83" i="1"/>
  <c r="A68" i="1"/>
  <c r="A91" i="1"/>
  <c r="B78" i="1"/>
  <c r="B62" i="1"/>
  <c r="G133" i="1"/>
  <c r="K127" i="1"/>
  <c r="P77" i="1"/>
  <c r="N76" i="1"/>
  <c r="L75" i="1"/>
  <c r="J74" i="1"/>
  <c r="H73" i="1"/>
  <c r="E72" i="1"/>
  <c r="C71" i="1"/>
  <c r="P69" i="1"/>
  <c r="N68" i="1"/>
  <c r="L67" i="1"/>
  <c r="J66" i="1"/>
  <c r="H65" i="1"/>
  <c r="E64" i="1"/>
  <c r="C63" i="1"/>
  <c r="P61" i="1"/>
  <c r="N60" i="1"/>
  <c r="L59" i="1"/>
  <c r="J58" i="1"/>
  <c r="H57" i="1"/>
  <c r="E56" i="1"/>
  <c r="C55" i="1"/>
  <c r="P53" i="1"/>
  <c r="A120" i="1"/>
  <c r="A104" i="1"/>
  <c r="A67" i="1"/>
  <c r="A90" i="1"/>
  <c r="B77" i="1"/>
  <c r="B61" i="1"/>
  <c r="E133" i="1"/>
  <c r="J127" i="1"/>
  <c r="O77" i="1"/>
  <c r="M76" i="1"/>
  <c r="K75" i="1"/>
  <c r="I74" i="1"/>
  <c r="G73" i="1"/>
  <c r="D72" i="1"/>
  <c r="Q70" i="1"/>
  <c r="O69" i="1"/>
  <c r="M68" i="1"/>
  <c r="K67" i="1"/>
  <c r="I66" i="1"/>
  <c r="G65" i="1"/>
  <c r="D64" i="1"/>
  <c r="Q62" i="1"/>
  <c r="O61" i="1"/>
  <c r="M60" i="1"/>
  <c r="K59" i="1"/>
  <c r="I58" i="1"/>
  <c r="G57" i="1"/>
  <c r="D56" i="1"/>
  <c r="Q54" i="1"/>
  <c r="O53" i="1"/>
  <c r="O239" i="7"/>
  <c r="A119" i="1"/>
  <c r="A103" i="1"/>
  <c r="A82" i="1"/>
  <c r="A66" i="1"/>
  <c r="A89" i="1"/>
  <c r="B76" i="1"/>
  <c r="B60" i="1"/>
  <c r="D133" i="1"/>
  <c r="I127" i="1"/>
  <c r="N77" i="1"/>
  <c r="L76" i="1"/>
  <c r="J75" i="1"/>
  <c r="H74" i="1"/>
  <c r="E73" i="1"/>
  <c r="P70" i="1"/>
  <c r="N69" i="1"/>
  <c r="L68" i="1"/>
  <c r="J67" i="1"/>
  <c r="H66" i="1"/>
  <c r="E65" i="1"/>
  <c r="P62" i="1"/>
  <c r="N61" i="1"/>
  <c r="L60" i="1"/>
  <c r="J59" i="1"/>
  <c r="H58" i="1"/>
  <c r="E57" i="1"/>
  <c r="P54" i="1"/>
  <c r="N53" i="1"/>
  <c r="A133" i="1"/>
  <c r="A118" i="1"/>
  <c r="A102" i="1"/>
  <c r="A81" i="1"/>
  <c r="A65" i="1"/>
  <c r="B75" i="1"/>
  <c r="B59" i="1"/>
  <c r="H127" i="1"/>
  <c r="M77" i="1"/>
  <c r="K76" i="1"/>
  <c r="I75" i="1"/>
  <c r="G74" i="1"/>
  <c r="D73" i="1"/>
  <c r="Q71" i="1"/>
  <c r="O70" i="1"/>
  <c r="M69" i="1"/>
  <c r="K68" i="1"/>
  <c r="I67" i="1"/>
  <c r="G66" i="1"/>
  <c r="D65" i="1"/>
  <c r="Q63" i="1"/>
  <c r="O62" i="1"/>
  <c r="M61" i="1"/>
  <c r="K60" i="1"/>
  <c r="I59" i="1"/>
  <c r="G58" i="1"/>
  <c r="D57" i="1"/>
  <c r="Q55" i="1"/>
  <c r="O54" i="1"/>
  <c r="M53" i="1"/>
  <c r="A117" i="1"/>
  <c r="A101" i="1"/>
  <c r="A80" i="1"/>
  <c r="A64" i="1"/>
  <c r="B74" i="1"/>
  <c r="B58" i="1"/>
  <c r="B10" i="24"/>
  <c r="J14" i="24" s="1"/>
  <c r="O11" i="23" l="1"/>
  <c r="C103" i="7"/>
  <c r="B103" i="7"/>
  <c r="Q135" i="1"/>
  <c r="P134" i="1"/>
  <c r="Q127" i="1"/>
  <c r="O134" i="1"/>
  <c r="P128" i="1"/>
  <c r="O128" i="1"/>
  <c r="Q128" i="1"/>
  <c r="O135" i="1"/>
  <c r="O133" i="1"/>
  <c r="B11" i="24"/>
  <c r="J15" i="24" s="1"/>
  <c r="L4" i="15"/>
  <c r="C20" i="7" l="1"/>
  <c r="C168" i="7" s="1"/>
  <c r="B20" i="7"/>
  <c r="B168" i="7" s="1"/>
  <c r="L15" i="15"/>
  <c r="L5" i="15"/>
  <c r="L10" i="15"/>
  <c r="L9" i="15"/>
  <c r="C55" i="7"/>
  <c r="C220" i="7" s="1"/>
  <c r="B55" i="7"/>
  <c r="B220" i="7" s="1"/>
  <c r="L16" i="15"/>
  <c r="C21" i="7"/>
  <c r="C170" i="7" s="1"/>
  <c r="B21" i="7"/>
  <c r="B170" i="7" s="1"/>
  <c r="C14" i="7"/>
  <c r="C156" i="7" s="1"/>
  <c r="B14" i="7"/>
  <c r="L11" i="15"/>
  <c r="L7" i="15"/>
  <c r="L6" i="15"/>
  <c r="B73" i="7" l="1"/>
  <c r="B131" i="7"/>
  <c r="B213" i="7" s="1"/>
  <c r="B128" i="7"/>
  <c r="B227" i="7" s="1"/>
  <c r="J10" i="24"/>
  <c r="B69" i="7" s="1"/>
  <c r="J8" i="24"/>
  <c r="B75" i="7" s="1"/>
  <c r="B81" i="7"/>
  <c r="J7" i="24"/>
  <c r="B77" i="7" s="1"/>
  <c r="J9" i="24"/>
  <c r="B68" i="7" s="1"/>
  <c r="B72" i="7"/>
  <c r="C58" i="7"/>
  <c r="B58" i="7"/>
  <c r="C61" i="7"/>
  <c r="B61" i="7"/>
  <c r="C41" i="7"/>
  <c r="B41" i="7"/>
  <c r="C118" i="7"/>
  <c r="C218" i="7" s="1"/>
  <c r="B118" i="7"/>
  <c r="B218" i="7" s="1"/>
  <c r="C40" i="7"/>
  <c r="B40" i="7"/>
  <c r="C52" i="7"/>
  <c r="C169" i="7" s="1"/>
  <c r="B52" i="7"/>
  <c r="B169" i="7" s="1"/>
  <c r="B22" i="27"/>
  <c r="C119" i="7"/>
  <c r="B119" i="7"/>
  <c r="B63" i="7"/>
  <c r="C63" i="7"/>
  <c r="B185" i="7" l="1"/>
  <c r="B219" i="7"/>
  <c r="B33" i="27"/>
  <c r="C136" i="7" s="1"/>
  <c r="C223" i="7" s="1"/>
  <c r="B34" i="27"/>
  <c r="C126" i="7" s="1"/>
  <c r="C201" i="7" s="1"/>
  <c r="C73" i="7"/>
  <c r="B38" i="27"/>
  <c r="C130" i="7" s="1"/>
  <c r="C231" i="7" s="1"/>
  <c r="B32" i="27"/>
  <c r="C132" i="7" s="1"/>
  <c r="C234" i="7" s="1"/>
  <c r="B37" i="27"/>
  <c r="C129" i="7" s="1"/>
  <c r="C228" i="7" s="1"/>
  <c r="B36" i="27"/>
  <c r="C133" i="7" s="1"/>
  <c r="C237" i="7" s="1"/>
  <c r="B35" i="27"/>
  <c r="C135" i="7" s="1"/>
  <c r="C239" i="7" s="1"/>
  <c r="B28" i="27"/>
  <c r="C69" i="7" s="1"/>
  <c r="C150" i="7" s="1"/>
  <c r="B24" i="27"/>
  <c r="C81" i="7" s="1"/>
  <c r="B25" i="27"/>
  <c r="C77" i="7" s="1"/>
  <c r="B23" i="27"/>
  <c r="C80" i="7" s="1"/>
  <c r="B26" i="27"/>
  <c r="C75" i="7" s="1"/>
  <c r="C185" i="7" s="1"/>
  <c r="B27" i="27"/>
  <c r="C68" i="7" s="1"/>
  <c r="C149" i="7" s="1"/>
  <c r="A36" i="7"/>
  <c r="A35" i="7"/>
  <c r="O16" i="23"/>
  <c r="C28" i="7" l="1"/>
  <c r="C186" i="7" s="1"/>
  <c r="B28" i="7"/>
  <c r="B186" i="7" s="1"/>
  <c r="C195" i="7"/>
  <c r="C196" i="7"/>
  <c r="P196" i="7" s="1"/>
  <c r="P239" i="7"/>
  <c r="P135" i="1" s="1"/>
  <c r="C135" i="1"/>
  <c r="C133" i="1"/>
  <c r="P237" i="7"/>
  <c r="P133" i="1" s="1"/>
  <c r="P231" i="7"/>
  <c r="P127" i="1" s="1"/>
  <c r="C127" i="1"/>
  <c r="C219" i="7"/>
  <c r="B10" i="23"/>
  <c r="C24" i="7" l="1"/>
  <c r="C177" i="7" s="1"/>
  <c r="B24" i="7"/>
  <c r="B177" i="7" s="1"/>
  <c r="C26" i="7"/>
  <c r="C179" i="7" s="1"/>
  <c r="B26" i="7"/>
  <c r="B179" i="7" s="1"/>
  <c r="B4" i="7"/>
  <c r="O25" i="23" l="1"/>
  <c r="C96" i="7" l="1"/>
  <c r="C204" i="7" s="1"/>
  <c r="B96" i="7"/>
  <c r="B204" i="7" s="1"/>
  <c r="C32" i="7" l="1"/>
  <c r="B32" i="7"/>
  <c r="C33" i="7"/>
  <c r="C193" i="7" s="1"/>
  <c r="B33" i="7"/>
  <c r="B193" i="7" s="1"/>
  <c r="C31" i="7"/>
  <c r="C190" i="7" s="1"/>
  <c r="B31" i="7"/>
  <c r="B190" i="7" s="1"/>
  <c r="B36" i="7"/>
  <c r="C36" i="7"/>
  <c r="C197" i="7" s="1"/>
  <c r="P197" i="7" s="1"/>
  <c r="C35" i="7"/>
  <c r="C194" i="7" s="1"/>
  <c r="B156" i="7"/>
  <c r="A69" i="7"/>
  <c r="A68" i="7"/>
  <c r="A41" i="7"/>
  <c r="A40" i="7"/>
  <c r="A79" i="7"/>
  <c r="A77" i="7"/>
  <c r="A80" i="7"/>
  <c r="A71" i="7"/>
  <c r="A75" i="7"/>
  <c r="A74" i="7"/>
  <c r="A78" i="7"/>
  <c r="A76" i="7"/>
  <c r="A70" i="7"/>
  <c r="A73" i="7"/>
  <c r="A113" i="7"/>
  <c r="A121" i="7"/>
  <c r="A115" i="7"/>
  <c r="A116" i="7"/>
  <c r="A109" i="7"/>
  <c r="A112" i="7"/>
  <c r="A117" i="7"/>
  <c r="A110" i="7"/>
  <c r="A118" i="7"/>
  <c r="A120" i="7"/>
  <c r="A114" i="7"/>
  <c r="A111" i="7"/>
  <c r="A119" i="7"/>
  <c r="A62" i="7"/>
  <c r="A61" i="7"/>
  <c r="A42" i="7"/>
  <c r="A49" i="7"/>
  <c r="A54" i="7"/>
  <c r="A51" i="7"/>
  <c r="A45" i="7"/>
  <c r="A56" i="7"/>
  <c r="A60" i="7"/>
  <c r="A48" i="7"/>
  <c r="A57" i="7"/>
  <c r="A58" i="7"/>
  <c r="A52" i="7"/>
  <c r="A59" i="7"/>
  <c r="A47" i="7"/>
  <c r="A46" i="7"/>
  <c r="A53" i="7"/>
  <c r="A105" i="7"/>
  <c r="A104" i="7"/>
  <c r="A102" i="7"/>
  <c r="B197" i="7" l="1"/>
  <c r="O197" i="7" s="1"/>
  <c r="A101" i="7"/>
  <c r="A100" i="7"/>
  <c r="A99" i="7"/>
  <c r="A98" i="7"/>
  <c r="A93" i="7"/>
  <c r="A94" i="7"/>
  <c r="A97" i="7"/>
  <c r="A103" i="7"/>
  <c r="A96" i="7"/>
  <c r="A95" i="7"/>
  <c r="A43" i="7"/>
  <c r="A55" i="7"/>
  <c r="A33" i="7"/>
  <c r="A32" i="7"/>
  <c r="A30" i="7"/>
  <c r="A27" i="7"/>
  <c r="A29" i="7"/>
  <c r="A28" i="7"/>
  <c r="A26" i="7"/>
  <c r="A25" i="7"/>
  <c r="A24" i="7"/>
  <c r="A23" i="7"/>
  <c r="A22" i="7"/>
  <c r="A21" i="7"/>
  <c r="A20" i="7"/>
  <c r="A34" i="7"/>
  <c r="A19" i="7"/>
  <c r="A18" i="7"/>
  <c r="A17" i="7"/>
  <c r="A31" i="7"/>
  <c r="A16" i="7"/>
  <c r="A15" i="7"/>
  <c r="A14" i="7"/>
  <c r="A13" i="7"/>
  <c r="A9" i="7"/>
  <c r="A10" i="7"/>
  <c r="A8" i="7"/>
  <c r="A12" i="7"/>
  <c r="A11" i="7"/>
  <c r="G96" i="9"/>
  <c r="N236" i="7" s="1"/>
  <c r="G95" i="9"/>
  <c r="N235" i="7" s="1"/>
  <c r="G94" i="9"/>
  <c r="N234" i="7" s="1"/>
  <c r="G93" i="9"/>
  <c r="N233" i="7" s="1"/>
  <c r="BZ4" i="21"/>
  <c r="BY4" i="21"/>
  <c r="BX4" i="21"/>
  <c r="BW4" i="21"/>
  <c r="BV4" i="21"/>
  <c r="BU4" i="21"/>
  <c r="BS4" i="21"/>
  <c r="BR4" i="21"/>
  <c r="BQ4" i="21"/>
  <c r="BP4" i="2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CV3" i="21"/>
  <c r="CU3" i="21"/>
  <c r="CT3" i="21"/>
  <c r="CS3" i="21"/>
  <c r="CR3" i="21"/>
  <c r="CQ3" i="21"/>
  <c r="CO3" i="21"/>
  <c r="CN3" i="21"/>
  <c r="CM3" i="21"/>
  <c r="CL3" i="21"/>
  <c r="DR2" i="21"/>
  <c r="DQ2" i="21"/>
  <c r="DP2" i="21"/>
  <c r="DO2" i="21"/>
  <c r="DN2" i="21"/>
  <c r="DM2" i="21"/>
  <c r="DK2" i="21"/>
  <c r="DJ2" i="21"/>
  <c r="DI2" i="21"/>
  <c r="DH2" i="21"/>
  <c r="DG2" i="21"/>
  <c r="DF2" i="21"/>
  <c r="DE2" i="21"/>
  <c r="DD2" i="21"/>
  <c r="DC2" i="21"/>
  <c r="DB2" i="21"/>
  <c r="CZ2" i="21"/>
  <c r="CY2" i="21"/>
  <c r="CX2" i="21"/>
  <c r="CW2" i="21"/>
  <c r="CV2" i="21"/>
  <c r="CU2" i="21"/>
  <c r="CT2" i="21"/>
  <c r="CS2" i="21"/>
  <c r="CR2" i="21"/>
  <c r="CQ2" i="21"/>
  <c r="CO2" i="21"/>
  <c r="CN2" i="21"/>
  <c r="CM2" i="21"/>
  <c r="CL2" i="21"/>
  <c r="CK2" i="21"/>
  <c r="CJ2" i="21"/>
  <c r="CI2" i="21"/>
  <c r="CH2" i="21"/>
  <c r="CG2" i="21"/>
  <c r="CF2" i="21"/>
  <c r="CD2" i="21"/>
  <c r="CC2" i="21"/>
  <c r="CB2" i="21"/>
  <c r="CA2" i="21"/>
  <c r="BZ2" i="21"/>
  <c r="BY2" i="21"/>
  <c r="BX2" i="21"/>
  <c r="BW2" i="21"/>
  <c r="BV2" i="21"/>
  <c r="BU2" i="21"/>
  <c r="BS2" i="21"/>
  <c r="BR2" i="21"/>
  <c r="BQ2" i="21"/>
  <c r="BP2" i="21"/>
  <c r="BO2" i="21"/>
  <c r="BN2" i="21"/>
  <c r="BM2" i="21"/>
  <c r="BL2" i="21"/>
  <c r="BK2" i="21"/>
  <c r="BJ2" i="21"/>
  <c r="BH2" i="21"/>
  <c r="BG2" i="21"/>
  <c r="BF2" i="21"/>
  <c r="BE2" i="21"/>
  <c r="BD2" i="21"/>
  <c r="BC2" i="21"/>
  <c r="BB2" i="21"/>
  <c r="BA2" i="21"/>
  <c r="AZ2" i="21"/>
  <c r="AY2" i="21"/>
  <c r="AW2" i="21"/>
  <c r="AV2" i="21"/>
  <c r="AU2" i="21"/>
  <c r="AT2" i="21"/>
  <c r="AS2" i="21"/>
  <c r="AR2" i="21"/>
  <c r="AQ2" i="21"/>
  <c r="AP2" i="21"/>
  <c r="AO2" i="21"/>
  <c r="AN2" i="21"/>
  <c r="AL2" i="21"/>
  <c r="AK2" i="21"/>
  <c r="AJ2" i="21"/>
  <c r="AI2" i="21"/>
  <c r="AH2" i="21"/>
  <c r="AG2" i="21"/>
  <c r="AF2" i="21"/>
  <c r="AE2" i="21"/>
  <c r="AD2" i="21"/>
  <c r="AC2" i="21"/>
  <c r="AA2" i="21"/>
  <c r="Z2" i="21"/>
  <c r="Y2" i="21"/>
  <c r="X2" i="21"/>
  <c r="W2" i="21"/>
  <c r="V2" i="21"/>
  <c r="U2" i="21"/>
  <c r="T2" i="21"/>
  <c r="S2" i="21"/>
  <c r="R2" i="21"/>
  <c r="P2" i="21"/>
  <c r="O2" i="21"/>
  <c r="N2" i="21"/>
  <c r="M2" i="21"/>
  <c r="L2" i="21"/>
  <c r="K2" i="21"/>
  <c r="J2" i="21"/>
  <c r="I2" i="21"/>
  <c r="H2" i="21"/>
  <c r="E2" i="21"/>
  <c r="D2" i="21"/>
  <c r="C2" i="21"/>
  <c r="B2" i="21"/>
  <c r="M25" i="1"/>
  <c r="M16" i="10" s="1"/>
  <c r="N25" i="1"/>
  <c r="N16" i="10" s="1"/>
  <c r="O25" i="1"/>
  <c r="O16" i="10" s="1"/>
  <c r="P25" i="1"/>
  <c r="P16" i="10" s="1"/>
  <c r="Q25" i="1"/>
  <c r="Q16" i="10" s="1"/>
  <c r="CM3" i="5"/>
  <c r="CN3" i="5"/>
  <c r="CO3" i="5"/>
  <c r="CQ3" i="5"/>
  <c r="CR3" i="5"/>
  <c r="CS3" i="5"/>
  <c r="CT3" i="5"/>
  <c r="CU3" i="5"/>
  <c r="CV3" i="5"/>
  <c r="CL3" i="5"/>
  <c r="BQ4" i="5"/>
  <c r="BR4" i="5"/>
  <c r="BS4" i="5"/>
  <c r="BU4" i="5"/>
  <c r="BV4" i="5"/>
  <c r="BW4" i="5"/>
  <c r="BX4" i="5"/>
  <c r="BY4" i="5"/>
  <c r="BZ4" i="5"/>
  <c r="N46" i="1"/>
  <c r="O46" i="1"/>
  <c r="P46" i="1"/>
  <c r="Q46" i="1"/>
  <c r="N50" i="1"/>
  <c r="O50" i="1"/>
  <c r="P50" i="1"/>
  <c r="Q50" i="1"/>
  <c r="M46" i="1"/>
  <c r="C50" i="1"/>
  <c r="D50" i="1"/>
  <c r="E50" i="1"/>
  <c r="G50" i="1"/>
  <c r="H50" i="1"/>
  <c r="I50" i="1"/>
  <c r="J50" i="1"/>
  <c r="K50" i="1"/>
  <c r="L50" i="1"/>
  <c r="M50" i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G31" i="1" s="1"/>
  <c r="H31" i="1" s="1"/>
  <c r="I31" i="1" s="1"/>
  <c r="C32" i="1"/>
  <c r="D32" i="1" s="1"/>
  <c r="E32" i="1" s="1"/>
  <c r="G32" i="1" s="1"/>
  <c r="C33" i="1"/>
  <c r="D33" i="1" s="1"/>
  <c r="E33" i="1" s="1"/>
  <c r="C34" i="1"/>
  <c r="D34" i="1" s="1"/>
  <c r="E34" i="1" s="1"/>
  <c r="C35" i="1"/>
  <c r="D35" i="1" s="1"/>
  <c r="E35" i="1" s="1"/>
  <c r="G35" i="1" s="1"/>
  <c r="H35" i="1" s="1"/>
  <c r="C27" i="1"/>
  <c r="D27" i="1" s="1"/>
  <c r="E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D24" i="1"/>
  <c r="D15" i="10" s="1"/>
  <c r="E24" i="1"/>
  <c r="C16" i="1"/>
  <c r="C17" i="1"/>
  <c r="C18" i="1"/>
  <c r="C19" i="1"/>
  <c r="C20" i="1"/>
  <c r="C21" i="1"/>
  <c r="C22" i="1"/>
  <c r="C23" i="1"/>
  <c r="C15" i="1"/>
  <c r="B148" i="7"/>
  <c r="D16" i="1" l="1"/>
  <c r="C7" i="10"/>
  <c r="G24" i="1"/>
  <c r="E15" i="10"/>
  <c r="D23" i="1"/>
  <c r="C14" i="10"/>
  <c r="D22" i="1"/>
  <c r="C13" i="10"/>
  <c r="D19" i="1"/>
  <c r="C10" i="10"/>
  <c r="D21" i="1"/>
  <c r="C12" i="10"/>
  <c r="D20" i="1"/>
  <c r="C11" i="10"/>
  <c r="D18" i="1"/>
  <c r="C9" i="10"/>
  <c r="D15" i="1"/>
  <c r="C6" i="10"/>
  <c r="D17" i="1"/>
  <c r="C8" i="10"/>
  <c r="K129" i="1"/>
  <c r="L129" i="1"/>
  <c r="M129" i="1"/>
  <c r="N129" i="1"/>
  <c r="O233" i="7"/>
  <c r="O129" i="1" s="1"/>
  <c r="P233" i="7"/>
  <c r="P129" i="1" s="1"/>
  <c r="Q233" i="7"/>
  <c r="Q129" i="1" s="1"/>
  <c r="C129" i="1"/>
  <c r="R233" i="7"/>
  <c r="D129" i="1"/>
  <c r="S233" i="7"/>
  <c r="E129" i="1"/>
  <c r="B129" i="1"/>
  <c r="T233" i="7"/>
  <c r="G129" i="1"/>
  <c r="U233" i="7"/>
  <c r="H129" i="1"/>
  <c r="V233" i="7"/>
  <c r="I129" i="1"/>
  <c r="W233" i="7"/>
  <c r="J129" i="1"/>
  <c r="X233" i="7"/>
  <c r="U235" i="7"/>
  <c r="V235" i="7"/>
  <c r="W235" i="7"/>
  <c r="X235" i="7"/>
  <c r="C131" i="1"/>
  <c r="D131" i="1"/>
  <c r="E131" i="1"/>
  <c r="G131" i="1"/>
  <c r="H131" i="1"/>
  <c r="I131" i="1"/>
  <c r="O235" i="7"/>
  <c r="O131" i="1" s="1"/>
  <c r="J131" i="1"/>
  <c r="P235" i="7"/>
  <c r="P131" i="1" s="1"/>
  <c r="K131" i="1"/>
  <c r="Q235" i="7"/>
  <c r="Q131" i="1" s="1"/>
  <c r="L131" i="1"/>
  <c r="B131" i="1"/>
  <c r="R235" i="7"/>
  <c r="M131" i="1"/>
  <c r="S235" i="7"/>
  <c r="N131" i="1"/>
  <c r="T235" i="7"/>
  <c r="C132" i="1"/>
  <c r="D132" i="1"/>
  <c r="O236" i="7"/>
  <c r="O132" i="1" s="1"/>
  <c r="E132" i="1"/>
  <c r="P236" i="7"/>
  <c r="P132" i="1" s="1"/>
  <c r="G132" i="1"/>
  <c r="Q236" i="7"/>
  <c r="H132" i="1"/>
  <c r="R236" i="7"/>
  <c r="I132" i="1"/>
  <c r="S236" i="7"/>
  <c r="J132" i="1"/>
  <c r="T236" i="7"/>
  <c r="K132" i="1"/>
  <c r="U236" i="7"/>
  <c r="L132" i="1"/>
  <c r="V236" i="7"/>
  <c r="M132" i="1"/>
  <c r="W236" i="7"/>
  <c r="N132" i="1"/>
  <c r="X236" i="7"/>
  <c r="B132" i="1"/>
  <c r="M130" i="1"/>
  <c r="N130" i="1"/>
  <c r="T234" i="7"/>
  <c r="U234" i="7"/>
  <c r="C130" i="1"/>
  <c r="V234" i="7"/>
  <c r="D130" i="1"/>
  <c r="W234" i="7"/>
  <c r="E130" i="1"/>
  <c r="X234" i="7"/>
  <c r="G130" i="1"/>
  <c r="H130" i="1"/>
  <c r="I130" i="1"/>
  <c r="B130" i="1"/>
  <c r="J130" i="1"/>
  <c r="K130" i="1"/>
  <c r="L130" i="1"/>
  <c r="S234" i="7"/>
  <c r="Q234" i="7"/>
  <c r="R234" i="7"/>
  <c r="P234" i="7"/>
  <c r="P130" i="1" s="1"/>
  <c r="O234" i="7"/>
  <c r="O130" i="1" s="1"/>
  <c r="J21" i="1"/>
  <c r="J12" i="10" s="1"/>
  <c r="I35" i="1"/>
  <c r="G33" i="1"/>
  <c r="H32" i="1"/>
  <c r="J31" i="1"/>
  <c r="G30" i="1"/>
  <c r="G29" i="1"/>
  <c r="G28" i="1"/>
  <c r="G34" i="1"/>
  <c r="E17" i="1" l="1"/>
  <c r="D8" i="10"/>
  <c r="E22" i="1"/>
  <c r="D13" i="10"/>
  <c r="E21" i="1"/>
  <c r="D12" i="10"/>
  <c r="E19" i="1"/>
  <c r="D10" i="10"/>
  <c r="E15" i="1"/>
  <c r="D6" i="10"/>
  <c r="E23" i="1"/>
  <c r="D14" i="10"/>
  <c r="E18" i="1"/>
  <c r="D9" i="10"/>
  <c r="H24" i="1"/>
  <c r="G15" i="10"/>
  <c r="E20" i="1"/>
  <c r="D11" i="10"/>
  <c r="E16" i="1"/>
  <c r="D7" i="10"/>
  <c r="Q132" i="1"/>
  <c r="Q130" i="1"/>
  <c r="H28" i="1"/>
  <c r="K31" i="1"/>
  <c r="I32" i="1"/>
  <c r="H33" i="1"/>
  <c r="H34" i="1"/>
  <c r="H29" i="1"/>
  <c r="H30" i="1"/>
  <c r="J35" i="1"/>
  <c r="G23" i="1" l="1"/>
  <c r="E14" i="10"/>
  <c r="G15" i="1"/>
  <c r="E6" i="10"/>
  <c r="G22" i="1"/>
  <c r="E13" i="10"/>
  <c r="G19" i="1"/>
  <c r="E10" i="10"/>
  <c r="G21" i="1"/>
  <c r="E12" i="10"/>
  <c r="G16" i="1"/>
  <c r="E7" i="10"/>
  <c r="G20" i="1"/>
  <c r="E11" i="10"/>
  <c r="J24" i="1"/>
  <c r="J15" i="10" s="1"/>
  <c r="H15" i="10"/>
  <c r="K24" i="1"/>
  <c r="G18" i="1"/>
  <c r="E9" i="10"/>
  <c r="G17" i="1"/>
  <c r="E8" i="10"/>
  <c r="K35" i="1"/>
  <c r="I29" i="1"/>
  <c r="I33" i="1"/>
  <c r="I34" i="1"/>
  <c r="J32" i="1"/>
  <c r="I30" i="1"/>
  <c r="L31" i="1"/>
  <c r="I28" i="1"/>
  <c r="H19" i="1" l="1"/>
  <c r="G10" i="10"/>
  <c r="H18" i="1"/>
  <c r="G9" i="10"/>
  <c r="H21" i="1"/>
  <c r="G12" i="10"/>
  <c r="H17" i="1"/>
  <c r="G8" i="10"/>
  <c r="H22" i="1"/>
  <c r="G13" i="10"/>
  <c r="H16" i="1"/>
  <c r="G7" i="10"/>
  <c r="L24" i="1"/>
  <c r="K15" i="10"/>
  <c r="H15" i="1"/>
  <c r="G6" i="10"/>
  <c r="H20" i="1"/>
  <c r="G11" i="10"/>
  <c r="H23" i="1"/>
  <c r="G14" i="10"/>
  <c r="M31" i="1"/>
  <c r="N31" i="1" s="1"/>
  <c r="O31" i="1" s="1"/>
  <c r="P31" i="1" s="1"/>
  <c r="Q31" i="1" s="1"/>
  <c r="J29" i="1"/>
  <c r="J28" i="1"/>
  <c r="J30" i="1"/>
  <c r="K32" i="1"/>
  <c r="J34" i="1"/>
  <c r="J33" i="1"/>
  <c r="L35" i="1"/>
  <c r="I17" i="1" l="1"/>
  <c r="H8" i="10"/>
  <c r="I16" i="1"/>
  <c r="H7" i="10"/>
  <c r="I23" i="1"/>
  <c r="H14" i="10"/>
  <c r="I20" i="1"/>
  <c r="H11" i="10"/>
  <c r="I22" i="1"/>
  <c r="H13" i="10"/>
  <c r="H12" i="10"/>
  <c r="K21" i="1"/>
  <c r="J15" i="1"/>
  <c r="J6" i="10" s="1"/>
  <c r="H6" i="10"/>
  <c r="K15" i="1"/>
  <c r="I18" i="1"/>
  <c r="H9" i="10"/>
  <c r="M24" i="1"/>
  <c r="L15" i="10"/>
  <c r="H10" i="10"/>
  <c r="I19" i="1"/>
  <c r="M35" i="1"/>
  <c r="N35" i="1" s="1"/>
  <c r="O35" i="1" s="1"/>
  <c r="P35" i="1" s="1"/>
  <c r="Q35" i="1" s="1"/>
  <c r="K33" i="1"/>
  <c r="K34" i="1"/>
  <c r="L32" i="1"/>
  <c r="K30" i="1"/>
  <c r="K28" i="1"/>
  <c r="K29" i="1"/>
  <c r="K12" i="10" l="1"/>
  <c r="L21" i="1"/>
  <c r="J20" i="1"/>
  <c r="I11" i="10"/>
  <c r="K6" i="10"/>
  <c r="L15" i="1"/>
  <c r="J22" i="1"/>
  <c r="I13" i="10"/>
  <c r="N24" i="1"/>
  <c r="M15" i="10"/>
  <c r="J18" i="1"/>
  <c r="I9" i="10"/>
  <c r="I10" i="10"/>
  <c r="J19" i="1"/>
  <c r="J23" i="1"/>
  <c r="I14" i="10"/>
  <c r="J16" i="1"/>
  <c r="I7" i="10"/>
  <c r="J17" i="1"/>
  <c r="I8" i="10"/>
  <c r="L29" i="1"/>
  <c r="L28" i="1"/>
  <c r="L30" i="1"/>
  <c r="M32" i="1"/>
  <c r="N32" i="1" s="1"/>
  <c r="O32" i="1" s="1"/>
  <c r="P32" i="1" s="1"/>
  <c r="Q32" i="1" s="1"/>
  <c r="L34" i="1"/>
  <c r="L33" i="1"/>
  <c r="K16" i="1" l="1"/>
  <c r="J7" i="10"/>
  <c r="K18" i="1"/>
  <c r="J9" i="10"/>
  <c r="K22" i="1"/>
  <c r="J13" i="10"/>
  <c r="K23" i="1"/>
  <c r="J14" i="10"/>
  <c r="L12" i="10"/>
  <c r="M21" i="1"/>
  <c r="O24" i="1"/>
  <c r="N15" i="10"/>
  <c r="K17" i="1"/>
  <c r="J8" i="10"/>
  <c r="M15" i="1"/>
  <c r="L6" i="10"/>
  <c r="K20" i="1"/>
  <c r="J11" i="10"/>
  <c r="J10" i="10"/>
  <c r="K19" i="1"/>
  <c r="M34" i="1"/>
  <c r="N34" i="1" s="1"/>
  <c r="O34" i="1" s="1"/>
  <c r="P34" i="1" s="1"/>
  <c r="Q34" i="1" s="1"/>
  <c r="M30" i="1"/>
  <c r="N30" i="1" s="1"/>
  <c r="O30" i="1" s="1"/>
  <c r="P30" i="1" s="1"/>
  <c r="Q30" i="1" s="1"/>
  <c r="M28" i="1"/>
  <c r="N28" i="1" s="1"/>
  <c r="O28" i="1" s="1"/>
  <c r="P28" i="1" s="1"/>
  <c r="Q28" i="1" s="1"/>
  <c r="M33" i="1"/>
  <c r="N33" i="1" s="1"/>
  <c r="O33" i="1" s="1"/>
  <c r="P33" i="1" s="1"/>
  <c r="Q33" i="1" s="1"/>
  <c r="M29" i="1"/>
  <c r="N29" i="1" s="1"/>
  <c r="O29" i="1" s="1"/>
  <c r="P29" i="1" s="1"/>
  <c r="Q29" i="1" s="1"/>
  <c r="L20" i="1" l="1"/>
  <c r="K11" i="10"/>
  <c r="N15" i="1"/>
  <c r="M6" i="10"/>
  <c r="P24" i="1"/>
  <c r="O15" i="10"/>
  <c r="L23" i="1"/>
  <c r="K14" i="10"/>
  <c r="M12" i="10"/>
  <c r="N21" i="1"/>
  <c r="K10" i="10"/>
  <c r="L19" i="1"/>
  <c r="L22" i="1"/>
  <c r="K13" i="10"/>
  <c r="L18" i="1"/>
  <c r="K9" i="10"/>
  <c r="L17" i="1"/>
  <c r="K8" i="10"/>
  <c r="L16" i="1"/>
  <c r="K7" i="10"/>
  <c r="Q1" i="10"/>
  <c r="M1" i="10"/>
  <c r="N1" i="10"/>
  <c r="O1" i="10"/>
  <c r="P1" i="10"/>
  <c r="P2" i="1"/>
  <c r="Q2" i="1"/>
  <c r="M2" i="1"/>
  <c r="N2" i="1"/>
  <c r="O2" i="1"/>
  <c r="N12" i="10" l="1"/>
  <c r="O21" i="1"/>
  <c r="M16" i="1"/>
  <c r="L7" i="10"/>
  <c r="M23" i="1"/>
  <c r="L14" i="10"/>
  <c r="M17" i="1"/>
  <c r="L8" i="10"/>
  <c r="M18" i="1"/>
  <c r="L9" i="10"/>
  <c r="Q24" i="1"/>
  <c r="Q15" i="10" s="1"/>
  <c r="P15" i="10"/>
  <c r="O15" i="1"/>
  <c r="N6" i="10"/>
  <c r="M22" i="1"/>
  <c r="L13" i="10"/>
  <c r="L10" i="10"/>
  <c r="M19" i="1"/>
  <c r="M20" i="1"/>
  <c r="L11" i="10"/>
  <c r="I34" i="10"/>
  <c r="C1" i="10"/>
  <c r="D1" i="10"/>
  <c r="E1" i="10"/>
  <c r="H1" i="10"/>
  <c r="I1" i="10"/>
  <c r="J1" i="10"/>
  <c r="K1" i="10"/>
  <c r="L1" i="10"/>
  <c r="B1" i="10"/>
  <c r="I169" i="7"/>
  <c r="I5" i="7"/>
  <c r="F20" i="18"/>
  <c r="E20" i="18"/>
  <c r="D20" i="18"/>
  <c r="G19" i="18"/>
  <c r="B19" i="18"/>
  <c r="G11" i="18"/>
  <c r="G9" i="18"/>
  <c r="G13" i="18" s="1"/>
  <c r="F9" i="18"/>
  <c r="F13" i="18" s="1"/>
  <c r="D9" i="18"/>
  <c r="D13" i="18" s="1"/>
  <c r="E8" i="18"/>
  <c r="E9" i="18" s="1"/>
  <c r="H7" i="18"/>
  <c r="H11" i="18" s="1"/>
  <c r="G7" i="18"/>
  <c r="D7" i="18"/>
  <c r="D11" i="18" s="1"/>
  <c r="B7" i="18"/>
  <c r="B11" i="18" s="1"/>
  <c r="F6" i="18"/>
  <c r="E6" i="18"/>
  <c r="G3" i="18"/>
  <c r="B149" i="7"/>
  <c r="B150" i="7"/>
  <c r="B151" i="7"/>
  <c r="B152" i="7"/>
  <c r="M10" i="10" l="1"/>
  <c r="N19" i="1"/>
  <c r="N17" i="1"/>
  <c r="M8" i="10"/>
  <c r="M9" i="10"/>
  <c r="N18" i="1"/>
  <c r="M38" i="1"/>
  <c r="M39" i="1" s="1"/>
  <c r="M40" i="1"/>
  <c r="N16" i="1"/>
  <c r="M7" i="10"/>
  <c r="O12" i="10"/>
  <c r="P21" i="1"/>
  <c r="N20" i="1"/>
  <c r="M11" i="10"/>
  <c r="M14" i="10"/>
  <c r="N23" i="1"/>
  <c r="M37" i="1"/>
  <c r="N22" i="1"/>
  <c r="M13" i="10"/>
  <c r="P15" i="1"/>
  <c r="O6" i="10"/>
  <c r="I4" i="7"/>
  <c r="I152" i="7"/>
  <c r="B21" i="18"/>
  <c r="B9" i="18"/>
  <c r="B13" i="18" s="1"/>
  <c r="G6" i="18"/>
  <c r="H9" i="18"/>
  <c r="H20" i="18" s="1"/>
  <c r="H19" i="18" s="1"/>
  <c r="G20" i="18"/>
  <c r="B20" i="18"/>
  <c r="E13" i="18"/>
  <c r="E15" i="18"/>
  <c r="B15" i="18"/>
  <c r="D15" i="18"/>
  <c r="F15" i="18"/>
  <c r="G15" i="18"/>
  <c r="O16" i="1" l="1"/>
  <c r="N7" i="10"/>
  <c r="M41" i="1"/>
  <c r="M42" i="1"/>
  <c r="M43" i="1" s="1"/>
  <c r="O17" i="1"/>
  <c r="N8" i="10"/>
  <c r="Q15" i="1"/>
  <c r="Q6" i="10" s="1"/>
  <c r="P6" i="10"/>
  <c r="O22" i="1"/>
  <c r="N13" i="10"/>
  <c r="N9" i="10"/>
  <c r="O18" i="1"/>
  <c r="N38" i="1"/>
  <c r="N40" i="1"/>
  <c r="N14" i="10"/>
  <c r="N37" i="1"/>
  <c r="O23" i="1"/>
  <c r="O20" i="1"/>
  <c r="N11" i="10"/>
  <c r="N10" i="10"/>
  <c r="O19" i="1"/>
  <c r="N39" i="1"/>
  <c r="P12" i="10"/>
  <c r="Q21" i="1"/>
  <c r="H13" i="18"/>
  <c r="A2" i="2"/>
  <c r="A1" i="2"/>
  <c r="A36" i="2"/>
  <c r="A33" i="2"/>
  <c r="A34" i="2"/>
  <c r="A35" i="2"/>
  <c r="A27" i="2"/>
  <c r="A28" i="2"/>
  <c r="A29" i="2"/>
  <c r="A30" i="2"/>
  <c r="A31" i="2"/>
  <c r="A32" i="2"/>
  <c r="A20" i="2"/>
  <c r="A21" i="2"/>
  <c r="A22" i="2"/>
  <c r="A23" i="2"/>
  <c r="A24" i="2"/>
  <c r="A25" i="2"/>
  <c r="A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O10" i="10" l="1"/>
  <c r="P19" i="1"/>
  <c r="O9" i="10"/>
  <c r="O40" i="1"/>
  <c r="O38" i="1"/>
  <c r="O39" i="1" s="1"/>
  <c r="P18" i="1"/>
  <c r="P17" i="1"/>
  <c r="O8" i="10"/>
  <c r="P22" i="1"/>
  <c r="O13" i="10"/>
  <c r="N41" i="1"/>
  <c r="N42" i="1"/>
  <c r="P20" i="1"/>
  <c r="O11" i="10"/>
  <c r="O14" i="10"/>
  <c r="O37" i="1"/>
  <c r="P23" i="1"/>
  <c r="Q12" i="10"/>
  <c r="P16" i="1"/>
  <c r="O7" i="10"/>
  <c r="A52" i="1"/>
  <c r="C10" i="2"/>
  <c r="D10" i="2" s="1"/>
  <c r="C11" i="2"/>
  <c r="D11" i="2" s="1"/>
  <c r="Z202" i="7"/>
  <c r="Z150" i="7"/>
  <c r="Z151" i="7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C22" i="2"/>
  <c r="D22" i="2" s="1"/>
  <c r="C25" i="2"/>
  <c r="D25" i="2" s="1"/>
  <c r="C29" i="2"/>
  <c r="D29" i="2" s="1"/>
  <c r="Z226" i="7"/>
  <c r="C36" i="2"/>
  <c r="Z153" i="7"/>
  <c r="Z155" i="7"/>
  <c r="Z157" i="7"/>
  <c r="Z158" i="7"/>
  <c r="Z159" i="7"/>
  <c r="Z160" i="7"/>
  <c r="Z162" i="7"/>
  <c r="Z164" i="7"/>
  <c r="Z166" i="7"/>
  <c r="Z167" i="7"/>
  <c r="Z170" i="7"/>
  <c r="Z171" i="7"/>
  <c r="Z172" i="7"/>
  <c r="Z173" i="7"/>
  <c r="Z174" i="7"/>
  <c r="Z178" i="7"/>
  <c r="Z180" i="7"/>
  <c r="Z182" i="7"/>
  <c r="Z183" i="7"/>
  <c r="Z187" i="7"/>
  <c r="Z189" i="7"/>
  <c r="Z191" i="7"/>
  <c r="Z194" i="7"/>
  <c r="Z192" i="7"/>
  <c r="Z201" i="7"/>
  <c r="Z215" i="7"/>
  <c r="Q22" i="1" l="1"/>
  <c r="Q13" i="10" s="1"/>
  <c r="P13" i="10"/>
  <c r="P9" i="10"/>
  <c r="P40" i="1"/>
  <c r="Q18" i="1"/>
  <c r="P38" i="1"/>
  <c r="P39" i="1" s="1"/>
  <c r="O41" i="1"/>
  <c r="O42" i="1"/>
  <c r="O43" i="1" s="1"/>
  <c r="Q16" i="1"/>
  <c r="Q7" i="10" s="1"/>
  <c r="P7" i="10"/>
  <c r="Q17" i="1"/>
  <c r="Q8" i="10" s="1"/>
  <c r="P8" i="10"/>
  <c r="Q20" i="1"/>
  <c r="Q11" i="10" s="1"/>
  <c r="P11" i="10"/>
  <c r="P10" i="10"/>
  <c r="Q19" i="1"/>
  <c r="P14" i="10"/>
  <c r="P37" i="1"/>
  <c r="Q23" i="1"/>
  <c r="N43" i="1"/>
  <c r="D21" i="2"/>
  <c r="C123" i="1"/>
  <c r="D123" i="1"/>
  <c r="E123" i="1"/>
  <c r="G123" i="1"/>
  <c r="H123" i="1"/>
  <c r="I123" i="1"/>
  <c r="J123" i="1"/>
  <c r="K123" i="1"/>
  <c r="L123" i="1"/>
  <c r="M123" i="1"/>
  <c r="C117" i="1"/>
  <c r="D117" i="1"/>
  <c r="E117" i="1"/>
  <c r="G117" i="1"/>
  <c r="H117" i="1"/>
  <c r="B117" i="1"/>
  <c r="I117" i="1"/>
  <c r="J117" i="1"/>
  <c r="K117" i="1"/>
  <c r="L117" i="1"/>
  <c r="M117" i="1"/>
  <c r="N117" i="1"/>
  <c r="M122" i="1"/>
  <c r="B122" i="1"/>
  <c r="C122" i="1"/>
  <c r="D122" i="1"/>
  <c r="E122" i="1"/>
  <c r="G122" i="1"/>
  <c r="H122" i="1"/>
  <c r="J122" i="1"/>
  <c r="K122" i="1"/>
  <c r="L122" i="1"/>
  <c r="B101" i="1"/>
  <c r="C101" i="1"/>
  <c r="D101" i="1"/>
  <c r="E101" i="1"/>
  <c r="G101" i="1"/>
  <c r="H101" i="1"/>
  <c r="I101" i="1"/>
  <c r="J101" i="1"/>
  <c r="K101" i="1"/>
  <c r="L101" i="1"/>
  <c r="M101" i="1"/>
  <c r="N101" i="1"/>
  <c r="N110" i="1"/>
  <c r="D110" i="1"/>
  <c r="E110" i="1"/>
  <c r="G110" i="1"/>
  <c r="H110" i="1"/>
  <c r="I110" i="1"/>
  <c r="J110" i="1"/>
  <c r="K110" i="1"/>
  <c r="L110" i="1"/>
  <c r="M110" i="1"/>
  <c r="B110" i="1"/>
  <c r="C110" i="1"/>
  <c r="C107" i="1"/>
  <c r="D107" i="1"/>
  <c r="E107" i="1"/>
  <c r="G107" i="1"/>
  <c r="H107" i="1"/>
  <c r="I107" i="1"/>
  <c r="B107" i="1"/>
  <c r="N107" i="1"/>
  <c r="J107" i="1"/>
  <c r="K107" i="1"/>
  <c r="L107" i="1"/>
  <c r="M107" i="1"/>
  <c r="G121" i="1"/>
  <c r="H121" i="1"/>
  <c r="I121" i="1"/>
  <c r="J121" i="1"/>
  <c r="K121" i="1"/>
  <c r="L121" i="1"/>
  <c r="M121" i="1"/>
  <c r="B121" i="1"/>
  <c r="C121" i="1"/>
  <c r="D121" i="1"/>
  <c r="E121" i="1"/>
  <c r="D126" i="1"/>
  <c r="E126" i="1"/>
  <c r="G126" i="1"/>
  <c r="N126" i="1"/>
  <c r="H126" i="1"/>
  <c r="B126" i="1"/>
  <c r="J126" i="1"/>
  <c r="K126" i="1"/>
  <c r="L126" i="1"/>
  <c r="M126" i="1"/>
  <c r="C126" i="1"/>
  <c r="C115" i="1"/>
  <c r="D115" i="1"/>
  <c r="E115" i="1"/>
  <c r="G115" i="1"/>
  <c r="H115" i="1"/>
  <c r="J115" i="1"/>
  <c r="K115" i="1"/>
  <c r="L115" i="1"/>
  <c r="M115" i="1"/>
  <c r="B115" i="1"/>
  <c r="B125" i="1"/>
  <c r="C125" i="1"/>
  <c r="D125" i="1"/>
  <c r="E125" i="1"/>
  <c r="G125" i="1"/>
  <c r="H125" i="1"/>
  <c r="I125" i="1"/>
  <c r="J125" i="1"/>
  <c r="K125" i="1"/>
  <c r="L125" i="1"/>
  <c r="M125" i="1"/>
  <c r="M114" i="1"/>
  <c r="C114" i="1"/>
  <c r="D114" i="1"/>
  <c r="E114" i="1"/>
  <c r="G114" i="1"/>
  <c r="H114" i="1"/>
  <c r="B114" i="1"/>
  <c r="I114" i="1"/>
  <c r="J114" i="1"/>
  <c r="K114" i="1"/>
  <c r="L114" i="1"/>
  <c r="C109" i="1"/>
  <c r="D109" i="1"/>
  <c r="E109" i="1"/>
  <c r="G109" i="1"/>
  <c r="H109" i="1"/>
  <c r="I109" i="1"/>
  <c r="J109" i="1"/>
  <c r="K109" i="1"/>
  <c r="L109" i="1"/>
  <c r="M109" i="1"/>
  <c r="N109" i="1"/>
  <c r="B109" i="1"/>
  <c r="K119" i="1"/>
  <c r="L119" i="1"/>
  <c r="M119" i="1"/>
  <c r="B119" i="1"/>
  <c r="C119" i="1"/>
  <c r="D119" i="1"/>
  <c r="E119" i="1"/>
  <c r="G119" i="1"/>
  <c r="H119" i="1"/>
  <c r="I119" i="1"/>
  <c r="J119" i="1"/>
  <c r="I124" i="1"/>
  <c r="J124" i="1"/>
  <c r="B124" i="1"/>
  <c r="K124" i="1"/>
  <c r="L124" i="1"/>
  <c r="M124" i="1"/>
  <c r="C124" i="1"/>
  <c r="D124" i="1"/>
  <c r="E124" i="1"/>
  <c r="G124" i="1"/>
  <c r="H124" i="1"/>
  <c r="D118" i="1"/>
  <c r="E118" i="1"/>
  <c r="G118" i="1"/>
  <c r="N118" i="1"/>
  <c r="H118" i="1"/>
  <c r="I118" i="1"/>
  <c r="J118" i="1"/>
  <c r="K118" i="1"/>
  <c r="L118" i="1"/>
  <c r="M118" i="1"/>
  <c r="C118" i="1"/>
  <c r="B118" i="1"/>
  <c r="G105" i="1"/>
  <c r="H105" i="1"/>
  <c r="I105" i="1"/>
  <c r="J105" i="1"/>
  <c r="K105" i="1"/>
  <c r="B105" i="1"/>
  <c r="L105" i="1"/>
  <c r="M105" i="1"/>
  <c r="C105" i="1"/>
  <c r="D105" i="1"/>
  <c r="N105" i="1"/>
  <c r="E105" i="1"/>
  <c r="U225" i="7"/>
  <c r="Z224" i="7"/>
  <c r="AI224" i="7" s="1"/>
  <c r="Z204" i="7"/>
  <c r="AB204" i="7" s="1"/>
  <c r="Z181" i="7"/>
  <c r="AE181" i="7" s="1"/>
  <c r="Z165" i="7"/>
  <c r="AH165" i="7" s="1"/>
  <c r="Z156" i="7"/>
  <c r="AC156" i="7" s="1"/>
  <c r="Z200" i="7"/>
  <c r="AE200" i="7" s="1"/>
  <c r="Z203" i="7"/>
  <c r="AA203" i="7" s="1"/>
  <c r="Z161" i="7"/>
  <c r="AJ161" i="7" s="1"/>
  <c r="N115" i="1"/>
  <c r="S218" i="7"/>
  <c r="Z193" i="7"/>
  <c r="AI193" i="7" s="1"/>
  <c r="Z176" i="7"/>
  <c r="AI176" i="7" s="1"/>
  <c r="Z188" i="7"/>
  <c r="AG188" i="7" s="1"/>
  <c r="Z190" i="7"/>
  <c r="AG190" i="7" s="1"/>
  <c r="Q206" i="7"/>
  <c r="Z149" i="7"/>
  <c r="AG149" i="7" s="1"/>
  <c r="X212" i="7"/>
  <c r="S228" i="7"/>
  <c r="N123" i="1"/>
  <c r="Z211" i="7"/>
  <c r="AE211" i="7" s="1"/>
  <c r="N185" i="7"/>
  <c r="Q185" i="7" s="1"/>
  <c r="Z225" i="7"/>
  <c r="AD225" i="7" s="1"/>
  <c r="Z186" i="7"/>
  <c r="AD186" i="7" s="1"/>
  <c r="Z210" i="7"/>
  <c r="AB210" i="7" s="1"/>
  <c r="Z184" i="7"/>
  <c r="AI184" i="7" s="1"/>
  <c r="Z168" i="7"/>
  <c r="AG168" i="7" s="1"/>
  <c r="Z218" i="7"/>
  <c r="AE218" i="7" s="1"/>
  <c r="Z220" i="7"/>
  <c r="AG220" i="7" s="1"/>
  <c r="Z195" i="7"/>
  <c r="AI195" i="7" s="1"/>
  <c r="Z217" i="7"/>
  <c r="AJ217" i="7" s="1"/>
  <c r="R230" i="7"/>
  <c r="X230" i="7"/>
  <c r="O230" i="7"/>
  <c r="O126" i="1" s="1"/>
  <c r="W230" i="7"/>
  <c r="S230" i="7"/>
  <c r="T230" i="7"/>
  <c r="P230" i="7"/>
  <c r="P126" i="1" s="1"/>
  <c r="V230" i="7"/>
  <c r="Q230" i="7"/>
  <c r="Q126" i="1" s="1"/>
  <c r="X205" i="7"/>
  <c r="T205" i="7"/>
  <c r="S205" i="7"/>
  <c r="R205" i="7"/>
  <c r="O205" i="7"/>
  <c r="P205" i="7"/>
  <c r="P101" i="1" s="1"/>
  <c r="Q205" i="7"/>
  <c r="Q101" i="1" s="1"/>
  <c r="W205" i="7"/>
  <c r="V205" i="7"/>
  <c r="W221" i="7"/>
  <c r="X221" i="7"/>
  <c r="U221" i="7"/>
  <c r="O221" i="7"/>
  <c r="P221" i="7"/>
  <c r="P117" i="1" s="1"/>
  <c r="Q221" i="7"/>
  <c r="Q117" i="1" s="1"/>
  <c r="R221" i="7"/>
  <c r="S221" i="7"/>
  <c r="T221" i="7"/>
  <c r="V221" i="7"/>
  <c r="W213" i="7"/>
  <c r="X213" i="7"/>
  <c r="U213" i="7"/>
  <c r="O213" i="7"/>
  <c r="P213" i="7"/>
  <c r="Q213" i="7"/>
  <c r="R213" i="7"/>
  <c r="S213" i="7"/>
  <c r="T213" i="7"/>
  <c r="V213" i="7"/>
  <c r="S225" i="7"/>
  <c r="T225" i="7"/>
  <c r="O209" i="7"/>
  <c r="O105" i="1" s="1"/>
  <c r="P209" i="7"/>
  <c r="Q209" i="7"/>
  <c r="R209" i="7"/>
  <c r="S209" i="7"/>
  <c r="T209" i="7"/>
  <c r="U209" i="7"/>
  <c r="V209" i="7"/>
  <c r="W209" i="7"/>
  <c r="X209" i="7"/>
  <c r="O222" i="7"/>
  <c r="P222" i="7"/>
  <c r="Q222" i="7"/>
  <c r="R222" i="7"/>
  <c r="S222" i="7"/>
  <c r="T222" i="7"/>
  <c r="U222" i="7"/>
  <c r="V222" i="7"/>
  <c r="W222" i="7"/>
  <c r="X222" i="7"/>
  <c r="R206" i="7"/>
  <c r="O214" i="7"/>
  <c r="O110" i="1" s="1"/>
  <c r="P214" i="7"/>
  <c r="P110" i="1" s="1"/>
  <c r="Q214" i="7"/>
  <c r="Q110" i="1" s="1"/>
  <c r="R214" i="7"/>
  <c r="S214" i="7"/>
  <c r="T214" i="7"/>
  <c r="U214" i="7"/>
  <c r="V214" i="7"/>
  <c r="W214" i="7"/>
  <c r="X214" i="7"/>
  <c r="U205" i="7"/>
  <c r="AE180" i="7"/>
  <c r="AF180" i="7"/>
  <c r="AG180" i="7"/>
  <c r="AD180" i="7"/>
  <c r="AH180" i="7"/>
  <c r="AB180" i="7"/>
  <c r="AJ180" i="7"/>
  <c r="AC180" i="7"/>
  <c r="AI180" i="7"/>
  <c r="N187" i="7"/>
  <c r="U187" i="7" s="1"/>
  <c r="N168" i="7"/>
  <c r="N151" i="7"/>
  <c r="AE201" i="7"/>
  <c r="AF201" i="7"/>
  <c r="AG201" i="7"/>
  <c r="AJ201" i="7"/>
  <c r="AB201" i="7"/>
  <c r="AC201" i="7"/>
  <c r="AD201" i="7"/>
  <c r="AH201" i="7"/>
  <c r="AI201" i="7"/>
  <c r="AE164" i="7"/>
  <c r="AF164" i="7"/>
  <c r="AG164" i="7"/>
  <c r="AJ164" i="7"/>
  <c r="AD164" i="7"/>
  <c r="AB164" i="7"/>
  <c r="AH164" i="7"/>
  <c r="AC164" i="7"/>
  <c r="AI164" i="7"/>
  <c r="AC192" i="7"/>
  <c r="AD192" i="7"/>
  <c r="AI192" i="7"/>
  <c r="AJ192" i="7"/>
  <c r="AB192" i="7"/>
  <c r="AA192" i="7"/>
  <c r="AH192" i="7"/>
  <c r="AE192" i="7"/>
  <c r="AF192" i="7"/>
  <c r="AG192" i="7"/>
  <c r="Z163" i="7"/>
  <c r="C34" i="2"/>
  <c r="D34" i="2" s="1"/>
  <c r="Z228" i="7"/>
  <c r="AA228" i="7" s="1"/>
  <c r="B33" i="2" s="1"/>
  <c r="C23" i="2"/>
  <c r="D23" i="2" s="1"/>
  <c r="N186" i="7"/>
  <c r="N167" i="7"/>
  <c r="N150" i="7"/>
  <c r="AB178" i="7"/>
  <c r="AG178" i="7"/>
  <c r="AH178" i="7"/>
  <c r="AI178" i="7"/>
  <c r="AF178" i="7"/>
  <c r="AJ178" i="7"/>
  <c r="AC178" i="7"/>
  <c r="AD178" i="7"/>
  <c r="AE178" i="7"/>
  <c r="AF202" i="7"/>
  <c r="AA202" i="7"/>
  <c r="AG202" i="7"/>
  <c r="AB202" i="7"/>
  <c r="AC202" i="7"/>
  <c r="AE202" i="7"/>
  <c r="AJ202" i="7"/>
  <c r="AH202" i="7"/>
  <c r="AI202" i="7"/>
  <c r="AD202" i="7"/>
  <c r="N166" i="7"/>
  <c r="N149" i="7"/>
  <c r="AB162" i="7"/>
  <c r="AG162" i="7"/>
  <c r="AH162" i="7"/>
  <c r="AI162" i="7"/>
  <c r="AJ162" i="7"/>
  <c r="AF162" i="7"/>
  <c r="AC162" i="7"/>
  <c r="AD162" i="7"/>
  <c r="AE162" i="7"/>
  <c r="C28" i="2"/>
  <c r="D28" i="2" s="1"/>
  <c r="AB194" i="7"/>
  <c r="AG194" i="7"/>
  <c r="AH194" i="7"/>
  <c r="AI194" i="7"/>
  <c r="AD194" i="7"/>
  <c r="AF194" i="7"/>
  <c r="AJ194" i="7"/>
  <c r="AC194" i="7"/>
  <c r="AE194" i="7"/>
  <c r="Z205" i="7"/>
  <c r="AD205" i="7" s="1"/>
  <c r="N184" i="7"/>
  <c r="N165" i="7"/>
  <c r="N200" i="7"/>
  <c r="AC160" i="7"/>
  <c r="AD160" i="7"/>
  <c r="AI160" i="7"/>
  <c r="AJ160" i="7"/>
  <c r="AB160" i="7"/>
  <c r="AE160" i="7"/>
  <c r="AF160" i="7"/>
  <c r="AG160" i="7"/>
  <c r="AH160" i="7"/>
  <c r="C33" i="2"/>
  <c r="D33" i="2" s="1"/>
  <c r="Z227" i="7"/>
  <c r="AF227" i="7" s="1"/>
  <c r="Z216" i="7"/>
  <c r="AA216" i="7" s="1"/>
  <c r="B21" i="2" s="1"/>
  <c r="N183" i="7"/>
  <c r="N164" i="7"/>
  <c r="AB191" i="7"/>
  <c r="AC191" i="7"/>
  <c r="AD191" i="7"/>
  <c r="AH191" i="7"/>
  <c r="AI191" i="7"/>
  <c r="AJ191" i="7"/>
  <c r="AF191" i="7"/>
  <c r="AE191" i="7"/>
  <c r="AG191" i="7"/>
  <c r="AB159" i="7"/>
  <c r="AC159" i="7"/>
  <c r="AD159" i="7"/>
  <c r="AG159" i="7"/>
  <c r="AH159" i="7"/>
  <c r="AA159" i="7"/>
  <c r="AI159" i="7"/>
  <c r="AF159" i="7"/>
  <c r="AJ159" i="7"/>
  <c r="AE159" i="7"/>
  <c r="C27" i="2"/>
  <c r="D27" i="2" s="1"/>
  <c r="Z221" i="7"/>
  <c r="AB221" i="7" s="1"/>
  <c r="N182" i="7"/>
  <c r="N163" i="7"/>
  <c r="Z222" i="7"/>
  <c r="AE222" i="7" s="1"/>
  <c r="AD217" i="7"/>
  <c r="AE174" i="7"/>
  <c r="AF174" i="7"/>
  <c r="AB174" i="7"/>
  <c r="AC174" i="7"/>
  <c r="AD174" i="7"/>
  <c r="AG174" i="7"/>
  <c r="AH174" i="7"/>
  <c r="AI174" i="7"/>
  <c r="AJ174" i="7"/>
  <c r="AE158" i="7"/>
  <c r="AF158" i="7"/>
  <c r="AB158" i="7"/>
  <c r="AJ158" i="7"/>
  <c r="AG158" i="7"/>
  <c r="AC158" i="7"/>
  <c r="AD158" i="7"/>
  <c r="AH158" i="7"/>
  <c r="AI158" i="7"/>
  <c r="N181" i="7"/>
  <c r="N162" i="7"/>
  <c r="AD189" i="7"/>
  <c r="AE189" i="7"/>
  <c r="AF189" i="7"/>
  <c r="AJ189" i="7"/>
  <c r="AB189" i="7"/>
  <c r="AC189" i="7"/>
  <c r="AH189" i="7"/>
  <c r="AG189" i="7"/>
  <c r="AI189" i="7"/>
  <c r="AB151" i="7"/>
  <c r="AC151" i="7"/>
  <c r="AF151" i="7"/>
  <c r="AG151" i="7"/>
  <c r="AH151" i="7"/>
  <c r="AE151" i="7"/>
  <c r="AD151" i="7"/>
  <c r="AI151" i="7"/>
  <c r="AJ151" i="7"/>
  <c r="N180" i="7"/>
  <c r="N161" i="7"/>
  <c r="C26" i="2"/>
  <c r="D26" i="2" s="1"/>
  <c r="AD150" i="7"/>
  <c r="AE150" i="7"/>
  <c r="AJ150" i="7"/>
  <c r="AH150" i="7"/>
  <c r="AG150" i="7"/>
  <c r="AI150" i="7"/>
  <c r="AF150" i="7"/>
  <c r="AC150" i="7"/>
  <c r="AB150" i="7"/>
  <c r="N178" i="7"/>
  <c r="N160" i="7"/>
  <c r="AB149" i="7"/>
  <c r="N176" i="7"/>
  <c r="N159" i="7"/>
  <c r="AG215" i="7"/>
  <c r="AH215" i="7"/>
  <c r="AA215" i="7"/>
  <c r="B20" i="2" s="1"/>
  <c r="AB215" i="7"/>
  <c r="AC215" i="7"/>
  <c r="AD215" i="7"/>
  <c r="AJ215" i="7"/>
  <c r="AF215" i="7"/>
  <c r="AE215" i="7"/>
  <c r="AI215" i="7"/>
  <c r="AF187" i="7"/>
  <c r="AG187" i="7"/>
  <c r="AH187" i="7"/>
  <c r="AB187" i="7"/>
  <c r="AC187" i="7"/>
  <c r="AD187" i="7"/>
  <c r="AJ187" i="7"/>
  <c r="AE187" i="7"/>
  <c r="AI187" i="7"/>
  <c r="AI153" i="7"/>
  <c r="AJ153" i="7"/>
  <c r="AA153" i="7"/>
  <c r="AD153" i="7"/>
  <c r="AE153" i="7"/>
  <c r="AF153" i="7"/>
  <c r="AB153" i="7"/>
  <c r="AC153" i="7"/>
  <c r="AG153" i="7"/>
  <c r="AH153" i="7"/>
  <c r="Z214" i="7"/>
  <c r="AC214" i="7" s="1"/>
  <c r="Z148" i="7"/>
  <c r="N148" i="7"/>
  <c r="N193" i="7"/>
  <c r="N174" i="7"/>
  <c r="N158" i="7"/>
  <c r="Z185" i="7"/>
  <c r="Z169" i="7"/>
  <c r="Z152" i="7"/>
  <c r="Z230" i="7"/>
  <c r="AD230" i="7" s="1"/>
  <c r="Z219" i="7"/>
  <c r="AF219" i="7" s="1"/>
  <c r="N192" i="7"/>
  <c r="N173" i="7"/>
  <c r="N157" i="7"/>
  <c r="N120" i="1"/>
  <c r="AG172" i="7"/>
  <c r="AH172" i="7"/>
  <c r="AC172" i="7"/>
  <c r="AD172" i="7"/>
  <c r="AA172" i="7"/>
  <c r="AE172" i="7"/>
  <c r="AJ172" i="7"/>
  <c r="AB172" i="7"/>
  <c r="AF172" i="7"/>
  <c r="AI172" i="7"/>
  <c r="AF171" i="7"/>
  <c r="AG171" i="7"/>
  <c r="AH171" i="7"/>
  <c r="AD171" i="7"/>
  <c r="AE171" i="7"/>
  <c r="AB171" i="7"/>
  <c r="AC171" i="7"/>
  <c r="AI171" i="7"/>
  <c r="AJ171" i="7"/>
  <c r="Z212" i="7"/>
  <c r="C30" i="2"/>
  <c r="D30" i="2" s="1"/>
  <c r="Z208" i="7"/>
  <c r="AC208" i="7" s="1"/>
  <c r="N191" i="7"/>
  <c r="N172" i="7"/>
  <c r="N156" i="7"/>
  <c r="AD173" i="7"/>
  <c r="AE173" i="7"/>
  <c r="AF173" i="7"/>
  <c r="AJ173" i="7"/>
  <c r="AC173" i="7"/>
  <c r="AA173" i="7"/>
  <c r="AG173" i="7"/>
  <c r="AH173" i="7"/>
  <c r="AI173" i="7"/>
  <c r="AB173" i="7"/>
  <c r="C32" i="2"/>
  <c r="D32" i="2" s="1"/>
  <c r="AF155" i="7"/>
  <c r="AG155" i="7"/>
  <c r="AH155" i="7"/>
  <c r="AJ155" i="7"/>
  <c r="AE155" i="7"/>
  <c r="AC155" i="7"/>
  <c r="AD155" i="7"/>
  <c r="AB155" i="7"/>
  <c r="AI155" i="7"/>
  <c r="C31" i="2"/>
  <c r="AI170" i="7"/>
  <c r="AJ170" i="7"/>
  <c r="AE170" i="7"/>
  <c r="AF170" i="7"/>
  <c r="AC170" i="7"/>
  <c r="AD170" i="7"/>
  <c r="AH170" i="7"/>
  <c r="AG170" i="7"/>
  <c r="AB170" i="7"/>
  <c r="Z209" i="7"/>
  <c r="AD183" i="7"/>
  <c r="AE183" i="7"/>
  <c r="AJ183" i="7"/>
  <c r="AB183" i="7"/>
  <c r="AH183" i="7"/>
  <c r="AC183" i="7"/>
  <c r="AF183" i="7"/>
  <c r="AG183" i="7"/>
  <c r="AI183" i="7"/>
  <c r="AD167" i="7"/>
  <c r="AE167" i="7"/>
  <c r="AJ167" i="7"/>
  <c r="AB167" i="7"/>
  <c r="AI167" i="7"/>
  <c r="AC167" i="7"/>
  <c r="AF167" i="7"/>
  <c r="AG167" i="7"/>
  <c r="AH167" i="7"/>
  <c r="Z213" i="7"/>
  <c r="AH213" i="7" s="1"/>
  <c r="N190" i="7"/>
  <c r="N171" i="7"/>
  <c r="N155" i="7"/>
  <c r="AC182" i="7"/>
  <c r="AD182" i="7"/>
  <c r="AE182" i="7"/>
  <c r="AI182" i="7"/>
  <c r="AJ182" i="7"/>
  <c r="AH182" i="7"/>
  <c r="AF182" i="7"/>
  <c r="AG182" i="7"/>
  <c r="AB182" i="7"/>
  <c r="Z229" i="7"/>
  <c r="AH229" i="7" s="1"/>
  <c r="N189" i="7"/>
  <c r="N170" i="7"/>
  <c r="N153" i="7"/>
  <c r="AD157" i="7"/>
  <c r="AE157" i="7"/>
  <c r="AF157" i="7"/>
  <c r="AI157" i="7"/>
  <c r="AJ157" i="7"/>
  <c r="AB157" i="7"/>
  <c r="AC157" i="7"/>
  <c r="AG157" i="7"/>
  <c r="AH157" i="7"/>
  <c r="AC166" i="7"/>
  <c r="AD166" i="7"/>
  <c r="AE166" i="7"/>
  <c r="AH166" i="7"/>
  <c r="AI166" i="7"/>
  <c r="AJ166" i="7"/>
  <c r="AG166" i="7"/>
  <c r="AF166" i="7"/>
  <c r="AB166" i="7"/>
  <c r="C35" i="2"/>
  <c r="C24" i="2"/>
  <c r="AJ165" i="7"/>
  <c r="Z223" i="7"/>
  <c r="AF223" i="7" s="1"/>
  <c r="Z207" i="7"/>
  <c r="AH207" i="7" s="1"/>
  <c r="Z206" i="7"/>
  <c r="AJ206" i="7" s="1"/>
  <c r="N188" i="7"/>
  <c r="N169" i="7"/>
  <c r="N152" i="7"/>
  <c r="N116" i="1"/>
  <c r="AB226" i="7"/>
  <c r="AC226" i="7"/>
  <c r="AG226" i="7"/>
  <c r="AD226" i="7"/>
  <c r="AE226" i="7"/>
  <c r="AF226" i="7"/>
  <c r="AH226" i="7"/>
  <c r="AI226" i="7"/>
  <c r="AJ226" i="7"/>
  <c r="N122" i="1"/>
  <c r="B50" i="1"/>
  <c r="A96" i="1"/>
  <c r="A95" i="1"/>
  <c r="A51" i="1"/>
  <c r="A10" i="1"/>
  <c r="K2" i="1"/>
  <c r="L2" i="1"/>
  <c r="C2" i="1"/>
  <c r="D2" i="1"/>
  <c r="E2" i="1"/>
  <c r="G2" i="1"/>
  <c r="H2" i="1"/>
  <c r="I2" i="1"/>
  <c r="J2" i="1"/>
  <c r="B2" i="1"/>
  <c r="A7" i="1"/>
  <c r="A8" i="1"/>
  <c r="N242" i="7"/>
  <c r="A4" i="1" s="1"/>
  <c r="A4" i="2"/>
  <c r="U230" i="7"/>
  <c r="AI2" i="7"/>
  <c r="AJ2" i="7"/>
  <c r="AB2" i="7"/>
  <c r="AC2" i="7"/>
  <c r="AD2" i="7"/>
  <c r="AE2" i="7"/>
  <c r="AF2" i="7"/>
  <c r="AG2" i="7"/>
  <c r="AH2" i="7"/>
  <c r="AA2" i="7"/>
  <c r="W2" i="7"/>
  <c r="X2" i="7"/>
  <c r="P2" i="7"/>
  <c r="Q2" i="7"/>
  <c r="R2" i="7"/>
  <c r="S2" i="7"/>
  <c r="T2" i="7"/>
  <c r="U2" i="7"/>
  <c r="V2" i="7"/>
  <c r="O2" i="7"/>
  <c r="A5" i="2"/>
  <c r="K2" i="7"/>
  <c r="L2" i="7"/>
  <c r="C2" i="7"/>
  <c r="D2" i="7"/>
  <c r="E2" i="7"/>
  <c r="G2" i="7"/>
  <c r="H2" i="7"/>
  <c r="I2" i="7"/>
  <c r="J2" i="7"/>
  <c r="B2" i="7"/>
  <c r="L2" i="5"/>
  <c r="K2" i="5"/>
  <c r="J2" i="5"/>
  <c r="I2" i="5"/>
  <c r="H2" i="5"/>
  <c r="G2" i="5"/>
  <c r="E2" i="5"/>
  <c r="D2" i="5"/>
  <c r="C2" i="5"/>
  <c r="B2" i="5"/>
  <c r="DR2" i="5"/>
  <c r="DQ2" i="5"/>
  <c r="DP2" i="5"/>
  <c r="DO2" i="5"/>
  <c r="DN2" i="5"/>
  <c r="DM2" i="5"/>
  <c r="DK2" i="5"/>
  <c r="DJ2" i="5"/>
  <c r="DI2" i="5"/>
  <c r="DH2" i="5"/>
  <c r="DG2" i="5"/>
  <c r="DF2" i="5"/>
  <c r="DE2" i="5"/>
  <c r="DD2" i="5"/>
  <c r="DC2" i="5"/>
  <c r="DB2" i="5"/>
  <c r="CZ2" i="5"/>
  <c r="CY2" i="5"/>
  <c r="CX2" i="5"/>
  <c r="CW2" i="5"/>
  <c r="CV2" i="5"/>
  <c r="CU2" i="5"/>
  <c r="CT2" i="5"/>
  <c r="CS2" i="5"/>
  <c r="CR2" i="5"/>
  <c r="CQ2" i="5"/>
  <c r="CO2" i="5"/>
  <c r="CN2" i="5"/>
  <c r="CM2" i="5"/>
  <c r="CL2" i="5"/>
  <c r="CK2" i="5"/>
  <c r="CJ2" i="5"/>
  <c r="CI2" i="5"/>
  <c r="CH2" i="5"/>
  <c r="CG2" i="5"/>
  <c r="CF2" i="5"/>
  <c r="CD2" i="5"/>
  <c r="CC2" i="5"/>
  <c r="CB2" i="5"/>
  <c r="CA2" i="5"/>
  <c r="BZ2" i="5"/>
  <c r="BY2" i="5"/>
  <c r="BX2" i="5"/>
  <c r="BW2" i="5"/>
  <c r="BV2" i="5"/>
  <c r="BU2" i="5"/>
  <c r="BS2" i="5"/>
  <c r="BR2" i="5"/>
  <c r="BQ2" i="5"/>
  <c r="BP2" i="5"/>
  <c r="BO2" i="5"/>
  <c r="BN2" i="5"/>
  <c r="BM2" i="5"/>
  <c r="BL2" i="5"/>
  <c r="BK2" i="5"/>
  <c r="BJ2" i="5"/>
  <c r="BH2" i="5"/>
  <c r="BG2" i="5"/>
  <c r="BF2" i="5"/>
  <c r="BE2" i="5"/>
  <c r="BD2" i="5"/>
  <c r="BC2" i="5"/>
  <c r="BB2" i="5"/>
  <c r="BA2" i="5"/>
  <c r="AZ2" i="5"/>
  <c r="AY2" i="5"/>
  <c r="AW2" i="5"/>
  <c r="AV2" i="5"/>
  <c r="AU2" i="5"/>
  <c r="AT2" i="5"/>
  <c r="AS2" i="5"/>
  <c r="AR2" i="5"/>
  <c r="AQ2" i="5"/>
  <c r="AP2" i="5"/>
  <c r="AO2" i="5"/>
  <c r="AN2" i="5"/>
  <c r="AL2" i="5"/>
  <c r="AK2" i="5"/>
  <c r="AJ2" i="5"/>
  <c r="AI2" i="5"/>
  <c r="AH2" i="5"/>
  <c r="AG2" i="5"/>
  <c r="AF2" i="5"/>
  <c r="AE2" i="5"/>
  <c r="AD2" i="5"/>
  <c r="AC2" i="5"/>
  <c r="AA2" i="5"/>
  <c r="Z2" i="5"/>
  <c r="Y2" i="5"/>
  <c r="X2" i="5"/>
  <c r="W2" i="5"/>
  <c r="V2" i="5"/>
  <c r="U2" i="5"/>
  <c r="T2" i="5"/>
  <c r="S2" i="5"/>
  <c r="R2" i="5"/>
  <c r="P2" i="5"/>
  <c r="O2" i="5"/>
  <c r="N2" i="5"/>
  <c r="M2" i="5"/>
  <c r="AI149" i="7" l="1"/>
  <c r="AJ149" i="7"/>
  <c r="AH149" i="7"/>
  <c r="AE149" i="7"/>
  <c r="AD149" i="7"/>
  <c r="AC149" i="7"/>
  <c r="AG165" i="7"/>
  <c r="AB165" i="7"/>
  <c r="AF149" i="7"/>
  <c r="AE204" i="7"/>
  <c r="AG224" i="7"/>
  <c r="AD190" i="7"/>
  <c r="AC190" i="7"/>
  <c r="AI204" i="7"/>
  <c r="AB190" i="7"/>
  <c r="AH204" i="7"/>
  <c r="AH190" i="7"/>
  <c r="AA204" i="7"/>
  <c r="AG204" i="7"/>
  <c r="AF190" i="7"/>
  <c r="AF204" i="7"/>
  <c r="AC204" i="7"/>
  <c r="AD204" i="7"/>
  <c r="AJ204" i="7"/>
  <c r="AC224" i="7"/>
  <c r="AH224" i="7"/>
  <c r="AB224" i="7"/>
  <c r="AJ224" i="7"/>
  <c r="AF224" i="7"/>
  <c r="AD224" i="7"/>
  <c r="AE224" i="7"/>
  <c r="AA224" i="7"/>
  <c r="B29" i="2" s="1"/>
  <c r="Q37" i="1"/>
  <c r="Q14" i="10"/>
  <c r="P41" i="1"/>
  <c r="P42" i="1"/>
  <c r="P43" i="1" s="1"/>
  <c r="Q10" i="10"/>
  <c r="Q9" i="10"/>
  <c r="Q40" i="1"/>
  <c r="Q38" i="1"/>
  <c r="Q39" i="1" s="1"/>
  <c r="AF165" i="7"/>
  <c r="AG211" i="7"/>
  <c r="J52" i="1"/>
  <c r="K52" i="1"/>
  <c r="L52" i="1"/>
  <c r="L96" i="1" s="1"/>
  <c r="M52" i="1"/>
  <c r="M96" i="1" s="1"/>
  <c r="N52" i="1"/>
  <c r="N96" i="1" s="1"/>
  <c r="O52" i="1"/>
  <c r="P52" i="1"/>
  <c r="Q52" i="1"/>
  <c r="C52" i="1"/>
  <c r="C96" i="1" s="1"/>
  <c r="D52" i="1"/>
  <c r="D96" i="1" s="1"/>
  <c r="E52" i="1"/>
  <c r="E96" i="1" s="1"/>
  <c r="G52" i="1"/>
  <c r="G96" i="1" s="1"/>
  <c r="H52" i="1"/>
  <c r="H96" i="1" s="1"/>
  <c r="I52" i="1"/>
  <c r="I96" i="1" s="1"/>
  <c r="AF220" i="7"/>
  <c r="U168" i="7"/>
  <c r="AJ220" i="7"/>
  <c r="AD195" i="7"/>
  <c r="AA220" i="7"/>
  <c r="B25" i="2" s="1"/>
  <c r="AI220" i="7"/>
  <c r="AH220" i="7"/>
  <c r="AH210" i="7"/>
  <c r="AG225" i="7"/>
  <c r="AI165" i="7"/>
  <c r="AE165" i="7"/>
  <c r="AC165" i="7"/>
  <c r="AB211" i="7"/>
  <c r="AF156" i="7"/>
  <c r="AF210" i="7"/>
  <c r="U219" i="7"/>
  <c r="AE210" i="7"/>
  <c r="AD210" i="7"/>
  <c r="AJ210" i="7"/>
  <c r="AH211" i="7"/>
  <c r="AE156" i="7"/>
  <c r="AE217" i="7"/>
  <c r="AD156" i="7"/>
  <c r="AB156" i="7"/>
  <c r="AD165" i="7"/>
  <c r="AJ221" i="7"/>
  <c r="AA221" i="7"/>
  <c r="B26" i="2" s="1"/>
  <c r="AH195" i="7"/>
  <c r="AJ214" i="7"/>
  <c r="AG186" i="7"/>
  <c r="AC186" i="7"/>
  <c r="AA225" i="7"/>
  <c r="B30" i="2" s="1"/>
  <c r="AJ225" i="7"/>
  <c r="AI225" i="7"/>
  <c r="AH225" i="7"/>
  <c r="AB186" i="7"/>
  <c r="AI186" i="7"/>
  <c r="AB225" i="7"/>
  <c r="S206" i="7"/>
  <c r="AA218" i="7"/>
  <c r="B23" i="2" s="1"/>
  <c r="AD176" i="7"/>
  <c r="AI218" i="7"/>
  <c r="AH218" i="7"/>
  <c r="AD218" i="7"/>
  <c r="AC218" i="7"/>
  <c r="AJ218" i="7"/>
  <c r="AB218" i="7"/>
  <c r="AI188" i="7"/>
  <c r="AE188" i="7"/>
  <c r="AB188" i="7"/>
  <c r="AF188" i="7"/>
  <c r="AJ188" i="7"/>
  <c r="AC225" i="7"/>
  <c r="AD188" i="7"/>
  <c r="AC188" i="7"/>
  <c r="U150" i="7"/>
  <c r="U244" i="7" s="1"/>
  <c r="AG218" i="7"/>
  <c r="AH188" i="7"/>
  <c r="AF218" i="7"/>
  <c r="AA165" i="7"/>
  <c r="AA210" i="7"/>
  <c r="B15" i="2" s="1"/>
  <c r="AC176" i="7"/>
  <c r="AD184" i="7"/>
  <c r="AA211" i="7"/>
  <c r="B16" i="2" s="1"/>
  <c r="AF225" i="7"/>
  <c r="AD211" i="7"/>
  <c r="AJ195" i="7"/>
  <c r="AE225" i="7"/>
  <c r="AI211" i="7"/>
  <c r="AE195" i="7"/>
  <c r="AH186" i="7"/>
  <c r="AF195" i="7"/>
  <c r="O109" i="1"/>
  <c r="AF186" i="7"/>
  <c r="AE186" i="7"/>
  <c r="AJ156" i="7"/>
  <c r="AJ186" i="7"/>
  <c r="AI156" i="7"/>
  <c r="AA176" i="7"/>
  <c r="AI221" i="7"/>
  <c r="AH184" i="7"/>
  <c r="AG210" i="7"/>
  <c r="AE176" i="7"/>
  <c r="AB176" i="7"/>
  <c r="AI210" i="7"/>
  <c r="AH176" i="7"/>
  <c r="U186" i="7"/>
  <c r="AG176" i="7"/>
  <c r="AF176" i="7"/>
  <c r="U149" i="7"/>
  <c r="U243" i="7" s="1"/>
  <c r="AJ176" i="7"/>
  <c r="AJ211" i="7"/>
  <c r="AD181" i="7"/>
  <c r="AJ181" i="7"/>
  <c r="AI181" i="7"/>
  <c r="W227" i="7"/>
  <c r="AC181" i="7"/>
  <c r="AB181" i="7"/>
  <c r="AG181" i="7"/>
  <c r="AH181" i="7"/>
  <c r="AF181" i="7"/>
  <c r="AD222" i="7"/>
  <c r="AC217" i="7"/>
  <c r="AC210" i="7"/>
  <c r="AG217" i="7"/>
  <c r="U163" i="7"/>
  <c r="AB217" i="7"/>
  <c r="AB203" i="7"/>
  <c r="AI217" i="7"/>
  <c r="AI203" i="7"/>
  <c r="AA217" i="7"/>
  <c r="B22" i="2" s="1"/>
  <c r="AC195" i="7"/>
  <c r="AH203" i="7"/>
  <c r="X225" i="7"/>
  <c r="AF217" i="7"/>
  <c r="AB195" i="7"/>
  <c r="AD220" i="7"/>
  <c r="V225" i="7"/>
  <c r="AG184" i="7"/>
  <c r="AC184" i="7"/>
  <c r="AB184" i="7"/>
  <c r="R218" i="7"/>
  <c r="Q218" i="7"/>
  <c r="Q114" i="1" s="1"/>
  <c r="P218" i="7"/>
  <c r="P114" i="1" s="1"/>
  <c r="O219" i="7"/>
  <c r="O115" i="1" s="1"/>
  <c r="Q105" i="1"/>
  <c r="AD161" i="7"/>
  <c r="AC161" i="7"/>
  <c r="O101" i="1"/>
  <c r="AH156" i="7"/>
  <c r="AG161" i="7"/>
  <c r="AG156" i="7"/>
  <c r="AF161" i="7"/>
  <c r="AF184" i="7"/>
  <c r="AH217" i="7"/>
  <c r="AE161" i="7"/>
  <c r="W225" i="7"/>
  <c r="AA184" i="7"/>
  <c r="AG195" i="7"/>
  <c r="AB161" i="7"/>
  <c r="AE193" i="7"/>
  <c r="AC193" i="7"/>
  <c r="S219" i="7"/>
  <c r="AF193" i="7"/>
  <c r="I122" i="1"/>
  <c r="AB193" i="7"/>
  <c r="AJ193" i="7"/>
  <c r="W212" i="7"/>
  <c r="N121" i="1"/>
  <c r="I126" i="1"/>
  <c r="U189" i="7"/>
  <c r="Q118" i="1"/>
  <c r="AJ184" i="7"/>
  <c r="AC211" i="7"/>
  <c r="AE184" i="7"/>
  <c r="AF211" i="7"/>
  <c r="O118" i="1"/>
  <c r="I115" i="1"/>
  <c r="AA222" i="7"/>
  <c r="B27" i="2" s="1"/>
  <c r="AE220" i="7"/>
  <c r="Q225" i="7"/>
  <c r="Q121" i="1" s="1"/>
  <c r="X228" i="7"/>
  <c r="X219" i="7"/>
  <c r="Q219" i="7"/>
  <c r="Q115" i="1" s="1"/>
  <c r="T219" i="7"/>
  <c r="AJ216" i="7"/>
  <c r="P219" i="7"/>
  <c r="P115" i="1" s="1"/>
  <c r="V227" i="7"/>
  <c r="W219" i="7"/>
  <c r="U227" i="7"/>
  <c r="R219" i="7"/>
  <c r="T227" i="7"/>
  <c r="V219" i="7"/>
  <c r="R227" i="7"/>
  <c r="AE227" i="7"/>
  <c r="AF203" i="7"/>
  <c r="Q227" i="7"/>
  <c r="Q123" i="1" s="1"/>
  <c r="P228" i="7"/>
  <c r="P124" i="1" s="1"/>
  <c r="P227" i="7"/>
  <c r="P123" i="1" s="1"/>
  <c r="U190" i="7"/>
  <c r="AI161" i="7"/>
  <c r="AG203" i="7"/>
  <c r="T218" i="7"/>
  <c r="P105" i="1"/>
  <c r="U201" i="7"/>
  <c r="AH161" i="7"/>
  <c r="AJ203" i="7"/>
  <c r="O117" i="1"/>
  <c r="K111" i="1"/>
  <c r="L111" i="1"/>
  <c r="M111" i="1"/>
  <c r="N111" i="1"/>
  <c r="C111" i="1"/>
  <c r="D111" i="1"/>
  <c r="B111" i="1"/>
  <c r="E111" i="1"/>
  <c r="G111" i="1"/>
  <c r="H111" i="1"/>
  <c r="I111" i="1"/>
  <c r="J111" i="1"/>
  <c r="G113" i="1"/>
  <c r="H113" i="1"/>
  <c r="I113" i="1"/>
  <c r="J113" i="1"/>
  <c r="K113" i="1"/>
  <c r="L113" i="1"/>
  <c r="M113" i="1"/>
  <c r="C113" i="1"/>
  <c r="D113" i="1"/>
  <c r="N113" i="1"/>
  <c r="E113" i="1"/>
  <c r="B113" i="1"/>
  <c r="G97" i="1"/>
  <c r="H97" i="1"/>
  <c r="I97" i="1"/>
  <c r="J97" i="1"/>
  <c r="K97" i="1"/>
  <c r="L97" i="1"/>
  <c r="M97" i="1"/>
  <c r="C97" i="1"/>
  <c r="D97" i="1"/>
  <c r="N97" i="1"/>
  <c r="E97" i="1"/>
  <c r="B97" i="1"/>
  <c r="T229" i="7"/>
  <c r="N125" i="1"/>
  <c r="J96" i="1"/>
  <c r="K96" i="1"/>
  <c r="B52" i="1"/>
  <c r="B96" i="1" s="1"/>
  <c r="P212" i="7"/>
  <c r="O212" i="7"/>
  <c r="C99" i="1"/>
  <c r="D99" i="1"/>
  <c r="E99" i="1"/>
  <c r="G99" i="1"/>
  <c r="H99" i="1"/>
  <c r="I99" i="1"/>
  <c r="N99" i="1"/>
  <c r="J99" i="1"/>
  <c r="K99" i="1"/>
  <c r="L99" i="1"/>
  <c r="M99" i="1"/>
  <c r="B99" i="1"/>
  <c r="M98" i="1"/>
  <c r="N98" i="1"/>
  <c r="C98" i="1"/>
  <c r="D98" i="1"/>
  <c r="E98" i="1"/>
  <c r="G98" i="1"/>
  <c r="H98" i="1"/>
  <c r="I98" i="1"/>
  <c r="J98" i="1"/>
  <c r="K98" i="1"/>
  <c r="L98" i="1"/>
  <c r="B98" i="1"/>
  <c r="O228" i="7"/>
  <c r="O124" i="1" s="1"/>
  <c r="N124" i="1"/>
  <c r="I108" i="1"/>
  <c r="J108" i="1"/>
  <c r="K108" i="1"/>
  <c r="L108" i="1"/>
  <c r="M108" i="1"/>
  <c r="B108" i="1"/>
  <c r="N108" i="1"/>
  <c r="C108" i="1"/>
  <c r="D108" i="1"/>
  <c r="E108" i="1"/>
  <c r="G108" i="1"/>
  <c r="H108" i="1"/>
  <c r="AD219" i="7"/>
  <c r="S227" i="7"/>
  <c r="V212" i="7"/>
  <c r="W228" i="7"/>
  <c r="M106" i="1"/>
  <c r="N106" i="1"/>
  <c r="B106" i="1"/>
  <c r="C106" i="1"/>
  <c r="D106" i="1"/>
  <c r="E106" i="1"/>
  <c r="G106" i="1"/>
  <c r="H106" i="1"/>
  <c r="I106" i="1"/>
  <c r="J106" i="1"/>
  <c r="K106" i="1"/>
  <c r="L106" i="1"/>
  <c r="P118" i="1"/>
  <c r="O123" i="1"/>
  <c r="U212" i="7"/>
  <c r="T228" i="7"/>
  <c r="S207" i="7"/>
  <c r="K103" i="1"/>
  <c r="L103" i="1"/>
  <c r="M103" i="1"/>
  <c r="B103" i="1"/>
  <c r="N103" i="1"/>
  <c r="C103" i="1"/>
  <c r="D103" i="1"/>
  <c r="E103" i="1"/>
  <c r="G103" i="1"/>
  <c r="H103" i="1"/>
  <c r="I103" i="1"/>
  <c r="J103" i="1"/>
  <c r="U206" i="7"/>
  <c r="D102" i="1"/>
  <c r="E102" i="1"/>
  <c r="B102" i="1"/>
  <c r="G102" i="1"/>
  <c r="N102" i="1"/>
  <c r="H102" i="1"/>
  <c r="I102" i="1"/>
  <c r="J102" i="1"/>
  <c r="Q102" i="1"/>
  <c r="K102" i="1"/>
  <c r="L102" i="1"/>
  <c r="M102" i="1"/>
  <c r="C102" i="1"/>
  <c r="AJ200" i="7"/>
  <c r="T212" i="7"/>
  <c r="R223" i="7"/>
  <c r="N119" i="1"/>
  <c r="I100" i="1"/>
  <c r="J100" i="1"/>
  <c r="K100" i="1"/>
  <c r="L100" i="1"/>
  <c r="M100" i="1"/>
  <c r="N100" i="1"/>
  <c r="C100" i="1"/>
  <c r="D100" i="1"/>
  <c r="E100" i="1"/>
  <c r="G100" i="1"/>
  <c r="H100" i="1"/>
  <c r="B100" i="1"/>
  <c r="AE203" i="7"/>
  <c r="AD200" i="7"/>
  <c r="W223" i="7"/>
  <c r="S212" i="7"/>
  <c r="R185" i="7"/>
  <c r="R228" i="7"/>
  <c r="C112" i="1"/>
  <c r="D112" i="1"/>
  <c r="E112" i="1"/>
  <c r="G112" i="1"/>
  <c r="H112" i="1"/>
  <c r="I112" i="1"/>
  <c r="J112" i="1"/>
  <c r="K112" i="1"/>
  <c r="N112" i="1"/>
  <c r="L112" i="1"/>
  <c r="B112" i="1"/>
  <c r="M112" i="1"/>
  <c r="AD203" i="7"/>
  <c r="AA200" i="7"/>
  <c r="R225" i="7"/>
  <c r="R212" i="7"/>
  <c r="O185" i="7"/>
  <c r="Q228" i="7"/>
  <c r="Q124" i="1" s="1"/>
  <c r="R208" i="7"/>
  <c r="C104" i="1"/>
  <c r="B104" i="1"/>
  <c r="D104" i="1"/>
  <c r="E104" i="1"/>
  <c r="G104" i="1"/>
  <c r="H104" i="1"/>
  <c r="I104" i="1"/>
  <c r="J104" i="1"/>
  <c r="K104" i="1"/>
  <c r="N104" i="1"/>
  <c r="L104" i="1"/>
  <c r="M104" i="1"/>
  <c r="AC203" i="7"/>
  <c r="AC200" i="7"/>
  <c r="Q212" i="7"/>
  <c r="AE190" i="7"/>
  <c r="AC220" i="7"/>
  <c r="AI200" i="7"/>
  <c r="U185" i="7"/>
  <c r="P225" i="7"/>
  <c r="P121" i="1" s="1"/>
  <c r="Q109" i="1"/>
  <c r="X229" i="7"/>
  <c r="U218" i="7"/>
  <c r="N114" i="1"/>
  <c r="AB220" i="7"/>
  <c r="AH200" i="7"/>
  <c r="T206" i="7"/>
  <c r="O225" i="7"/>
  <c r="O121" i="1" s="1"/>
  <c r="P109" i="1"/>
  <c r="W229" i="7"/>
  <c r="X227" i="7"/>
  <c r="R229" i="7"/>
  <c r="P206" i="7"/>
  <c r="T223" i="7"/>
  <c r="U152" i="7"/>
  <c r="O206" i="7"/>
  <c r="O102" i="1" s="1"/>
  <c r="P223" i="7"/>
  <c r="P119" i="1" s="1"/>
  <c r="S223" i="7"/>
  <c r="O223" i="7"/>
  <c r="O119" i="1" s="1"/>
  <c r="V223" i="7"/>
  <c r="Q208" i="7"/>
  <c r="AJ230" i="7"/>
  <c r="P208" i="7"/>
  <c r="AJ219" i="7"/>
  <c r="AI230" i="7"/>
  <c r="O218" i="7"/>
  <c r="O114" i="1" s="1"/>
  <c r="O208" i="7"/>
  <c r="AH219" i="7"/>
  <c r="AH230" i="7"/>
  <c r="AH193" i="7"/>
  <c r="AG200" i="7"/>
  <c r="X206" i="7"/>
  <c r="X218" i="7"/>
  <c r="U171" i="7"/>
  <c r="AG219" i="7"/>
  <c r="AE230" i="7"/>
  <c r="AJ190" i="7"/>
  <c r="AG193" i="7"/>
  <c r="AF200" i="7"/>
  <c r="W206" i="7"/>
  <c r="W218" i="7"/>
  <c r="W185" i="7"/>
  <c r="AI219" i="7"/>
  <c r="AB230" i="7"/>
  <c r="AI190" i="7"/>
  <c r="AD193" i="7"/>
  <c r="AB200" i="7"/>
  <c r="V206" i="7"/>
  <c r="V218" i="7"/>
  <c r="V229" i="7"/>
  <c r="X185" i="7"/>
  <c r="V228" i="7"/>
  <c r="AB214" i="7"/>
  <c r="AE219" i="7"/>
  <c r="Q229" i="7"/>
  <c r="Q125" i="1" s="1"/>
  <c r="P185" i="7"/>
  <c r="U228" i="7"/>
  <c r="AF168" i="7"/>
  <c r="AB229" i="7"/>
  <c r="AC168" i="7"/>
  <c r="AB168" i="7"/>
  <c r="AC205" i="7"/>
  <c r="R207" i="7"/>
  <c r="Q223" i="7"/>
  <c r="Q119" i="1" s="1"/>
  <c r="Q207" i="7"/>
  <c r="X223" i="7"/>
  <c r="U223" i="7"/>
  <c r="P207" i="7"/>
  <c r="O207" i="7"/>
  <c r="X208" i="7"/>
  <c r="AI168" i="7"/>
  <c r="X207" i="7"/>
  <c r="W208" i="7"/>
  <c r="O229" i="7"/>
  <c r="O125" i="1" s="1"/>
  <c r="AB222" i="7"/>
  <c r="AE168" i="7"/>
  <c r="W207" i="7"/>
  <c r="V208" i="7"/>
  <c r="S229" i="7"/>
  <c r="U156" i="7"/>
  <c r="AH222" i="7"/>
  <c r="AJ168" i="7"/>
  <c r="V207" i="7"/>
  <c r="U208" i="7"/>
  <c r="P229" i="7"/>
  <c r="P125" i="1" s="1"/>
  <c r="V185" i="7"/>
  <c r="U167" i="7"/>
  <c r="AD168" i="7"/>
  <c r="U229" i="7"/>
  <c r="U207" i="7"/>
  <c r="T208" i="7"/>
  <c r="T185" i="7"/>
  <c r="AH168" i="7"/>
  <c r="T207" i="7"/>
  <c r="S208" i="7"/>
  <c r="S185" i="7"/>
  <c r="U164" i="7"/>
  <c r="U183" i="7"/>
  <c r="AG229" i="7"/>
  <c r="U169" i="7"/>
  <c r="AF230" i="7"/>
  <c r="AC222" i="7"/>
  <c r="AC230" i="7"/>
  <c r="AJ222" i="7"/>
  <c r="AF207" i="7"/>
  <c r="AI222" i="7"/>
  <c r="U158" i="7"/>
  <c r="AB208" i="7"/>
  <c r="AB213" i="7"/>
  <c r="U161" i="7"/>
  <c r="AG213" i="7"/>
  <c r="V193" i="7"/>
  <c r="R193" i="7"/>
  <c r="X193" i="7"/>
  <c r="T193" i="7"/>
  <c r="P193" i="7"/>
  <c r="Q193" i="7"/>
  <c r="O193" i="7"/>
  <c r="S193" i="7"/>
  <c r="W193" i="7"/>
  <c r="P148" i="7"/>
  <c r="X148" i="7"/>
  <c r="W148" i="7"/>
  <c r="T148" i="7"/>
  <c r="R148" i="7"/>
  <c r="V148" i="7"/>
  <c r="O148" i="7"/>
  <c r="S148" i="7"/>
  <c r="Q148" i="7"/>
  <c r="V159" i="7"/>
  <c r="S159" i="7"/>
  <c r="W159" i="7"/>
  <c r="X159" i="7"/>
  <c r="O159" i="7"/>
  <c r="T159" i="7"/>
  <c r="P159" i="7"/>
  <c r="Q159" i="7"/>
  <c r="R159" i="7"/>
  <c r="U159" i="7"/>
  <c r="S215" i="7"/>
  <c r="T215" i="7"/>
  <c r="Q215" i="7"/>
  <c r="U215" i="7"/>
  <c r="V215" i="7"/>
  <c r="W215" i="7"/>
  <c r="X215" i="7"/>
  <c r="O215" i="7"/>
  <c r="P215" i="7"/>
  <c r="R215" i="7"/>
  <c r="AA155" i="7"/>
  <c r="U155" i="7"/>
  <c r="W224" i="7"/>
  <c r="L120" i="1" s="1"/>
  <c r="O224" i="7"/>
  <c r="P224" i="7"/>
  <c r="Q224" i="7"/>
  <c r="R224" i="7"/>
  <c r="G120" i="1" s="1"/>
  <c r="S224" i="7"/>
  <c r="H120" i="1" s="1"/>
  <c r="T224" i="7"/>
  <c r="I120" i="1" s="1"/>
  <c r="U224" i="7"/>
  <c r="J120" i="1" s="1"/>
  <c r="V224" i="7"/>
  <c r="K120" i="1" s="1"/>
  <c r="X224" i="7"/>
  <c r="M120" i="1" s="1"/>
  <c r="O176" i="7"/>
  <c r="P176" i="7"/>
  <c r="U176" i="7"/>
  <c r="Q176" i="7"/>
  <c r="R176" i="7"/>
  <c r="S176" i="7"/>
  <c r="T176" i="7"/>
  <c r="V176" i="7"/>
  <c r="W176" i="7"/>
  <c r="X176" i="7"/>
  <c r="X200" i="7"/>
  <c r="U200" i="7"/>
  <c r="V200" i="7"/>
  <c r="W200" i="7"/>
  <c r="O200" i="7"/>
  <c r="P200" i="7"/>
  <c r="Q200" i="7"/>
  <c r="R200" i="7"/>
  <c r="S200" i="7"/>
  <c r="T200" i="7"/>
  <c r="T157" i="7"/>
  <c r="P157" i="7"/>
  <c r="W157" i="7"/>
  <c r="X157" i="7"/>
  <c r="V157" i="7"/>
  <c r="S157" i="7"/>
  <c r="R157" i="7"/>
  <c r="O157" i="7"/>
  <c r="Q157" i="7"/>
  <c r="S194" i="7"/>
  <c r="R194" i="7"/>
  <c r="V194" i="7"/>
  <c r="X194" i="7"/>
  <c r="T194" i="7"/>
  <c r="Q194" i="7"/>
  <c r="W194" i="7"/>
  <c r="P194" i="7"/>
  <c r="O245" i="7"/>
  <c r="R163" i="7"/>
  <c r="V163" i="7"/>
  <c r="Q163" i="7"/>
  <c r="P163" i="7"/>
  <c r="X163" i="7"/>
  <c r="O163" i="7"/>
  <c r="W163" i="7"/>
  <c r="T163" i="7"/>
  <c r="S163" i="7"/>
  <c r="O165" i="7"/>
  <c r="R165" i="7"/>
  <c r="P165" i="7"/>
  <c r="Q165" i="7"/>
  <c r="X165" i="7"/>
  <c r="S165" i="7"/>
  <c r="T165" i="7"/>
  <c r="U165" i="7"/>
  <c r="V165" i="7"/>
  <c r="W165" i="7"/>
  <c r="O217" i="7"/>
  <c r="P217" i="7"/>
  <c r="Q217" i="7"/>
  <c r="Q113" i="1" s="1"/>
  <c r="R217" i="7"/>
  <c r="S217" i="7"/>
  <c r="T217" i="7"/>
  <c r="U217" i="7"/>
  <c r="V217" i="7"/>
  <c r="W217" i="7"/>
  <c r="X217" i="7"/>
  <c r="R201" i="7"/>
  <c r="V201" i="7"/>
  <c r="S201" i="7"/>
  <c r="T201" i="7"/>
  <c r="P201" i="7"/>
  <c r="X201" i="7"/>
  <c r="O201" i="7"/>
  <c r="W201" i="7"/>
  <c r="Q201" i="7"/>
  <c r="Q97" i="1" s="1"/>
  <c r="AA180" i="7"/>
  <c r="U180" i="7"/>
  <c r="AI214" i="7"/>
  <c r="X153" i="7"/>
  <c r="P153" i="7"/>
  <c r="Q153" i="7"/>
  <c r="R153" i="7"/>
  <c r="S153" i="7"/>
  <c r="U153" i="7"/>
  <c r="T153" i="7"/>
  <c r="V153" i="7"/>
  <c r="W153" i="7"/>
  <c r="O153" i="7"/>
  <c r="W173" i="7"/>
  <c r="S173" i="7"/>
  <c r="X173" i="7"/>
  <c r="O173" i="7"/>
  <c r="P173" i="7"/>
  <c r="R173" i="7"/>
  <c r="Q173" i="7"/>
  <c r="T173" i="7"/>
  <c r="U173" i="7"/>
  <c r="V173" i="7"/>
  <c r="S182" i="7"/>
  <c r="W182" i="7"/>
  <c r="X182" i="7"/>
  <c r="R182" i="7"/>
  <c r="O182" i="7"/>
  <c r="V182" i="7"/>
  <c r="Q182" i="7"/>
  <c r="P182" i="7"/>
  <c r="T182" i="7"/>
  <c r="O184" i="7"/>
  <c r="R184" i="7"/>
  <c r="P184" i="7"/>
  <c r="Q184" i="7"/>
  <c r="S184" i="7"/>
  <c r="T184" i="7"/>
  <c r="U184" i="7"/>
  <c r="V184" i="7"/>
  <c r="W184" i="7"/>
  <c r="X184" i="7"/>
  <c r="T149" i="7"/>
  <c r="T243" i="7" s="1"/>
  <c r="V149" i="7"/>
  <c r="V243" i="7" s="1"/>
  <c r="R149" i="7"/>
  <c r="R243" i="7" s="1"/>
  <c r="X149" i="7"/>
  <c r="X243" i="7" s="1"/>
  <c r="W149" i="7"/>
  <c r="W243" i="7" s="1"/>
  <c r="Q149" i="7"/>
  <c r="Q243" i="7" s="1"/>
  <c r="P149" i="7"/>
  <c r="P243" i="7" s="1"/>
  <c r="O149" i="7"/>
  <c r="S149" i="7"/>
  <c r="S243" i="7" s="1"/>
  <c r="O150" i="7"/>
  <c r="X150" i="7"/>
  <c r="X244" i="7" s="1"/>
  <c r="R150" i="7"/>
  <c r="R244" i="7" s="1"/>
  <c r="V150" i="7"/>
  <c r="V244" i="7" s="1"/>
  <c r="T150" i="7"/>
  <c r="T244" i="7" s="1"/>
  <c r="W150" i="7"/>
  <c r="W244" i="7" s="1"/>
  <c r="S150" i="7"/>
  <c r="S244" i="7" s="1"/>
  <c r="Q150" i="7"/>
  <c r="Q244" i="7" s="1"/>
  <c r="P150" i="7"/>
  <c r="P244" i="7" s="1"/>
  <c r="W178" i="7"/>
  <c r="Q178" i="7"/>
  <c r="S178" i="7"/>
  <c r="V178" i="7"/>
  <c r="R178" i="7"/>
  <c r="O178" i="7"/>
  <c r="T178" i="7"/>
  <c r="P178" i="7"/>
  <c r="X178" i="7"/>
  <c r="AH214" i="7"/>
  <c r="AE223" i="7"/>
  <c r="R170" i="7"/>
  <c r="V170" i="7"/>
  <c r="W170" i="7"/>
  <c r="S170" i="7"/>
  <c r="T170" i="7"/>
  <c r="P170" i="7"/>
  <c r="Q170" i="7"/>
  <c r="O170" i="7"/>
  <c r="X170" i="7"/>
  <c r="R156" i="7"/>
  <c r="X156" i="7"/>
  <c r="V156" i="7"/>
  <c r="T156" i="7"/>
  <c r="W156" i="7"/>
  <c r="Q156" i="7"/>
  <c r="O156" i="7"/>
  <c r="S156" i="7"/>
  <c r="P156" i="7"/>
  <c r="R192" i="7"/>
  <c r="O192" i="7"/>
  <c r="T192" i="7"/>
  <c r="P192" i="7"/>
  <c r="Q192" i="7"/>
  <c r="U192" i="7"/>
  <c r="V192" i="7"/>
  <c r="S192" i="7"/>
  <c r="W192" i="7"/>
  <c r="X192" i="7"/>
  <c r="O216" i="7"/>
  <c r="S216" i="7"/>
  <c r="W216" i="7"/>
  <c r="Q216" i="7"/>
  <c r="V216" i="7"/>
  <c r="T216" i="7"/>
  <c r="P216" i="7"/>
  <c r="X216" i="7"/>
  <c r="R216" i="7"/>
  <c r="W164" i="7"/>
  <c r="P164" i="7"/>
  <c r="V164" i="7"/>
  <c r="Q164" i="7"/>
  <c r="S164" i="7"/>
  <c r="T164" i="7"/>
  <c r="O164" i="7"/>
  <c r="R164" i="7"/>
  <c r="X164" i="7"/>
  <c r="T166" i="7"/>
  <c r="S166" i="7"/>
  <c r="V166" i="7"/>
  <c r="X166" i="7"/>
  <c r="Q166" i="7"/>
  <c r="P166" i="7"/>
  <c r="O166" i="7"/>
  <c r="W166" i="7"/>
  <c r="R166" i="7"/>
  <c r="S167" i="7"/>
  <c r="T167" i="7"/>
  <c r="V167" i="7"/>
  <c r="R167" i="7"/>
  <c r="O167" i="7"/>
  <c r="Q167" i="7"/>
  <c r="W167" i="7"/>
  <c r="X167" i="7"/>
  <c r="P167" i="7"/>
  <c r="AA160" i="7"/>
  <c r="U160" i="7"/>
  <c r="AA170" i="7"/>
  <c r="U170" i="7"/>
  <c r="AA181" i="7"/>
  <c r="U181" i="7"/>
  <c r="AG214" i="7"/>
  <c r="O189" i="7"/>
  <c r="X189" i="7"/>
  <c r="W189" i="7"/>
  <c r="V189" i="7"/>
  <c r="S189" i="7"/>
  <c r="T189" i="7"/>
  <c r="P189" i="7"/>
  <c r="R189" i="7"/>
  <c r="Q189" i="7"/>
  <c r="T172" i="7"/>
  <c r="U172" i="7"/>
  <c r="V172" i="7"/>
  <c r="W172" i="7"/>
  <c r="X172" i="7"/>
  <c r="Q172" i="7"/>
  <c r="S172" i="7"/>
  <c r="O172" i="7"/>
  <c r="R172" i="7"/>
  <c r="P172" i="7"/>
  <c r="O211" i="7"/>
  <c r="O107" i="1" s="1"/>
  <c r="P211" i="7"/>
  <c r="P107" i="1" s="1"/>
  <c r="Q211" i="7"/>
  <c r="Q107" i="1" s="1"/>
  <c r="R211" i="7"/>
  <c r="S211" i="7"/>
  <c r="T211" i="7"/>
  <c r="U211" i="7"/>
  <c r="V211" i="7"/>
  <c r="W211" i="7"/>
  <c r="X211" i="7"/>
  <c r="X183" i="7"/>
  <c r="T183" i="7"/>
  <c r="W183" i="7"/>
  <c r="V183" i="7"/>
  <c r="Q183" i="7"/>
  <c r="S183" i="7"/>
  <c r="R183" i="7"/>
  <c r="P183" i="7"/>
  <c r="O183" i="7"/>
  <c r="T186" i="7"/>
  <c r="Q186" i="7"/>
  <c r="R186" i="7"/>
  <c r="V186" i="7"/>
  <c r="P186" i="7"/>
  <c r="X186" i="7"/>
  <c r="O186" i="7"/>
  <c r="W186" i="7"/>
  <c r="S186" i="7"/>
  <c r="AA166" i="7"/>
  <c r="U166" i="7"/>
  <c r="AA151" i="7"/>
  <c r="U151" i="7"/>
  <c r="AA178" i="7"/>
  <c r="U178" i="7"/>
  <c r="AA195" i="7"/>
  <c r="U195" i="7"/>
  <c r="S191" i="7"/>
  <c r="W191" i="7"/>
  <c r="R191" i="7"/>
  <c r="O191" i="7"/>
  <c r="Q191" i="7"/>
  <c r="P191" i="7"/>
  <c r="V191" i="7"/>
  <c r="X191" i="7"/>
  <c r="T191" i="7"/>
  <c r="R161" i="7"/>
  <c r="X161" i="7"/>
  <c r="S161" i="7"/>
  <c r="W161" i="7"/>
  <c r="Q161" i="7"/>
  <c r="V161" i="7"/>
  <c r="T161" i="7"/>
  <c r="P161" i="7"/>
  <c r="O161" i="7"/>
  <c r="Q180" i="7"/>
  <c r="X180" i="7"/>
  <c r="O180" i="7"/>
  <c r="W180" i="7"/>
  <c r="S180" i="7"/>
  <c r="V180" i="7"/>
  <c r="T180" i="7"/>
  <c r="R180" i="7"/>
  <c r="P180" i="7"/>
  <c r="AA226" i="7"/>
  <c r="B31" i="2" s="1"/>
  <c r="U226" i="7"/>
  <c r="AA194" i="7"/>
  <c r="U194" i="7"/>
  <c r="Q220" i="7"/>
  <c r="R220" i="7"/>
  <c r="G116" i="1" s="1"/>
  <c r="S220" i="7"/>
  <c r="H116" i="1" s="1"/>
  <c r="T220" i="7"/>
  <c r="I116" i="1" s="1"/>
  <c r="U220" i="7"/>
  <c r="J116" i="1" s="1"/>
  <c r="V220" i="7"/>
  <c r="K116" i="1" s="1"/>
  <c r="W220" i="7"/>
  <c r="L116" i="1" s="1"/>
  <c r="X220" i="7"/>
  <c r="M116" i="1" s="1"/>
  <c r="O220" i="7"/>
  <c r="P220" i="7"/>
  <c r="U202" i="7"/>
  <c r="V202" i="7"/>
  <c r="W202" i="7"/>
  <c r="X202" i="7"/>
  <c r="O202" i="7"/>
  <c r="P202" i="7"/>
  <c r="Q202" i="7"/>
  <c r="R202" i="7"/>
  <c r="S202" i="7"/>
  <c r="T202" i="7"/>
  <c r="V226" i="7"/>
  <c r="T226" i="7"/>
  <c r="S226" i="7"/>
  <c r="R226" i="7"/>
  <c r="W226" i="7"/>
  <c r="P226" i="7"/>
  <c r="P122" i="1" s="1"/>
  <c r="O226" i="7"/>
  <c r="O122" i="1" s="1"/>
  <c r="Q226" i="7"/>
  <c r="Q122" i="1" s="1"/>
  <c r="X226" i="7"/>
  <c r="O203" i="7"/>
  <c r="O99" i="1" s="1"/>
  <c r="P203" i="7"/>
  <c r="Q203" i="7"/>
  <c r="R203" i="7"/>
  <c r="S203" i="7"/>
  <c r="T203" i="7"/>
  <c r="U203" i="7"/>
  <c r="V203" i="7"/>
  <c r="W203" i="7"/>
  <c r="X203" i="7"/>
  <c r="AA174" i="7"/>
  <c r="U174" i="7"/>
  <c r="AA188" i="7"/>
  <c r="U188" i="7"/>
  <c r="AJ229" i="7"/>
  <c r="R152" i="7"/>
  <c r="W152" i="7"/>
  <c r="P152" i="7"/>
  <c r="O152" i="7"/>
  <c r="V152" i="7"/>
  <c r="T152" i="7"/>
  <c r="X152" i="7"/>
  <c r="Q152" i="7"/>
  <c r="S152" i="7"/>
  <c r="V151" i="7"/>
  <c r="Q151" i="7"/>
  <c r="W151" i="7"/>
  <c r="P151" i="7"/>
  <c r="S151" i="7"/>
  <c r="X151" i="7"/>
  <c r="R151" i="7"/>
  <c r="O151" i="7"/>
  <c r="T151" i="7"/>
  <c r="P195" i="7"/>
  <c r="V195" i="7"/>
  <c r="O195" i="7"/>
  <c r="X195" i="7"/>
  <c r="W195" i="7"/>
  <c r="Q195" i="7"/>
  <c r="T195" i="7"/>
  <c r="S195" i="7"/>
  <c r="R195" i="7"/>
  <c r="U148" i="7"/>
  <c r="AE229" i="7"/>
  <c r="R169" i="7"/>
  <c r="P169" i="7"/>
  <c r="Q169" i="7"/>
  <c r="X169" i="7"/>
  <c r="W169" i="7"/>
  <c r="V169" i="7"/>
  <c r="O169" i="7"/>
  <c r="S169" i="7"/>
  <c r="T169" i="7"/>
  <c r="P155" i="7"/>
  <c r="Q155" i="7"/>
  <c r="W155" i="7"/>
  <c r="T155" i="7"/>
  <c r="S155" i="7"/>
  <c r="R155" i="7"/>
  <c r="X155" i="7"/>
  <c r="V155" i="7"/>
  <c r="O155" i="7"/>
  <c r="X162" i="7"/>
  <c r="T162" i="7"/>
  <c r="V162" i="7"/>
  <c r="W162" i="7"/>
  <c r="S162" i="7"/>
  <c r="O162" i="7"/>
  <c r="R162" i="7"/>
  <c r="Q162" i="7"/>
  <c r="P162" i="7"/>
  <c r="V168" i="7"/>
  <c r="Q168" i="7"/>
  <c r="O168" i="7"/>
  <c r="X168" i="7"/>
  <c r="W168" i="7"/>
  <c r="R168" i="7"/>
  <c r="P168" i="7"/>
  <c r="T168" i="7"/>
  <c r="S168" i="7"/>
  <c r="AA162" i="7"/>
  <c r="U162" i="7"/>
  <c r="U157" i="7"/>
  <c r="U193" i="7"/>
  <c r="AG222" i="7"/>
  <c r="AF229" i="7"/>
  <c r="X188" i="7"/>
  <c r="T188" i="7"/>
  <c r="Q188" i="7"/>
  <c r="P188" i="7"/>
  <c r="S188" i="7"/>
  <c r="R188" i="7"/>
  <c r="W188" i="7"/>
  <c r="O188" i="7"/>
  <c r="V188" i="7"/>
  <c r="P171" i="7"/>
  <c r="O171" i="7"/>
  <c r="W171" i="7"/>
  <c r="S171" i="7"/>
  <c r="R171" i="7"/>
  <c r="Q171" i="7"/>
  <c r="X171" i="7"/>
  <c r="T171" i="7"/>
  <c r="V171" i="7"/>
  <c r="S181" i="7"/>
  <c r="P181" i="7"/>
  <c r="T181" i="7"/>
  <c r="R181" i="7"/>
  <c r="W181" i="7"/>
  <c r="O181" i="7"/>
  <c r="V181" i="7"/>
  <c r="X181" i="7"/>
  <c r="Q181" i="7"/>
  <c r="V187" i="7"/>
  <c r="T187" i="7"/>
  <c r="W187" i="7"/>
  <c r="X187" i="7"/>
  <c r="Q187" i="7"/>
  <c r="P187" i="7"/>
  <c r="S187" i="7"/>
  <c r="R187" i="7"/>
  <c r="O187" i="7"/>
  <c r="AA182" i="7"/>
  <c r="U182" i="7"/>
  <c r="Q204" i="7"/>
  <c r="R204" i="7"/>
  <c r="S204" i="7"/>
  <c r="T204" i="7"/>
  <c r="U204" i="7"/>
  <c r="V204" i="7"/>
  <c r="W204" i="7"/>
  <c r="X204" i="7"/>
  <c r="O204" i="7"/>
  <c r="O100" i="1" s="1"/>
  <c r="P204" i="7"/>
  <c r="AF222" i="7"/>
  <c r="AD229" i="7"/>
  <c r="R190" i="7"/>
  <c r="P190" i="7"/>
  <c r="W190" i="7"/>
  <c r="Q190" i="7"/>
  <c r="S190" i="7"/>
  <c r="T190" i="7"/>
  <c r="X190" i="7"/>
  <c r="V190" i="7"/>
  <c r="U210" i="7"/>
  <c r="V210" i="7"/>
  <c r="W210" i="7"/>
  <c r="X210" i="7"/>
  <c r="O210" i="7"/>
  <c r="O106" i="1" s="1"/>
  <c r="S210" i="7"/>
  <c r="P210" i="7"/>
  <c r="Q210" i="7"/>
  <c r="Q106" i="1" s="1"/>
  <c r="R210" i="7"/>
  <c r="T210" i="7"/>
  <c r="P174" i="7"/>
  <c r="W174" i="7"/>
  <c r="O174" i="7"/>
  <c r="T174" i="7"/>
  <c r="V174" i="7"/>
  <c r="X174" i="7"/>
  <c r="Q174" i="7"/>
  <c r="S174" i="7"/>
  <c r="R174" i="7"/>
  <c r="AA191" i="7"/>
  <c r="U191" i="7"/>
  <c r="AC229" i="7"/>
  <c r="V158" i="7"/>
  <c r="P158" i="7"/>
  <c r="O158" i="7"/>
  <c r="X158" i="7"/>
  <c r="R158" i="7"/>
  <c r="T158" i="7"/>
  <c r="Q158" i="7"/>
  <c r="S158" i="7"/>
  <c r="W158" i="7"/>
  <c r="T160" i="7"/>
  <c r="P160" i="7"/>
  <c r="X160" i="7"/>
  <c r="R160" i="7"/>
  <c r="Q160" i="7"/>
  <c r="W160" i="7"/>
  <c r="O160" i="7"/>
  <c r="S160" i="7"/>
  <c r="V160" i="7"/>
  <c r="U216" i="7"/>
  <c r="AA201" i="7"/>
  <c r="AE207" i="7"/>
  <c r="AD223" i="7"/>
  <c r="AD207" i="7"/>
  <c r="AC223" i="7"/>
  <c r="AB223" i="7"/>
  <c r="AF213" i="7"/>
  <c r="AE213" i="7"/>
  <c r="AD213" i="7"/>
  <c r="AC213" i="7"/>
  <c r="D31" i="2"/>
  <c r="AA213" i="7"/>
  <c r="B18" i="2" s="1"/>
  <c r="AA229" i="7"/>
  <c r="B34" i="2" s="1"/>
  <c r="AA183" i="7"/>
  <c r="AJ213" i="7"/>
  <c r="AI229" i="7"/>
  <c r="AI213" i="7"/>
  <c r="AA157" i="7"/>
  <c r="AA156" i="7"/>
  <c r="AA161" i="7"/>
  <c r="AA171" i="7"/>
  <c r="AA187" i="7"/>
  <c r="AA219" i="7"/>
  <c r="B24" i="2" s="1"/>
  <c r="AA189" i="7"/>
  <c r="D24" i="2"/>
  <c r="AA149" i="7"/>
  <c r="AA164" i="7"/>
  <c r="AA150" i="7"/>
  <c r="AA158" i="7"/>
  <c r="AA230" i="7"/>
  <c r="B35" i="2" s="1"/>
  <c r="D35" i="2"/>
  <c r="AA168" i="7"/>
  <c r="AA186" i="7"/>
  <c r="AA190" i="7"/>
  <c r="AA167" i="7"/>
  <c r="AA193" i="7"/>
  <c r="D36" i="2"/>
  <c r="AD227" i="7"/>
  <c r="AI227" i="7"/>
  <c r="AF148" i="7"/>
  <c r="AG148" i="7"/>
  <c r="AB148" i="7"/>
  <c r="AC148" i="7"/>
  <c r="AD148" i="7"/>
  <c r="AA148" i="7"/>
  <c r="AE148" i="7"/>
  <c r="AH148" i="7"/>
  <c r="AI148" i="7"/>
  <c r="AJ148" i="7"/>
  <c r="AI206" i="7"/>
  <c r="AA223" i="7"/>
  <c r="B28" i="2" s="1"/>
  <c r="AA207" i="7"/>
  <c r="B12" i="2" s="1"/>
  <c r="AG207" i="7"/>
  <c r="AB227" i="7"/>
  <c r="AC216" i="7"/>
  <c r="AG206" i="7"/>
  <c r="AJ208" i="7"/>
  <c r="AC219" i="7"/>
  <c r="AH228" i="7"/>
  <c r="AB205" i="7"/>
  <c r="AJ223" i="7"/>
  <c r="AD216" i="7"/>
  <c r="AA206" i="7"/>
  <c r="B11" i="2" s="1"/>
  <c r="AI228" i="7"/>
  <c r="AB216" i="7"/>
  <c r="AF206" i="7"/>
  <c r="AI208" i="7"/>
  <c r="AB219" i="7"/>
  <c r="AG228" i="7"/>
  <c r="AB152" i="7"/>
  <c r="AC152" i="7"/>
  <c r="AH152" i="7"/>
  <c r="AA152" i="7"/>
  <c r="AI152" i="7"/>
  <c r="AJ152" i="7"/>
  <c r="AD152" i="7"/>
  <c r="AE152" i="7"/>
  <c r="AF152" i="7"/>
  <c r="AG152" i="7"/>
  <c r="AJ228" i="7"/>
  <c r="AI223" i="7"/>
  <c r="AJ205" i="7"/>
  <c r="AE206" i="7"/>
  <c r="AH208" i="7"/>
  <c r="AH221" i="7"/>
  <c r="AE228" i="7"/>
  <c r="AB169" i="7"/>
  <c r="AC169" i="7"/>
  <c r="AH169" i="7"/>
  <c r="AA169" i="7"/>
  <c r="AJ169" i="7"/>
  <c r="AI169" i="7"/>
  <c r="AE169" i="7"/>
  <c r="AG169" i="7"/>
  <c r="AF169" i="7"/>
  <c r="AD169" i="7"/>
  <c r="AC227" i="7"/>
  <c r="AG216" i="7"/>
  <c r="AH206" i="7"/>
  <c r="AI205" i="7"/>
  <c r="AD206" i="7"/>
  <c r="AG208" i="7"/>
  <c r="AG221" i="7"/>
  <c r="AF228" i="7"/>
  <c r="AB185" i="7"/>
  <c r="AC185" i="7"/>
  <c r="AH185" i="7"/>
  <c r="AA185" i="7"/>
  <c r="AI185" i="7"/>
  <c r="AJ185" i="7"/>
  <c r="AF185" i="7"/>
  <c r="AD185" i="7"/>
  <c r="AE185" i="7"/>
  <c r="AG185" i="7"/>
  <c r="AH216" i="7"/>
  <c r="AB207" i="7"/>
  <c r="AE216" i="7"/>
  <c r="AH163" i="7"/>
  <c r="AA163" i="7"/>
  <c r="AI163" i="7"/>
  <c r="AC163" i="7"/>
  <c r="AD163" i="7"/>
  <c r="AE163" i="7"/>
  <c r="AB163" i="7"/>
  <c r="AF163" i="7"/>
  <c r="AG163" i="7"/>
  <c r="AJ163" i="7"/>
  <c r="AH205" i="7"/>
  <c r="AC206" i="7"/>
  <c r="AF208" i="7"/>
  <c r="AF214" i="7"/>
  <c r="AF221" i="7"/>
  <c r="AA227" i="7"/>
  <c r="B32" i="2" s="1"/>
  <c r="AD228" i="7"/>
  <c r="AA205" i="7"/>
  <c r="AG205" i="7"/>
  <c r="AB206" i="7"/>
  <c r="AA208" i="7"/>
  <c r="B13" i="2" s="1"/>
  <c r="AE214" i="7"/>
  <c r="AE221" i="7"/>
  <c r="AJ227" i="7"/>
  <c r="AC228" i="7"/>
  <c r="AG230" i="7"/>
  <c r="AB209" i="7"/>
  <c r="AC209" i="7"/>
  <c r="AF209" i="7"/>
  <c r="AG209" i="7"/>
  <c r="AH209" i="7"/>
  <c r="AA209" i="7"/>
  <c r="B14" i="2" s="1"/>
  <c r="AJ209" i="7"/>
  <c r="AD209" i="7"/>
  <c r="AE209" i="7"/>
  <c r="AI209" i="7"/>
  <c r="B120" i="1"/>
  <c r="AC207" i="7"/>
  <c r="AF205" i="7"/>
  <c r="AD214" i="7"/>
  <c r="AD221" i="7"/>
  <c r="AB228" i="7"/>
  <c r="AJ207" i="7"/>
  <c r="AF212" i="7"/>
  <c r="AA212" i="7"/>
  <c r="B17" i="2" s="1"/>
  <c r="AG212" i="7"/>
  <c r="AH212" i="7"/>
  <c r="AB212" i="7"/>
  <c r="AC212" i="7"/>
  <c r="AD212" i="7"/>
  <c r="AE212" i="7"/>
  <c r="AI212" i="7"/>
  <c r="AJ212" i="7"/>
  <c r="AE205" i="7"/>
  <c r="AI207" i="7"/>
  <c r="AD208" i="7"/>
  <c r="AA214" i="7"/>
  <c r="B19" i="2" s="1"/>
  <c r="AC221" i="7"/>
  <c r="AG223" i="7"/>
  <c r="AG227" i="7"/>
  <c r="B116" i="1"/>
  <c r="AI216" i="7"/>
  <c r="AF216" i="7"/>
  <c r="AE208" i="7"/>
  <c r="AH223" i="7"/>
  <c r="AH227" i="7"/>
  <c r="B7" i="1" l="1"/>
  <c r="B43" i="1" s="1"/>
  <c r="BE4" i="5" s="1"/>
  <c r="Q41" i="1"/>
  <c r="Q42" i="1"/>
  <c r="Q43" i="1" s="1"/>
  <c r="B47" i="1"/>
  <c r="M47" i="1"/>
  <c r="L47" i="1"/>
  <c r="N47" i="1"/>
  <c r="K47" i="1"/>
  <c r="J47" i="1"/>
  <c r="I47" i="1"/>
  <c r="H47" i="1"/>
  <c r="G47" i="1"/>
  <c r="Q247" i="7"/>
  <c r="P247" i="7"/>
  <c r="W247" i="7"/>
  <c r="V247" i="7"/>
  <c r="U247" i="7"/>
  <c r="X247" i="7"/>
  <c r="T247" i="7"/>
  <c r="S247" i="7"/>
  <c r="R247" i="7"/>
  <c r="P96" i="1"/>
  <c r="O96" i="1"/>
  <c r="O111" i="1"/>
  <c r="P98" i="1"/>
  <c r="O112" i="1"/>
  <c r="P99" i="1"/>
  <c r="O98" i="1"/>
  <c r="Q99" i="1"/>
  <c r="P104" i="1"/>
  <c r="P97" i="1"/>
  <c r="Q103" i="1"/>
  <c r="P100" i="1"/>
  <c r="P111" i="1"/>
  <c r="P113" i="1"/>
  <c r="O113" i="1"/>
  <c r="P106" i="1"/>
  <c r="Q98" i="1"/>
  <c r="Q111" i="1"/>
  <c r="O97" i="1"/>
  <c r="P112" i="1"/>
  <c r="O103" i="1"/>
  <c r="Q104" i="1"/>
  <c r="Q112" i="1"/>
  <c r="P103" i="1"/>
  <c r="Q96" i="1"/>
  <c r="O116" i="1"/>
  <c r="C116" i="1"/>
  <c r="D120" i="1"/>
  <c r="P120" i="1"/>
  <c r="C120" i="1"/>
  <c r="O120" i="1"/>
  <c r="Q116" i="1"/>
  <c r="E116" i="1"/>
  <c r="O108" i="1"/>
  <c r="P108" i="1"/>
  <c r="P102" i="1"/>
  <c r="B36" i="2"/>
  <c r="Q100" i="1"/>
  <c r="P116" i="1"/>
  <c r="D116" i="1"/>
  <c r="D47" i="1" s="1"/>
  <c r="E120" i="1"/>
  <c r="Q120" i="1"/>
  <c r="O104" i="1"/>
  <c r="Q108" i="1"/>
  <c r="R246" i="7"/>
  <c r="W246" i="7"/>
  <c r="S246" i="7"/>
  <c r="Q246" i="7"/>
  <c r="X246" i="7"/>
  <c r="V246" i="7"/>
  <c r="J8" i="1" s="1"/>
  <c r="U246" i="7"/>
  <c r="P246" i="7"/>
  <c r="AE243" i="7"/>
  <c r="E37" i="2"/>
  <c r="AD243" i="7"/>
  <c r="AC243" i="7"/>
  <c r="T246" i="7"/>
  <c r="AH243" i="7"/>
  <c r="AF243" i="7"/>
  <c r="AA243" i="7"/>
  <c r="B2" i="2" s="1"/>
  <c r="B10" i="2"/>
  <c r="AB243" i="7"/>
  <c r="AI243" i="7"/>
  <c r="AJ243" i="7"/>
  <c r="AG243" i="7"/>
  <c r="W242" i="7"/>
  <c r="K4" i="1" s="1"/>
  <c r="O246" i="7"/>
  <c r="B8" i="1" s="1"/>
  <c r="BE33" i="21" l="1"/>
  <c r="E47" i="1"/>
  <c r="C47" i="1"/>
  <c r="Q47" i="1"/>
  <c r="O47" i="1"/>
  <c r="P47" i="1"/>
  <c r="K25" i="1"/>
  <c r="K16" i="10" s="1"/>
  <c r="S242" i="7"/>
  <c r="G4" i="1" s="1"/>
  <c r="T242" i="7"/>
  <c r="H4" i="1" s="1"/>
  <c r="P242" i="7"/>
  <c r="C4" i="1" s="1"/>
  <c r="R242" i="7"/>
  <c r="E4" i="1" s="1"/>
  <c r="Q242" i="7"/>
  <c r="D4" i="1" s="1"/>
  <c r="X242" i="7"/>
  <c r="L4" i="1" s="1"/>
  <c r="U242" i="7"/>
  <c r="I4" i="1" s="1"/>
  <c r="V242" i="7"/>
  <c r="J4" i="1" s="1"/>
  <c r="O242" i="7"/>
  <c r="B4" i="1" s="1"/>
  <c r="B16" i="10" s="1"/>
  <c r="D8" i="1"/>
  <c r="K8" i="1"/>
  <c r="I8" i="1"/>
  <c r="E8" i="1"/>
  <c r="C8" i="1"/>
  <c r="L8" i="1"/>
  <c r="G8" i="1"/>
  <c r="H8" i="1"/>
  <c r="G10" i="1"/>
  <c r="D10" i="1"/>
  <c r="E10" i="1"/>
  <c r="H10" i="1"/>
  <c r="I10" i="1"/>
  <c r="J10" i="1"/>
  <c r="L10" i="1"/>
  <c r="C10" i="1"/>
  <c r="K10" i="1"/>
  <c r="L25" i="1" l="1"/>
  <c r="L16" i="10" s="1"/>
  <c r="J25" i="1"/>
  <c r="J16" i="10" s="1"/>
  <c r="D25" i="1"/>
  <c r="D16" i="10" s="1"/>
  <c r="E25" i="1"/>
  <c r="E16" i="10" s="1"/>
  <c r="H25" i="1"/>
  <c r="H16" i="10" s="1"/>
  <c r="C25" i="1"/>
  <c r="C16" i="10" s="1"/>
  <c r="G25" i="1"/>
  <c r="G16" i="10" s="1"/>
  <c r="I25" i="1"/>
  <c r="I16" i="10" s="1"/>
  <c r="BP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N177" i="7" l="1"/>
  <c r="Z177" i="7"/>
  <c r="N179" i="7"/>
  <c r="Z179" i="7"/>
  <c r="N175" i="7"/>
  <c r="Z175" i="7"/>
  <c r="K5" i="1"/>
  <c r="N243" i="7"/>
  <c r="A5" i="1" s="1"/>
  <c r="D6" i="1"/>
  <c r="N244" i="7"/>
  <c r="A6" i="1" s="1"/>
  <c r="K37" i="1" l="1"/>
  <c r="K38" i="1"/>
  <c r="K40" i="1"/>
  <c r="S175" i="7"/>
  <c r="V175" i="7"/>
  <c r="Q175" i="7"/>
  <c r="P175" i="7"/>
  <c r="X175" i="7"/>
  <c r="T175" i="7"/>
  <c r="R175" i="7"/>
  <c r="O175" i="7"/>
  <c r="W175" i="7"/>
  <c r="U175" i="7"/>
  <c r="O179" i="7"/>
  <c r="X179" i="7"/>
  <c r="S179" i="7"/>
  <c r="T179" i="7"/>
  <c r="Q179" i="7"/>
  <c r="R179" i="7"/>
  <c r="P179" i="7"/>
  <c r="V179" i="7"/>
  <c r="W179" i="7"/>
  <c r="U179" i="7"/>
  <c r="S177" i="7"/>
  <c r="V177" i="7"/>
  <c r="Q177" i="7"/>
  <c r="X177" i="7"/>
  <c r="W177" i="7"/>
  <c r="P177" i="7"/>
  <c r="O177" i="7"/>
  <c r="R177" i="7"/>
  <c r="T177" i="7"/>
  <c r="U177" i="7"/>
  <c r="AB179" i="7"/>
  <c r="AJ179" i="7"/>
  <c r="AC179" i="7"/>
  <c r="AF179" i="7"/>
  <c r="AH179" i="7"/>
  <c r="AA179" i="7"/>
  <c r="AI179" i="7"/>
  <c r="AD179" i="7"/>
  <c r="AE179" i="7"/>
  <c r="AG179" i="7"/>
  <c r="AI175" i="7"/>
  <c r="AJ175" i="7"/>
  <c r="AF175" i="7"/>
  <c r="AE175" i="7"/>
  <c r="AG175" i="7"/>
  <c r="AG242" i="7" s="1"/>
  <c r="AB175" i="7"/>
  <c r="AC175" i="7"/>
  <c r="AD175" i="7"/>
  <c r="AH175" i="7"/>
  <c r="AA175" i="7"/>
  <c r="AJ177" i="7"/>
  <c r="AB177" i="7"/>
  <c r="AF177" i="7"/>
  <c r="AG177" i="7"/>
  <c r="AC177" i="7"/>
  <c r="AH177" i="7"/>
  <c r="AD177" i="7"/>
  <c r="AE177" i="7"/>
  <c r="AI177" i="7"/>
  <c r="AA177" i="7"/>
  <c r="I6" i="1"/>
  <c r="H6" i="1"/>
  <c r="G6" i="1"/>
  <c r="G5" i="1"/>
  <c r="J5" i="1"/>
  <c r="I5" i="1"/>
  <c r="H5" i="1"/>
  <c r="E5" i="1"/>
  <c r="D5" i="1"/>
  <c r="C5" i="1"/>
  <c r="K6" i="1"/>
  <c r="C6" i="1"/>
  <c r="L6" i="1"/>
  <c r="J6" i="1"/>
  <c r="L5" i="1"/>
  <c r="E6" i="1"/>
  <c r="AE242" i="7" l="1"/>
  <c r="AF242" i="7"/>
  <c r="U245" i="7"/>
  <c r="W245" i="7"/>
  <c r="K7" i="1" s="1"/>
  <c r="R245" i="7"/>
  <c r="E7" i="1" s="1"/>
  <c r="X245" i="7"/>
  <c r="L7" i="1" s="1"/>
  <c r="P245" i="7"/>
  <c r="C7" i="1" s="1"/>
  <c r="S245" i="7"/>
  <c r="G7" i="1" s="1"/>
  <c r="V245" i="7"/>
  <c r="J7" i="1" s="1"/>
  <c r="Q245" i="7"/>
  <c r="D7" i="1" s="1"/>
  <c r="T245" i="7"/>
  <c r="H7" i="1" s="1"/>
  <c r="H37" i="1"/>
  <c r="H38" i="1"/>
  <c r="H40" i="1"/>
  <c r="C37" i="1"/>
  <c r="C38" i="1"/>
  <c r="C40" i="1"/>
  <c r="DF3" i="5"/>
  <c r="DQ3" i="5" s="1"/>
  <c r="K3" i="5" s="1"/>
  <c r="DF3" i="21"/>
  <c r="DQ3" i="21" s="1"/>
  <c r="K3" i="21" s="1"/>
  <c r="L37" i="1"/>
  <c r="L38" i="1"/>
  <c r="L40" i="1"/>
  <c r="I37" i="1"/>
  <c r="I38" i="1"/>
  <c r="I40" i="1"/>
  <c r="AR4" i="21"/>
  <c r="K39" i="1"/>
  <c r="AR4" i="5"/>
  <c r="D37" i="1"/>
  <c r="D40" i="1"/>
  <c r="D38" i="1"/>
  <c r="E37" i="1"/>
  <c r="E40" i="1"/>
  <c r="E38" i="1"/>
  <c r="J37" i="1"/>
  <c r="J38" i="1"/>
  <c r="J40" i="1"/>
  <c r="G37" i="1"/>
  <c r="G38" i="1"/>
  <c r="G40" i="1"/>
  <c r="V9" i="21"/>
  <c r="V5" i="21"/>
  <c r="V8" i="21"/>
  <c r="V11" i="21"/>
  <c r="V7" i="21"/>
  <c r="K42" i="1"/>
  <c r="V4" i="21"/>
  <c r="V10" i="21"/>
  <c r="V6" i="21"/>
  <c r="K41" i="1"/>
  <c r="V7" i="5"/>
  <c r="V11" i="5"/>
  <c r="V8" i="5"/>
  <c r="V9" i="5"/>
  <c r="V5" i="5"/>
  <c r="V4" i="5"/>
  <c r="V6" i="5"/>
  <c r="V10" i="5"/>
  <c r="AJ242" i="7"/>
  <c r="AI242" i="7"/>
  <c r="AB242" i="7"/>
  <c r="I7" i="1"/>
  <c r="AA242" i="7"/>
  <c r="B1" i="2" s="1"/>
  <c r="B42" i="2" s="1"/>
  <c r="AH242" i="7"/>
  <c r="AD242" i="7"/>
  <c r="AC242" i="7"/>
  <c r="O244" i="7"/>
  <c r="B6" i="1" s="1"/>
  <c r="O243" i="7"/>
  <c r="B5" i="1" s="1"/>
  <c r="K43" i="1" l="1"/>
  <c r="BN21" i="5" s="1"/>
  <c r="DD3" i="21"/>
  <c r="DO3" i="21" s="1"/>
  <c r="I3" i="21" s="1"/>
  <c r="DD3" i="5"/>
  <c r="DO3" i="5" s="1"/>
  <c r="I3" i="5" s="1"/>
  <c r="I39" i="1"/>
  <c r="AP4" i="21"/>
  <c r="AP4" i="5"/>
  <c r="DB3" i="21"/>
  <c r="DM3" i="21" s="1"/>
  <c r="G3" i="21" s="1"/>
  <c r="DB3" i="5"/>
  <c r="DM3" i="5" s="1"/>
  <c r="G3" i="5" s="1"/>
  <c r="L39" i="1"/>
  <c r="AS4" i="21"/>
  <c r="AS4" i="5"/>
  <c r="AK4" i="5"/>
  <c r="AK4" i="21"/>
  <c r="D39" i="1"/>
  <c r="CX3" i="21"/>
  <c r="DI3" i="21" s="1"/>
  <c r="C3" i="21" s="1"/>
  <c r="CX3" i="5"/>
  <c r="DI3" i="5" s="1"/>
  <c r="C3" i="5" s="1"/>
  <c r="CZ3" i="21"/>
  <c r="DK3" i="21" s="1"/>
  <c r="E3" i="21" s="1"/>
  <c r="CZ3" i="5"/>
  <c r="DK3" i="5" s="1"/>
  <c r="E3" i="5" s="1"/>
  <c r="CY3" i="21"/>
  <c r="DJ3" i="21" s="1"/>
  <c r="D3" i="21" s="1"/>
  <c r="CY3" i="5"/>
  <c r="DJ3" i="5" s="1"/>
  <c r="D3" i="5" s="1"/>
  <c r="C39" i="1"/>
  <c r="AJ4" i="21"/>
  <c r="AJ4" i="5"/>
  <c r="T9" i="21"/>
  <c r="T5" i="21"/>
  <c r="I41" i="1"/>
  <c r="T8" i="21"/>
  <c r="T11" i="21"/>
  <c r="T7" i="21"/>
  <c r="T4" i="21"/>
  <c r="T10" i="21"/>
  <c r="T6" i="21"/>
  <c r="I42" i="1"/>
  <c r="T7" i="5"/>
  <c r="T11" i="5"/>
  <c r="T8" i="5"/>
  <c r="T9" i="5"/>
  <c r="T6" i="5"/>
  <c r="T5" i="5"/>
  <c r="T10" i="5"/>
  <c r="T4" i="5"/>
  <c r="O4" i="21"/>
  <c r="O10" i="21"/>
  <c r="O6" i="21"/>
  <c r="O9" i="21"/>
  <c r="O5" i="21"/>
  <c r="O8" i="21"/>
  <c r="O11" i="21"/>
  <c r="O7" i="21"/>
  <c r="O9" i="5"/>
  <c r="O4" i="5"/>
  <c r="O5" i="5"/>
  <c r="O11" i="5"/>
  <c r="O6" i="5"/>
  <c r="O8" i="5"/>
  <c r="O7" i="5"/>
  <c r="D41" i="1"/>
  <c r="O10" i="5"/>
  <c r="D42" i="1"/>
  <c r="N11" i="21"/>
  <c r="N7" i="21"/>
  <c r="N4" i="21"/>
  <c r="N10" i="21"/>
  <c r="N6" i="21"/>
  <c r="N9" i="21"/>
  <c r="N5" i="21"/>
  <c r="N8" i="21"/>
  <c r="N4" i="5"/>
  <c r="N9" i="5"/>
  <c r="N11" i="5"/>
  <c r="N5" i="5"/>
  <c r="N10" i="5"/>
  <c r="N6" i="5"/>
  <c r="N8" i="5"/>
  <c r="C41" i="1"/>
  <c r="C42" i="1"/>
  <c r="N7" i="5"/>
  <c r="J39" i="1"/>
  <c r="AQ4" i="21"/>
  <c r="AQ4" i="5"/>
  <c r="L41" i="1"/>
  <c r="W9" i="21"/>
  <c r="W5" i="21"/>
  <c r="W8" i="21"/>
  <c r="W11" i="21"/>
  <c r="W7" i="21"/>
  <c r="W4" i="21"/>
  <c r="W10" i="21"/>
  <c r="W6" i="21"/>
  <c r="L42" i="1"/>
  <c r="W7" i="5"/>
  <c r="W11" i="5"/>
  <c r="W8" i="5"/>
  <c r="W10" i="5"/>
  <c r="W6" i="5"/>
  <c r="W4" i="5"/>
  <c r="W9" i="5"/>
  <c r="W5" i="5"/>
  <c r="DC3" i="21"/>
  <c r="DN3" i="21" s="1"/>
  <c r="H3" i="21" s="1"/>
  <c r="DC3" i="5"/>
  <c r="DN3" i="5" s="1"/>
  <c r="H3" i="5" s="1"/>
  <c r="R4" i="21"/>
  <c r="R10" i="21"/>
  <c r="R6" i="21"/>
  <c r="G41" i="1"/>
  <c r="R9" i="21"/>
  <c r="R5" i="21"/>
  <c r="G42" i="1"/>
  <c r="R8" i="21"/>
  <c r="R11" i="21"/>
  <c r="R7" i="21"/>
  <c r="R11" i="5"/>
  <c r="R7" i="5"/>
  <c r="R8" i="5"/>
  <c r="R6" i="5"/>
  <c r="R9" i="5"/>
  <c r="R10" i="5"/>
  <c r="R4" i="5"/>
  <c r="R5" i="5"/>
  <c r="DG3" i="5"/>
  <c r="DR3" i="5" s="1"/>
  <c r="L3" i="5" s="1"/>
  <c r="DG3" i="21"/>
  <c r="DR3" i="21" s="1"/>
  <c r="L3" i="21" s="1"/>
  <c r="U9" i="21"/>
  <c r="U5" i="21"/>
  <c r="U8" i="21"/>
  <c r="J42" i="1"/>
  <c r="U11" i="21"/>
  <c r="U7" i="21"/>
  <c r="U4" i="21"/>
  <c r="U10" i="21"/>
  <c r="U6" i="21"/>
  <c r="J41" i="1"/>
  <c r="U7" i="5"/>
  <c r="U11" i="5"/>
  <c r="U8" i="5"/>
  <c r="U5" i="5"/>
  <c r="U10" i="5"/>
  <c r="U9" i="5"/>
  <c r="U4" i="5"/>
  <c r="U6" i="5"/>
  <c r="E41" i="1"/>
  <c r="P4" i="21"/>
  <c r="P10" i="21"/>
  <c r="P6" i="21"/>
  <c r="P9" i="21"/>
  <c r="P5" i="21"/>
  <c r="P8" i="21"/>
  <c r="P11" i="21"/>
  <c r="P7" i="21"/>
  <c r="P8" i="5"/>
  <c r="P7" i="5"/>
  <c r="P11" i="5"/>
  <c r="P10" i="5"/>
  <c r="P5" i="5"/>
  <c r="E42" i="1"/>
  <c r="P4" i="5"/>
  <c r="P6" i="5"/>
  <c r="P9" i="5"/>
  <c r="AO4" i="21"/>
  <c r="H39" i="1"/>
  <c r="AO4" i="5"/>
  <c r="DE3" i="5"/>
  <c r="DP3" i="5" s="1"/>
  <c r="J3" i="5" s="1"/>
  <c r="DE3" i="21"/>
  <c r="DP3" i="21" s="1"/>
  <c r="J3" i="21" s="1"/>
  <c r="E39" i="1"/>
  <c r="AL4" i="21"/>
  <c r="AL4" i="5"/>
  <c r="AG5" i="5"/>
  <c r="AG4" i="21"/>
  <c r="BC4" i="21" s="1"/>
  <c r="AG7" i="5"/>
  <c r="AG10" i="21"/>
  <c r="AG6" i="21"/>
  <c r="AG9" i="5"/>
  <c r="AG12" i="21"/>
  <c r="AG11" i="5"/>
  <c r="AG9" i="21"/>
  <c r="AG5" i="21"/>
  <c r="AG4" i="5"/>
  <c r="BC4" i="5" s="1"/>
  <c r="AG13" i="5"/>
  <c r="AG6" i="5"/>
  <c r="AG13" i="21"/>
  <c r="AG8" i="21"/>
  <c r="AG8" i="5"/>
  <c r="AG10" i="5"/>
  <c r="AG11" i="21"/>
  <c r="AG7" i="21"/>
  <c r="AG12" i="5"/>
  <c r="S10" i="21"/>
  <c r="S6" i="21"/>
  <c r="S9" i="21"/>
  <c r="S5" i="21"/>
  <c r="H42" i="1"/>
  <c r="S8" i="21"/>
  <c r="S11" i="21"/>
  <c r="S7" i="21"/>
  <c r="S4" i="21"/>
  <c r="H41" i="1"/>
  <c r="S7" i="5"/>
  <c r="S11" i="5"/>
  <c r="S8" i="5"/>
  <c r="S9" i="5"/>
  <c r="S5" i="5"/>
  <c r="S4" i="5"/>
  <c r="S10" i="5"/>
  <c r="S6" i="5"/>
  <c r="AN4" i="21"/>
  <c r="G39" i="1"/>
  <c r="AN4" i="5"/>
  <c r="BN23" i="5"/>
  <c r="BN29" i="5"/>
  <c r="BN31" i="5"/>
  <c r="BN20" i="5"/>
  <c r="BN24" i="5"/>
  <c r="BN27" i="5"/>
  <c r="BN30" i="5"/>
  <c r="BN4" i="5"/>
  <c r="CJ4" i="5" s="1"/>
  <c r="BN26" i="21"/>
  <c r="BN27" i="21"/>
  <c r="BN18" i="21"/>
  <c r="BN29" i="21"/>
  <c r="BN19" i="21"/>
  <c r="BN24" i="21"/>
  <c r="BN23" i="21"/>
  <c r="B46" i="2"/>
  <c r="B40" i="2"/>
  <c r="B44" i="2"/>
  <c r="B37" i="1"/>
  <c r="B42" i="1" s="1"/>
  <c r="B40" i="1"/>
  <c r="B38" i="1"/>
  <c r="C37" i="2"/>
  <c r="BN25" i="21" l="1"/>
  <c r="BN33" i="21"/>
  <c r="BN18" i="5"/>
  <c r="BN21" i="21"/>
  <c r="BN4" i="21"/>
  <c r="CJ4" i="21" s="1"/>
  <c r="BN19" i="5"/>
  <c r="BN28" i="21"/>
  <c r="BN22" i="5"/>
  <c r="BN30" i="21"/>
  <c r="BN22" i="21"/>
  <c r="BN31" i="21"/>
  <c r="BN28" i="5"/>
  <c r="BN20" i="21"/>
  <c r="BN32" i="5"/>
  <c r="BN25" i="5"/>
  <c r="BN17" i="21"/>
  <c r="BN33" i="5"/>
  <c r="BN17" i="5"/>
  <c r="BN32" i="21"/>
  <c r="BN26" i="5"/>
  <c r="I43" i="1"/>
  <c r="BL20" i="5" s="1"/>
  <c r="D43" i="1"/>
  <c r="BG30" i="5" s="1"/>
  <c r="H43" i="1"/>
  <c r="BK22" i="5" s="1"/>
  <c r="J43" i="1"/>
  <c r="BM26" i="5" s="1"/>
  <c r="AA13" i="21"/>
  <c r="AA8" i="21"/>
  <c r="AA11" i="5"/>
  <c r="AA4" i="5"/>
  <c r="AW4" i="5" s="1"/>
  <c r="AL5" i="5" s="1"/>
  <c r="AA13" i="5"/>
  <c r="AA11" i="21"/>
  <c r="AA7" i="21"/>
  <c r="AA6" i="5"/>
  <c r="AA8" i="5"/>
  <c r="AA4" i="21"/>
  <c r="AW4" i="21" s="1"/>
  <c r="AA10" i="21"/>
  <c r="AA6" i="21"/>
  <c r="AA10" i="5"/>
  <c r="AA12" i="21"/>
  <c r="AA12" i="5"/>
  <c r="AA5" i="5"/>
  <c r="AA9" i="21"/>
  <c r="AA5" i="21"/>
  <c r="AA7" i="5"/>
  <c r="AA9" i="5"/>
  <c r="BY5" i="21"/>
  <c r="CU4" i="21"/>
  <c r="DF4" i="21" s="1"/>
  <c r="DQ4" i="21" s="1"/>
  <c r="K4" i="21" s="1"/>
  <c r="Y4" i="5"/>
  <c r="AU4" i="5" s="1"/>
  <c r="AJ5" i="5" s="1"/>
  <c r="Y13" i="5"/>
  <c r="Y13" i="21"/>
  <c r="Y8" i="21"/>
  <c r="Y6" i="5"/>
  <c r="Y8" i="5"/>
  <c r="Y11" i="21"/>
  <c r="Y7" i="21"/>
  <c r="Y10" i="5"/>
  <c r="Y12" i="5"/>
  <c r="Y4" i="21"/>
  <c r="AU4" i="21" s="1"/>
  <c r="Y5" i="5"/>
  <c r="Y10" i="21"/>
  <c r="Y6" i="21"/>
  <c r="Y7" i="5"/>
  <c r="Y12" i="21"/>
  <c r="Y9" i="5"/>
  <c r="Y9" i="21"/>
  <c r="Y5" i="21"/>
  <c r="Y11" i="5"/>
  <c r="AH12" i="5"/>
  <c r="AH4" i="21"/>
  <c r="BD4" i="21" s="1"/>
  <c r="AH5" i="5"/>
  <c r="AH10" i="21"/>
  <c r="AH6" i="21"/>
  <c r="AH7" i="5"/>
  <c r="AH12" i="21"/>
  <c r="AH9" i="5"/>
  <c r="AH9" i="21"/>
  <c r="AH5" i="21"/>
  <c r="AH11" i="5"/>
  <c r="AH4" i="5"/>
  <c r="BD4" i="5" s="1"/>
  <c r="AH13" i="5"/>
  <c r="AH13" i="21"/>
  <c r="AH8" i="21"/>
  <c r="AH6" i="5"/>
  <c r="AH8" i="5"/>
  <c r="AH11" i="21"/>
  <c r="AH7" i="21"/>
  <c r="AH10" i="5"/>
  <c r="AC9" i="5"/>
  <c r="AC11" i="5"/>
  <c r="AC11" i="21"/>
  <c r="AC7" i="21"/>
  <c r="AC4" i="5"/>
  <c r="AY4" i="5" s="1"/>
  <c r="AN5" i="5" s="1"/>
  <c r="AC13" i="5"/>
  <c r="AC6" i="5"/>
  <c r="AC4" i="21"/>
  <c r="AY4" i="21" s="1"/>
  <c r="AC10" i="21"/>
  <c r="AC6" i="21"/>
  <c r="AC8" i="5"/>
  <c r="AC12" i="21"/>
  <c r="AC10" i="5"/>
  <c r="AC9" i="21"/>
  <c r="AC5" i="21"/>
  <c r="AC12" i="5"/>
  <c r="AC5" i="5"/>
  <c r="AC7" i="5"/>
  <c r="AC13" i="21"/>
  <c r="AC8" i="21"/>
  <c r="AI4" i="5"/>
  <c r="AI4" i="21"/>
  <c r="CW3" i="5"/>
  <c r="CW3" i="21"/>
  <c r="DH3" i="21" s="1"/>
  <c r="B3" i="21" s="1"/>
  <c r="BY5" i="5"/>
  <c r="CU4" i="5"/>
  <c r="DF4" i="5" s="1"/>
  <c r="DQ4" i="5" s="1"/>
  <c r="K4" i="5" s="1"/>
  <c r="AF11" i="21"/>
  <c r="AF7" i="21"/>
  <c r="AF7" i="5"/>
  <c r="AF4" i="21"/>
  <c r="BB4" i="21" s="1"/>
  <c r="AF9" i="5"/>
  <c r="AF10" i="21"/>
  <c r="AF6" i="21"/>
  <c r="AF11" i="5"/>
  <c r="AF12" i="21"/>
  <c r="AF4" i="5"/>
  <c r="BB4" i="5" s="1"/>
  <c r="AQ5" i="5" s="1"/>
  <c r="AF13" i="5"/>
  <c r="AF9" i="21"/>
  <c r="AF5" i="21"/>
  <c r="AF6" i="5"/>
  <c r="AF8" i="5"/>
  <c r="AF13" i="21"/>
  <c r="AF8" i="21"/>
  <c r="AF10" i="5"/>
  <c r="AF12" i="5"/>
  <c r="AF5" i="5"/>
  <c r="AR5" i="5"/>
  <c r="BN5" i="5" s="1"/>
  <c r="M11" i="21"/>
  <c r="M7" i="21"/>
  <c r="M4" i="21"/>
  <c r="M10" i="21"/>
  <c r="M6" i="21"/>
  <c r="M9" i="21"/>
  <c r="M5" i="21"/>
  <c r="M8" i="21"/>
  <c r="M11" i="5"/>
  <c r="M4" i="5"/>
  <c r="M7" i="5"/>
  <c r="M8" i="5"/>
  <c r="M9" i="5"/>
  <c r="M10" i="5"/>
  <c r="M5" i="5"/>
  <c r="M6" i="5"/>
  <c r="AR5" i="21"/>
  <c r="BN5" i="21" s="1"/>
  <c r="L43" i="1"/>
  <c r="Z11" i="5"/>
  <c r="Z13" i="21"/>
  <c r="Z8" i="21"/>
  <c r="Z4" i="5"/>
  <c r="AV4" i="5" s="1"/>
  <c r="AK5" i="5" s="1"/>
  <c r="Z13" i="5"/>
  <c r="Z6" i="5"/>
  <c r="Z11" i="21"/>
  <c r="Z7" i="21"/>
  <c r="Z8" i="5"/>
  <c r="Z10" i="5"/>
  <c r="Z4" i="21"/>
  <c r="AV4" i="21" s="1"/>
  <c r="Z10" i="21"/>
  <c r="Z6" i="21"/>
  <c r="Z12" i="5"/>
  <c r="Z5" i="5"/>
  <c r="Z12" i="21"/>
  <c r="Z7" i="5"/>
  <c r="Z9" i="21"/>
  <c r="Z5" i="21"/>
  <c r="Z9" i="5"/>
  <c r="AE7" i="5"/>
  <c r="AE11" i="21"/>
  <c r="AE7" i="21"/>
  <c r="AE9" i="5"/>
  <c r="AE4" i="21"/>
  <c r="BA4" i="21" s="1"/>
  <c r="AE11" i="5"/>
  <c r="AE10" i="21"/>
  <c r="AE6" i="21"/>
  <c r="AE4" i="5"/>
  <c r="BA4" i="5" s="1"/>
  <c r="AP5" i="5" s="1"/>
  <c r="AE13" i="5"/>
  <c r="AE12" i="21"/>
  <c r="AE6" i="5"/>
  <c r="AE9" i="21"/>
  <c r="AE5" i="21"/>
  <c r="AE8" i="5"/>
  <c r="AE10" i="5"/>
  <c r="AE13" i="21"/>
  <c r="AE8" i="21"/>
  <c r="AE12" i="5"/>
  <c r="AE5" i="5"/>
  <c r="AD9" i="5"/>
  <c r="AD11" i="21"/>
  <c r="AD7" i="21"/>
  <c r="AD11" i="5"/>
  <c r="AD4" i="5"/>
  <c r="AZ4" i="5" s="1"/>
  <c r="AO5" i="5" s="1"/>
  <c r="AD4" i="21"/>
  <c r="AZ4" i="21" s="1"/>
  <c r="AD13" i="5"/>
  <c r="AD10" i="21"/>
  <c r="AD6" i="21"/>
  <c r="AD6" i="5"/>
  <c r="AD12" i="21"/>
  <c r="AD8" i="5"/>
  <c r="AD9" i="21"/>
  <c r="AD5" i="21"/>
  <c r="AD10" i="5"/>
  <c r="AD12" i="5"/>
  <c r="AD5" i="5"/>
  <c r="AD13" i="21"/>
  <c r="AD8" i="21"/>
  <c r="AD7" i="5"/>
  <c r="E43" i="1"/>
  <c r="C43" i="1"/>
  <c r="G43" i="1"/>
  <c r="B39" i="1"/>
  <c r="B41" i="1"/>
  <c r="BE20" i="21" s="1"/>
  <c r="BE4" i="21" l="1"/>
  <c r="BL19" i="21"/>
  <c r="BL4" i="5"/>
  <c r="CH4" i="5" s="1"/>
  <c r="BW5" i="5" s="1"/>
  <c r="BK33" i="21"/>
  <c r="BK27" i="21"/>
  <c r="BK22" i="21"/>
  <c r="BK19" i="21"/>
  <c r="BK18" i="21"/>
  <c r="BK21" i="5"/>
  <c r="BK17" i="5"/>
  <c r="BK29" i="5"/>
  <c r="BG26" i="21"/>
  <c r="BG33" i="21"/>
  <c r="BG32" i="21"/>
  <c r="BK30" i="21"/>
  <c r="BG24" i="21"/>
  <c r="BK25" i="5"/>
  <c r="BG25" i="5"/>
  <c r="BK28" i="5"/>
  <c r="BG18" i="5"/>
  <c r="BG26" i="5"/>
  <c r="BL31" i="21"/>
  <c r="BK4" i="5"/>
  <c r="CG4" i="5" s="1"/>
  <c r="CR4" i="5" s="1"/>
  <c r="DC4" i="5" s="1"/>
  <c r="DN4" i="5" s="1"/>
  <c r="H4" i="5" s="1"/>
  <c r="BG24" i="5"/>
  <c r="BG22" i="21"/>
  <c r="BG25" i="21"/>
  <c r="BG21" i="21"/>
  <c r="BK24" i="21"/>
  <c r="BK29" i="21"/>
  <c r="BK17" i="21"/>
  <c r="BK20" i="5"/>
  <c r="BG23" i="21"/>
  <c r="BG31" i="5"/>
  <c r="BK25" i="21"/>
  <c r="BK28" i="21"/>
  <c r="BK18" i="5"/>
  <c r="BK26" i="21"/>
  <c r="BK19" i="5"/>
  <c r="BK31" i="5"/>
  <c r="BG20" i="21"/>
  <c r="BG19" i="5"/>
  <c r="BK32" i="21"/>
  <c r="BK21" i="21"/>
  <c r="BK33" i="5"/>
  <c r="BK23" i="5"/>
  <c r="BG19" i="21"/>
  <c r="BG29" i="5"/>
  <c r="BK27" i="5"/>
  <c r="BK30" i="5"/>
  <c r="BK23" i="21"/>
  <c r="BK26" i="5"/>
  <c r="BK32" i="5"/>
  <c r="BG27" i="21"/>
  <c r="BG17" i="5"/>
  <c r="BK4" i="21"/>
  <c r="CG4" i="21" s="1"/>
  <c r="CR4" i="21" s="1"/>
  <c r="DC4" i="21" s="1"/>
  <c r="DN4" i="21" s="1"/>
  <c r="H4" i="21" s="1"/>
  <c r="BK24" i="5"/>
  <c r="BK31" i="21"/>
  <c r="BK20" i="21"/>
  <c r="BG31" i="21"/>
  <c r="BG30" i="21"/>
  <c r="BM20" i="5"/>
  <c r="BM33" i="5"/>
  <c r="BG29" i="21"/>
  <c r="BG28" i="21"/>
  <c r="BG4" i="5"/>
  <c r="CC4" i="5" s="1"/>
  <c r="CN4" i="5" s="1"/>
  <c r="CY4" i="5" s="1"/>
  <c r="DJ4" i="5" s="1"/>
  <c r="D4" i="5" s="1"/>
  <c r="BG33" i="5"/>
  <c r="BG20" i="5"/>
  <c r="BG17" i="21"/>
  <c r="BG22" i="5"/>
  <c r="BG4" i="21"/>
  <c r="CC4" i="21" s="1"/>
  <c r="CN4" i="21" s="1"/>
  <c r="CY4" i="21" s="1"/>
  <c r="DJ4" i="21" s="1"/>
  <c r="D4" i="21" s="1"/>
  <c r="BG28" i="5"/>
  <c r="BL29" i="21"/>
  <c r="BL25" i="21"/>
  <c r="BL25" i="5"/>
  <c r="BL4" i="21"/>
  <c r="CH4" i="21" s="1"/>
  <c r="BW5" i="21" s="1"/>
  <c r="BL24" i="21"/>
  <c r="BL27" i="5"/>
  <c r="BL21" i="5"/>
  <c r="BL22" i="21"/>
  <c r="BL31" i="5"/>
  <c r="BL19" i="5"/>
  <c r="BL33" i="21"/>
  <c r="BL32" i="5"/>
  <c r="BL28" i="5"/>
  <c r="BL24" i="5"/>
  <c r="BL27" i="21"/>
  <c r="BL26" i="21"/>
  <c r="BL23" i="5"/>
  <c r="BL18" i="5"/>
  <c r="BL21" i="21"/>
  <c r="BL28" i="21"/>
  <c r="BL26" i="5"/>
  <c r="BL32" i="21"/>
  <c r="BL33" i="5"/>
  <c r="BL30" i="5"/>
  <c r="BL18" i="21"/>
  <c r="BL17" i="21"/>
  <c r="BL20" i="21"/>
  <c r="BL22" i="5"/>
  <c r="BL29" i="5"/>
  <c r="BL17" i="5"/>
  <c r="BL23" i="21"/>
  <c r="BL30" i="21"/>
  <c r="BG23" i="5"/>
  <c r="BG21" i="5"/>
  <c r="BG27" i="5"/>
  <c r="BG32" i="5"/>
  <c r="BM28" i="5"/>
  <c r="BG18" i="21"/>
  <c r="BM33" i="21"/>
  <c r="BM30" i="21"/>
  <c r="BM4" i="21"/>
  <c r="CI4" i="21" s="1"/>
  <c r="BX5" i="21" s="1"/>
  <c r="BM32" i="21"/>
  <c r="BM22" i="21"/>
  <c r="BM19" i="21"/>
  <c r="BM31" i="21"/>
  <c r="BM20" i="21"/>
  <c r="BM17" i="21"/>
  <c r="BM18" i="21"/>
  <c r="BM24" i="21"/>
  <c r="BM21" i="21"/>
  <c r="BM23" i="21"/>
  <c r="BM29" i="21"/>
  <c r="BM25" i="21"/>
  <c r="BM30" i="5"/>
  <c r="BM18" i="5"/>
  <c r="BM22" i="5"/>
  <c r="BM26" i="21"/>
  <c r="BM23" i="5"/>
  <c r="BM4" i="5"/>
  <c r="CI4" i="5" s="1"/>
  <c r="BX5" i="5" s="1"/>
  <c r="BM27" i="5"/>
  <c r="BM27" i="21"/>
  <c r="BM19" i="5"/>
  <c r="BM28" i="21"/>
  <c r="BM31" i="5"/>
  <c r="BM32" i="5"/>
  <c r="BM24" i="5"/>
  <c r="BM17" i="5"/>
  <c r="BM29" i="5"/>
  <c r="AY5" i="5"/>
  <c r="AN6" i="5" s="1"/>
  <c r="BJ6" i="5" s="1"/>
  <c r="BM25" i="5"/>
  <c r="BM21" i="5"/>
  <c r="AV5" i="5"/>
  <c r="AK6" i="5" s="1"/>
  <c r="BG6" i="5" s="1"/>
  <c r="BB5" i="5"/>
  <c r="AQ6" i="5" s="1"/>
  <c r="BM6" i="5" s="1"/>
  <c r="BC5" i="21"/>
  <c r="AR6" i="21" s="1"/>
  <c r="BN6" i="21" s="1"/>
  <c r="BA5" i="5"/>
  <c r="AP6" i="5" s="1"/>
  <c r="BL6" i="5" s="1"/>
  <c r="AZ5" i="5"/>
  <c r="AO6" i="5" s="1"/>
  <c r="BK6" i="5" s="1"/>
  <c r="AJ5" i="21"/>
  <c r="BF5" i="21" s="1"/>
  <c r="BM5" i="5"/>
  <c r="AN5" i="21"/>
  <c r="BJ5" i="21" s="1"/>
  <c r="BJ21" i="5"/>
  <c r="BJ25" i="5"/>
  <c r="BJ4" i="5"/>
  <c r="CF4" i="5" s="1"/>
  <c r="BJ32" i="5"/>
  <c r="BJ19" i="5"/>
  <c r="BJ22" i="5"/>
  <c r="BJ33" i="5"/>
  <c r="BJ23" i="5"/>
  <c r="BJ17" i="5"/>
  <c r="BJ31" i="5"/>
  <c r="BJ28" i="5"/>
  <c r="BJ27" i="5"/>
  <c r="BJ20" i="5"/>
  <c r="BJ24" i="5"/>
  <c r="BJ29" i="5"/>
  <c r="BJ18" i="5"/>
  <c r="BJ26" i="5"/>
  <c r="BJ5" i="5"/>
  <c r="BJ30" i="5"/>
  <c r="BJ19" i="21"/>
  <c r="BJ22" i="21"/>
  <c r="BJ21" i="21"/>
  <c r="BJ24" i="21"/>
  <c r="BJ4" i="21"/>
  <c r="CF4" i="21" s="1"/>
  <c r="BJ23" i="21"/>
  <c r="BJ26" i="21"/>
  <c r="BJ27" i="21"/>
  <c r="BJ29" i="21"/>
  <c r="BJ31" i="21"/>
  <c r="BJ25" i="21"/>
  <c r="BJ28" i="21"/>
  <c r="BJ30" i="21"/>
  <c r="BJ32" i="21"/>
  <c r="BJ33" i="21"/>
  <c r="BJ17" i="21"/>
  <c r="BJ20" i="21"/>
  <c r="BJ18" i="21"/>
  <c r="CS4" i="5"/>
  <c r="DD4" i="5" s="1"/>
  <c r="DO4" i="5" s="1"/>
  <c r="I4" i="5" s="1"/>
  <c r="BF4" i="5"/>
  <c r="CB4" i="5" s="1"/>
  <c r="BF29" i="5"/>
  <c r="BF31" i="5"/>
  <c r="BF32" i="5"/>
  <c r="BF28" i="5"/>
  <c r="BF33" i="5"/>
  <c r="BF23" i="5"/>
  <c r="BF19" i="5"/>
  <c r="BF27" i="5"/>
  <c r="BF25" i="5"/>
  <c r="BF26" i="5"/>
  <c r="BF17" i="5"/>
  <c r="BF24" i="5"/>
  <c r="BF30" i="5"/>
  <c r="BF5" i="5"/>
  <c r="BF21" i="5"/>
  <c r="BF18" i="5"/>
  <c r="BF22" i="5"/>
  <c r="BF20" i="5"/>
  <c r="BF24" i="21"/>
  <c r="BF25" i="21"/>
  <c r="BF26" i="21"/>
  <c r="BF27" i="21"/>
  <c r="BF28" i="21"/>
  <c r="BF29" i="21"/>
  <c r="BF30" i="21"/>
  <c r="BF31" i="21"/>
  <c r="BF32" i="21"/>
  <c r="BF33" i="21"/>
  <c r="BF4" i="21"/>
  <c r="CB4" i="21" s="1"/>
  <c r="BF17" i="21"/>
  <c r="BF18" i="21"/>
  <c r="BF19" i="21"/>
  <c r="BF20" i="21"/>
  <c r="BF21" i="21"/>
  <c r="BF22" i="21"/>
  <c r="BF23" i="21"/>
  <c r="BH33" i="5"/>
  <c r="BH21" i="5"/>
  <c r="BH20" i="5"/>
  <c r="BH24" i="5"/>
  <c r="BH23" i="5"/>
  <c r="BH5" i="5"/>
  <c r="BH26" i="5"/>
  <c r="BH25" i="5"/>
  <c r="BH28" i="5"/>
  <c r="BH27" i="5"/>
  <c r="BH30" i="5"/>
  <c r="BH22" i="5"/>
  <c r="BH29" i="5"/>
  <c r="BH32" i="5"/>
  <c r="BH17" i="5"/>
  <c r="BH19" i="5"/>
  <c r="BH31" i="5"/>
  <c r="BH18" i="5"/>
  <c r="BH4" i="5"/>
  <c r="CD4" i="5" s="1"/>
  <c r="BH25" i="21"/>
  <c r="BH27" i="21"/>
  <c r="BH33" i="21"/>
  <c r="BH17" i="21"/>
  <c r="BH26" i="21"/>
  <c r="BH29" i="21"/>
  <c r="BH18" i="21"/>
  <c r="BH19" i="21"/>
  <c r="BH20" i="21"/>
  <c r="BH21" i="21"/>
  <c r="BH31" i="21"/>
  <c r="BH22" i="21"/>
  <c r="BH23" i="21"/>
  <c r="BH28" i="21"/>
  <c r="BH30" i="21"/>
  <c r="BH24" i="21"/>
  <c r="BH4" i="21"/>
  <c r="CD4" i="21" s="1"/>
  <c r="BH32" i="21"/>
  <c r="BL5" i="5"/>
  <c r="AS5" i="21"/>
  <c r="BO5" i="21" s="1"/>
  <c r="AL5" i="21"/>
  <c r="AW5" i="21" s="1"/>
  <c r="DH3" i="5"/>
  <c r="B3" i="5" s="1"/>
  <c r="X11" i="5"/>
  <c r="X12" i="5"/>
  <c r="X13" i="5"/>
  <c r="X13" i="21"/>
  <c r="X8" i="21"/>
  <c r="X11" i="21"/>
  <c r="X7" i="21"/>
  <c r="X4" i="21"/>
  <c r="AT4" i="21" s="1"/>
  <c r="X5" i="5"/>
  <c r="X10" i="21"/>
  <c r="X6" i="21"/>
  <c r="X6" i="5"/>
  <c r="X7" i="5"/>
  <c r="X12" i="21"/>
  <c r="X8" i="5"/>
  <c r="X9" i="5"/>
  <c r="X9" i="21"/>
  <c r="X5" i="21"/>
  <c r="X10" i="5"/>
  <c r="X4" i="5"/>
  <c r="AI5" i="5" s="1"/>
  <c r="BC5" i="5"/>
  <c r="AR6" i="5" s="1"/>
  <c r="AQ5" i="21"/>
  <c r="BM5" i="21" s="1"/>
  <c r="BV5" i="21"/>
  <c r="BO22" i="5"/>
  <c r="BO32" i="5"/>
  <c r="BO28" i="5"/>
  <c r="BO26" i="5"/>
  <c r="BO30" i="5"/>
  <c r="BO27" i="5"/>
  <c r="BO20" i="5"/>
  <c r="BO19" i="5"/>
  <c r="BO31" i="5"/>
  <c r="BO17" i="5"/>
  <c r="BO33" i="5"/>
  <c r="BO4" i="5"/>
  <c r="CK4" i="5" s="1"/>
  <c r="BO29" i="5"/>
  <c r="BO21" i="5"/>
  <c r="BO25" i="5"/>
  <c r="BO23" i="5"/>
  <c r="BO18" i="5"/>
  <c r="BO24" i="5"/>
  <c r="BO33" i="21"/>
  <c r="BO20" i="21"/>
  <c r="BO4" i="21"/>
  <c r="CK4" i="21" s="1"/>
  <c r="BO26" i="21"/>
  <c r="BO21" i="21"/>
  <c r="BO28" i="21"/>
  <c r="BO29" i="21"/>
  <c r="BO23" i="21"/>
  <c r="BO24" i="21"/>
  <c r="BO25" i="21"/>
  <c r="BO32" i="21"/>
  <c r="BO18" i="21"/>
  <c r="BO22" i="21"/>
  <c r="BO30" i="21"/>
  <c r="BO31" i="21"/>
  <c r="BO17" i="21"/>
  <c r="BO19" i="21"/>
  <c r="BO27" i="21"/>
  <c r="AP5" i="21"/>
  <c r="BL5" i="21" s="1"/>
  <c r="BK5" i="5"/>
  <c r="AU5" i="5"/>
  <c r="AJ6" i="5" s="1"/>
  <c r="AU6" i="5" s="1"/>
  <c r="AJ7" i="5" s="1"/>
  <c r="AU7" i="5" s="1"/>
  <c r="AJ8" i="5" s="1"/>
  <c r="AU8" i="5" s="1"/>
  <c r="CJ5" i="21"/>
  <c r="AK5" i="21"/>
  <c r="BG5" i="21" s="1"/>
  <c r="AS5" i="5"/>
  <c r="BD5" i="5" s="1"/>
  <c r="AS6" i="5" s="1"/>
  <c r="AW5" i="5"/>
  <c r="AL6" i="5" s="1"/>
  <c r="AW6" i="5" s="1"/>
  <c r="CJ5" i="5"/>
  <c r="BG5" i="5"/>
  <c r="AO5" i="21"/>
  <c r="BK5" i="21" s="1"/>
  <c r="BV5" i="5" l="1"/>
  <c r="CS4" i="21"/>
  <c r="DD4" i="21" s="1"/>
  <c r="DO4" i="21" s="1"/>
  <c r="I4" i="21" s="1"/>
  <c r="BR5" i="5"/>
  <c r="CC5" i="5" s="1"/>
  <c r="BR5" i="21"/>
  <c r="CC5" i="21" s="1"/>
  <c r="BR6" i="21" s="1"/>
  <c r="CT4" i="21"/>
  <c r="DE4" i="21" s="1"/>
  <c r="DP4" i="21" s="1"/>
  <c r="J4" i="21" s="1"/>
  <c r="AU5" i="21"/>
  <c r="AJ6" i="21" s="1"/>
  <c r="BF6" i="21" s="1"/>
  <c r="CT4" i="5"/>
  <c r="DE4" i="5" s="1"/>
  <c r="DP4" i="5" s="1"/>
  <c r="J4" i="5" s="1"/>
  <c r="BA6" i="5"/>
  <c r="AP7" i="5" s="1"/>
  <c r="BL7" i="5" s="1"/>
  <c r="BA5" i="21"/>
  <c r="AP6" i="21" s="1"/>
  <c r="BL6" i="21" s="1"/>
  <c r="BH5" i="21"/>
  <c r="BB6" i="5"/>
  <c r="AQ7" i="5" s="1"/>
  <c r="BB7" i="5" s="1"/>
  <c r="AQ8" i="5" s="1"/>
  <c r="BB8" i="5" s="1"/>
  <c r="AQ9" i="5" s="1"/>
  <c r="BB9" i="5" s="1"/>
  <c r="AQ10" i="5" s="1"/>
  <c r="BB10" i="5" s="1"/>
  <c r="AQ11" i="5" s="1"/>
  <c r="BB11" i="5" s="1"/>
  <c r="AQ12" i="5" s="1"/>
  <c r="BM12" i="5" s="1"/>
  <c r="AZ5" i="21"/>
  <c r="AO6" i="21" s="1"/>
  <c r="BK6" i="21" s="1"/>
  <c r="AV6" i="5"/>
  <c r="AK7" i="5" s="1"/>
  <c r="BG7" i="5" s="1"/>
  <c r="AY6" i="5"/>
  <c r="AN7" i="5" s="1"/>
  <c r="AY7" i="5" s="1"/>
  <c r="AN8" i="5" s="1"/>
  <c r="AY8" i="5" s="1"/>
  <c r="AN9" i="5" s="1"/>
  <c r="AY9" i="5" s="1"/>
  <c r="AN10" i="5" s="1"/>
  <c r="AY10" i="5" s="1"/>
  <c r="AN11" i="5" s="1"/>
  <c r="AY11" i="5" s="1"/>
  <c r="AN12" i="5" s="1"/>
  <c r="AY12" i="5" s="1"/>
  <c r="AN13" i="5" s="1"/>
  <c r="AY13" i="5" s="1"/>
  <c r="AN14" i="5" s="1"/>
  <c r="BJ14" i="5" s="1"/>
  <c r="CG5" i="21"/>
  <c r="BV6" i="21" s="1"/>
  <c r="BC6" i="21"/>
  <c r="AR7" i="21" s="1"/>
  <c r="BN7" i="21" s="1"/>
  <c r="CG5" i="5"/>
  <c r="CR5" i="5" s="1"/>
  <c r="DC5" i="5" s="1"/>
  <c r="DN5" i="5" s="1"/>
  <c r="H5" i="5" s="1"/>
  <c r="CI5" i="5"/>
  <c r="CT5" i="5" s="1"/>
  <c r="DE5" i="5" s="1"/>
  <c r="DP5" i="5" s="1"/>
  <c r="AZ6" i="5"/>
  <c r="AO7" i="5" s="1"/>
  <c r="BK7" i="5" s="1"/>
  <c r="CH5" i="21"/>
  <c r="CS5" i="21" s="1"/>
  <c r="DD5" i="21" s="1"/>
  <c r="DO5" i="21" s="1"/>
  <c r="I5" i="21" s="1"/>
  <c r="BE5" i="5"/>
  <c r="AV5" i="21"/>
  <c r="AK6" i="21" s="1"/>
  <c r="BG6" i="21" s="1"/>
  <c r="AY5" i="21"/>
  <c r="AN6" i="21" s="1"/>
  <c r="BJ6" i="21" s="1"/>
  <c r="CH5" i="5"/>
  <c r="BW6" i="5" s="1"/>
  <c r="CH6" i="5" s="1"/>
  <c r="BD5" i="21"/>
  <c r="AS6" i="21" s="1"/>
  <c r="BO6" i="21" s="1"/>
  <c r="BD6" i="5"/>
  <c r="BO6" i="5"/>
  <c r="BH6" i="5"/>
  <c r="CM4" i="21"/>
  <c r="CX4" i="21" s="1"/>
  <c r="DI4" i="21" s="1"/>
  <c r="C4" i="21" s="1"/>
  <c r="BQ5" i="21"/>
  <c r="CB5" i="21" s="1"/>
  <c r="BO5" i="5"/>
  <c r="AL7" i="5"/>
  <c r="BH7" i="5" s="1"/>
  <c r="CO4" i="21"/>
  <c r="CZ4" i="21" s="1"/>
  <c r="DK4" i="21" s="1"/>
  <c r="E4" i="21" s="1"/>
  <c r="BS5" i="21"/>
  <c r="BF8" i="5"/>
  <c r="BB5" i="21"/>
  <c r="BF7" i="5"/>
  <c r="AI5" i="21"/>
  <c r="BE5" i="21" s="1"/>
  <c r="AJ9" i="5"/>
  <c r="BF9" i="5" s="1"/>
  <c r="AL6" i="21"/>
  <c r="BH6" i="21" s="1"/>
  <c r="BF6" i="5"/>
  <c r="CQ4" i="5"/>
  <c r="DB4" i="5" s="1"/>
  <c r="DM4" i="5" s="1"/>
  <c r="G4" i="5" s="1"/>
  <c r="BU5" i="5"/>
  <c r="CF5" i="5" s="1"/>
  <c r="BZ5" i="21"/>
  <c r="CK5" i="21" s="1"/>
  <c r="CV4" i="21"/>
  <c r="DG4" i="21" s="1"/>
  <c r="DR4" i="21" s="1"/>
  <c r="L4" i="21" s="1"/>
  <c r="BC6" i="5"/>
  <c r="AR7" i="5" s="1"/>
  <c r="BN6" i="5"/>
  <c r="BS5" i="5"/>
  <c r="CD5" i="5" s="1"/>
  <c r="CO4" i="5"/>
  <c r="CZ4" i="5" s="1"/>
  <c r="DK4" i="5" s="1"/>
  <c r="E4" i="5" s="1"/>
  <c r="BQ5" i="5"/>
  <c r="CB5" i="5" s="1"/>
  <c r="CM4" i="5"/>
  <c r="CX4" i="5" s="1"/>
  <c r="DI4" i="5" s="1"/>
  <c r="C4" i="5" s="1"/>
  <c r="BU5" i="21"/>
  <c r="CF5" i="21" s="1"/>
  <c r="CQ4" i="21"/>
  <c r="DB4" i="21" s="1"/>
  <c r="DM4" i="21" s="1"/>
  <c r="G4" i="21" s="1"/>
  <c r="BE33" i="5"/>
  <c r="BE28" i="21"/>
  <c r="BE21" i="21"/>
  <c r="BE22" i="21"/>
  <c r="BE29" i="21"/>
  <c r="BE23" i="21"/>
  <c r="BE30" i="21"/>
  <c r="BE31" i="21"/>
  <c r="BE24" i="21"/>
  <c r="BE32" i="21"/>
  <c r="BE25" i="21"/>
  <c r="BE17" i="21"/>
  <c r="CA4" i="21"/>
  <c r="BE26" i="21"/>
  <c r="BE18" i="21"/>
  <c r="BE19" i="21"/>
  <c r="BE27" i="21"/>
  <c r="AT5" i="5"/>
  <c r="AI6" i="5" s="1"/>
  <c r="BE6" i="5" s="1"/>
  <c r="CU5" i="21"/>
  <c r="DF5" i="21" s="1"/>
  <c r="DQ5" i="21" s="1"/>
  <c r="K5" i="21" s="1"/>
  <c r="BY6" i="21"/>
  <c r="CJ6" i="21" s="1"/>
  <c r="CV4" i="5"/>
  <c r="DG4" i="5" s="1"/>
  <c r="DR4" i="5" s="1"/>
  <c r="L4" i="5" s="1"/>
  <c r="BZ5" i="5"/>
  <c r="BY6" i="5"/>
  <c r="CU5" i="5"/>
  <c r="DF5" i="5" s="1"/>
  <c r="DQ5" i="5" s="1"/>
  <c r="K5" i="5" s="1"/>
  <c r="CI5" i="21"/>
  <c r="BE29" i="5"/>
  <c r="BE18" i="5"/>
  <c r="BE21" i="5"/>
  <c r="CA4" i="5"/>
  <c r="CL4" i="5" s="1"/>
  <c r="CW4" i="5" s="1"/>
  <c r="DH4" i="5" s="1"/>
  <c r="B4" i="5" s="1"/>
  <c r="BE28" i="5"/>
  <c r="BE17" i="5"/>
  <c r="BE32" i="5"/>
  <c r="BE25" i="5"/>
  <c r="BE20" i="5"/>
  <c r="BE22" i="5"/>
  <c r="BE26" i="5"/>
  <c r="BE27" i="5"/>
  <c r="BE23" i="5"/>
  <c r="BE24" i="5"/>
  <c r="BE30" i="5"/>
  <c r="BE31" i="5"/>
  <c r="BE19" i="5"/>
  <c r="J5" i="5" l="1"/>
  <c r="BM10" i="5"/>
  <c r="BA7" i="5"/>
  <c r="AP8" i="5" s="1"/>
  <c r="BL8" i="5" s="1"/>
  <c r="BJ7" i="5"/>
  <c r="BM11" i="5"/>
  <c r="BM7" i="5"/>
  <c r="BB12" i="5"/>
  <c r="AQ13" i="5" s="1"/>
  <c r="BM8" i="5"/>
  <c r="CD5" i="21"/>
  <c r="BS6" i="21" s="1"/>
  <c r="CD6" i="21" s="1"/>
  <c r="BJ12" i="5"/>
  <c r="CR5" i="21"/>
  <c r="DC5" i="21" s="1"/>
  <c r="DN5" i="21" s="1"/>
  <c r="H5" i="21" s="1"/>
  <c r="BJ10" i="5"/>
  <c r="BM9" i="5"/>
  <c r="BJ11" i="5"/>
  <c r="BJ9" i="5"/>
  <c r="CG6" i="21"/>
  <c r="BV7" i="21" s="1"/>
  <c r="BJ8" i="5"/>
  <c r="BJ13" i="5"/>
  <c r="BX6" i="5"/>
  <c r="CI6" i="5" s="1"/>
  <c r="CT6" i="5" s="1"/>
  <c r="DE6" i="5" s="1"/>
  <c r="DP6" i="5" s="1"/>
  <c r="J6" i="5" s="1"/>
  <c r="CN5" i="21"/>
  <c r="CY5" i="21" s="1"/>
  <c r="DJ5" i="21" s="1"/>
  <c r="D5" i="21" s="1"/>
  <c r="BV6" i="5"/>
  <c r="CG6" i="5" s="1"/>
  <c r="BV7" i="5" s="1"/>
  <c r="CG7" i="5" s="1"/>
  <c r="AY6" i="21"/>
  <c r="AN7" i="21" s="1"/>
  <c r="BJ7" i="21" s="1"/>
  <c r="AV7" i="5"/>
  <c r="AK8" i="5" s="1"/>
  <c r="BG8" i="5" s="1"/>
  <c r="BW6" i="21"/>
  <c r="CH6" i="21" s="1"/>
  <c r="CS6" i="21" s="1"/>
  <c r="DD6" i="21" s="1"/>
  <c r="DO6" i="21" s="1"/>
  <c r="AV6" i="21"/>
  <c r="AK7" i="21" s="1"/>
  <c r="BG7" i="21" s="1"/>
  <c r="AY14" i="5"/>
  <c r="AN15" i="5" s="1"/>
  <c r="BJ15" i="5" s="1"/>
  <c r="CS5" i="5"/>
  <c r="DD5" i="5" s="1"/>
  <c r="DO5" i="5" s="1"/>
  <c r="I5" i="5" s="1"/>
  <c r="AW7" i="5"/>
  <c r="AL8" i="5" s="1"/>
  <c r="BH8" i="5" s="1"/>
  <c r="BD6" i="21"/>
  <c r="AS7" i="21" s="1"/>
  <c r="BO7" i="21" s="1"/>
  <c r="AT5" i="21"/>
  <c r="AI6" i="21" s="1"/>
  <c r="BE6" i="21" s="1"/>
  <c r="CC6" i="21"/>
  <c r="BR7" i="21" s="1"/>
  <c r="BU6" i="5"/>
  <c r="CF6" i="5" s="1"/>
  <c r="CQ5" i="5"/>
  <c r="DB5" i="5" s="1"/>
  <c r="DM5" i="5" s="1"/>
  <c r="G5" i="5" s="1"/>
  <c r="BQ6" i="5"/>
  <c r="CB6" i="5" s="1"/>
  <c r="CM5" i="5"/>
  <c r="CX5" i="5" s="1"/>
  <c r="DI5" i="5" s="1"/>
  <c r="C5" i="5" s="1"/>
  <c r="AZ7" i="5"/>
  <c r="AO8" i="5" s="1"/>
  <c r="BU6" i="21"/>
  <c r="CF6" i="21" s="1"/>
  <c r="CQ5" i="21"/>
  <c r="DB5" i="21" s="1"/>
  <c r="DM5" i="21" s="1"/>
  <c r="G5" i="21" s="1"/>
  <c r="BC7" i="5"/>
  <c r="AR8" i="5" s="1"/>
  <c r="BN7" i="5"/>
  <c r="CN5" i="5"/>
  <c r="CY5" i="5" s="1"/>
  <c r="DJ5" i="5" s="1"/>
  <c r="D5" i="5" s="1"/>
  <c r="BR6" i="5"/>
  <c r="CC6" i="5" s="1"/>
  <c r="AW6" i="21"/>
  <c r="BQ6" i="21"/>
  <c r="CB6" i="21" s="1"/>
  <c r="CM5" i="21"/>
  <c r="CX5" i="21" s="1"/>
  <c r="DI5" i="21" s="1"/>
  <c r="C5" i="21" s="1"/>
  <c r="BS6" i="5"/>
  <c r="CD6" i="5" s="1"/>
  <c r="CO5" i="5"/>
  <c r="CZ5" i="5" s="1"/>
  <c r="DK5" i="5" s="1"/>
  <c r="E5" i="5" s="1"/>
  <c r="BA8" i="5"/>
  <c r="AP9" i="5" s="1"/>
  <c r="CV5" i="21"/>
  <c r="DG5" i="21" s="1"/>
  <c r="DR5" i="21" s="1"/>
  <c r="L5" i="21" s="1"/>
  <c r="BZ6" i="21"/>
  <c r="CK6" i="21" s="1"/>
  <c r="CT5" i="21"/>
  <c r="DE5" i="21" s="1"/>
  <c r="DP5" i="21" s="1"/>
  <c r="J5" i="21" s="1"/>
  <c r="BX6" i="21"/>
  <c r="CJ6" i="5"/>
  <c r="BC7" i="21"/>
  <c r="BM13" i="5"/>
  <c r="BA6" i="21"/>
  <c r="BP5" i="21"/>
  <c r="CA5" i="21" s="1"/>
  <c r="CL4" i="21"/>
  <c r="CW4" i="21" s="1"/>
  <c r="DH4" i="21" s="1"/>
  <c r="B4" i="21" s="1"/>
  <c r="AT6" i="5"/>
  <c r="AI7" i="5" s="1"/>
  <c r="BE7" i="5" s="1"/>
  <c r="CK5" i="5"/>
  <c r="CS6" i="5"/>
  <c r="DD6" i="5" s="1"/>
  <c r="DO6" i="5" s="1"/>
  <c r="BW7" i="5"/>
  <c r="CH7" i="5" s="1"/>
  <c r="AZ6" i="21"/>
  <c r="CU6" i="21"/>
  <c r="DF6" i="21" s="1"/>
  <c r="DQ6" i="21" s="1"/>
  <c r="K6" i="21" s="1"/>
  <c r="BY7" i="21"/>
  <c r="CJ7" i="21" s="1"/>
  <c r="AU6" i="21"/>
  <c r="AU9" i="5"/>
  <c r="AJ10" i="5" s="1"/>
  <c r="AQ6" i="21"/>
  <c r="BM6" i="21" s="1"/>
  <c r="AS7" i="5"/>
  <c r="BO7" i="5" s="1"/>
  <c r="BP5" i="5"/>
  <c r="CA5" i="5" s="1"/>
  <c r="CL5" i="5" s="1"/>
  <c r="CW5" i="5" s="1"/>
  <c r="DH5" i="5" s="1"/>
  <c r="BB13" i="5" l="1"/>
  <c r="AQ14" i="5" s="1"/>
  <c r="CO5" i="21"/>
  <c r="CZ5" i="21" s="1"/>
  <c r="DK5" i="21" s="1"/>
  <c r="E5" i="21" s="1"/>
  <c r="BX7" i="5"/>
  <c r="CI7" i="5" s="1"/>
  <c r="CT7" i="5" s="1"/>
  <c r="DE7" i="5" s="1"/>
  <c r="DP7" i="5" s="1"/>
  <c r="J7" i="5" s="1"/>
  <c r="CR6" i="5"/>
  <c r="DC6" i="5" s="1"/>
  <c r="DN6" i="5" s="1"/>
  <c r="H6" i="5" s="1"/>
  <c r="CR6" i="21"/>
  <c r="DC6" i="21" s="1"/>
  <c r="DN6" i="21" s="1"/>
  <c r="H6" i="21" s="1"/>
  <c r="CI6" i="21"/>
  <c r="BX7" i="21" s="1"/>
  <c r="BB6" i="21"/>
  <c r="AQ7" i="21" s="1"/>
  <c r="BM7" i="21" s="1"/>
  <c r="AY15" i="5"/>
  <c r="AN16" i="5" s="1"/>
  <c r="BJ16" i="5" s="1"/>
  <c r="AV8" i="5"/>
  <c r="AK9" i="5" s="1"/>
  <c r="BG9" i="5" s="1"/>
  <c r="AY7" i="21"/>
  <c r="AN8" i="21" s="1"/>
  <c r="BJ8" i="21" s="1"/>
  <c r="I6" i="5"/>
  <c r="CC7" i="21"/>
  <c r="CN7" i="21" s="1"/>
  <c r="CY7" i="21" s="1"/>
  <c r="DJ7" i="21" s="1"/>
  <c r="BW7" i="21"/>
  <c r="CN6" i="21"/>
  <c r="CY6" i="21" s="1"/>
  <c r="DJ6" i="21" s="1"/>
  <c r="D6" i="21" s="1"/>
  <c r="AW8" i="5"/>
  <c r="AL9" i="5" s="1"/>
  <c r="BH9" i="5" s="1"/>
  <c r="BP6" i="21"/>
  <c r="CA6" i="21" s="1"/>
  <c r="CL5" i="21"/>
  <c r="CW5" i="21" s="1"/>
  <c r="DH5" i="21" s="1"/>
  <c r="B5" i="21" s="1"/>
  <c r="AZ8" i="5"/>
  <c r="AO9" i="5" s="1"/>
  <c r="BK8" i="5"/>
  <c r="AT6" i="21"/>
  <c r="BB14" i="5"/>
  <c r="AQ15" i="5" s="1"/>
  <c r="BM14" i="5"/>
  <c r="CM6" i="21"/>
  <c r="CX6" i="21" s="1"/>
  <c r="DI6" i="21" s="1"/>
  <c r="C6" i="21" s="1"/>
  <c r="BQ7" i="21"/>
  <c r="BD7" i="21"/>
  <c r="BX8" i="5"/>
  <c r="CI8" i="5" s="1"/>
  <c r="AO7" i="21"/>
  <c r="BK7" i="21" s="1"/>
  <c r="CG7" i="21" s="1"/>
  <c r="CV5" i="5"/>
  <c r="DG5" i="5" s="1"/>
  <c r="DR5" i="5" s="1"/>
  <c r="L5" i="5" s="1"/>
  <c r="BZ6" i="5"/>
  <c r="CK6" i="5" s="1"/>
  <c r="BU7" i="21"/>
  <c r="CF7" i="21" s="1"/>
  <c r="CQ6" i="21"/>
  <c r="DB6" i="21" s="1"/>
  <c r="DM6" i="21" s="1"/>
  <c r="G6" i="21" s="1"/>
  <c r="BW8" i="5"/>
  <c r="CH8" i="5" s="1"/>
  <c r="CS7" i="5"/>
  <c r="DD7" i="5" s="1"/>
  <c r="DO7" i="5" s="1"/>
  <c r="BV8" i="5"/>
  <c r="CR7" i="5"/>
  <c r="DC7" i="5" s="1"/>
  <c r="DN7" i="5" s="1"/>
  <c r="H7" i="5" s="1"/>
  <c r="CM6" i="5"/>
  <c r="CX6" i="5" s="1"/>
  <c r="DI6" i="5" s="1"/>
  <c r="C6" i="5" s="1"/>
  <c r="BQ7" i="5"/>
  <c r="CB7" i="5" s="1"/>
  <c r="CO6" i="5"/>
  <c r="CZ6" i="5" s="1"/>
  <c r="DK6" i="5" s="1"/>
  <c r="E6" i="5" s="1"/>
  <c r="BS7" i="5"/>
  <c r="CD7" i="5" s="1"/>
  <c r="AT7" i="5"/>
  <c r="AI8" i="5" s="1"/>
  <c r="BE8" i="5" s="1"/>
  <c r="BU7" i="5"/>
  <c r="CF7" i="5" s="1"/>
  <c r="CQ6" i="5"/>
  <c r="DB6" i="5" s="1"/>
  <c r="DM6" i="5" s="1"/>
  <c r="G6" i="5" s="1"/>
  <c r="CN6" i="5"/>
  <c r="CY6" i="5" s="1"/>
  <c r="DJ6" i="5" s="1"/>
  <c r="D6" i="5" s="1"/>
  <c r="BR7" i="5"/>
  <c r="CC7" i="5" s="1"/>
  <c r="AV7" i="21"/>
  <c r="CV6" i="21"/>
  <c r="DG6" i="21" s="1"/>
  <c r="DR6" i="21" s="1"/>
  <c r="L6" i="21" s="1"/>
  <c r="BZ7" i="21"/>
  <c r="CK7" i="21" s="1"/>
  <c r="BA9" i="5"/>
  <c r="AP10" i="5" s="1"/>
  <c r="BL9" i="5"/>
  <c r="AL7" i="21"/>
  <c r="BH7" i="21" s="1"/>
  <c r="BD7" i="5"/>
  <c r="AP7" i="21"/>
  <c r="BL7" i="21" s="1"/>
  <c r="BY8" i="21"/>
  <c r="CU7" i="21"/>
  <c r="DF7" i="21" s="1"/>
  <c r="DQ7" i="21" s="1"/>
  <c r="K7" i="21" s="1"/>
  <c r="AR8" i="21"/>
  <c r="BN8" i="21" s="1"/>
  <c r="CU6" i="5"/>
  <c r="DF6" i="5" s="1"/>
  <c r="DQ6" i="5" s="1"/>
  <c r="K6" i="5" s="1"/>
  <c r="BY7" i="5"/>
  <c r="CJ7" i="5" s="1"/>
  <c r="AU10" i="5"/>
  <c r="BF10" i="5"/>
  <c r="AJ7" i="21"/>
  <c r="BF7" i="21" s="1"/>
  <c r="BC8" i="5"/>
  <c r="AR9" i="5" s="1"/>
  <c r="BN8" i="5"/>
  <c r="CO6" i="21"/>
  <c r="CZ6" i="21" s="1"/>
  <c r="DK6" i="21" s="1"/>
  <c r="E6" i="21" s="1"/>
  <c r="BS7" i="21"/>
  <c r="B5" i="5"/>
  <c r="BP6" i="5"/>
  <c r="CA6" i="5" s="1"/>
  <c r="CL6" i="5" s="1"/>
  <c r="CW6" i="5" s="1"/>
  <c r="DH6" i="5" s="1"/>
  <c r="CT6" i="21" l="1"/>
  <c r="DE6" i="21" s="1"/>
  <c r="DP6" i="21" s="1"/>
  <c r="J6" i="21" s="1"/>
  <c r="BR8" i="21"/>
  <c r="AW7" i="21"/>
  <c r="AV9" i="5"/>
  <c r="AK10" i="5" s="1"/>
  <c r="BG10" i="5" s="1"/>
  <c r="CH7" i="21"/>
  <c r="CS7" i="21" s="1"/>
  <c r="DD7" i="21" s="1"/>
  <c r="DO7" i="21" s="1"/>
  <c r="CG8" i="5"/>
  <c r="BV9" i="5" s="1"/>
  <c r="I7" i="5"/>
  <c r="AT8" i="5"/>
  <c r="AI9" i="5" s="1"/>
  <c r="BE9" i="5" s="1"/>
  <c r="D7" i="21"/>
  <c r="AV10" i="5"/>
  <c r="AK11" i="5" s="1"/>
  <c r="BG11" i="5" s="1"/>
  <c r="CD7" i="21"/>
  <c r="CO7" i="21" s="1"/>
  <c r="CZ7" i="21" s="1"/>
  <c r="DK7" i="21" s="1"/>
  <c r="E7" i="21" s="1"/>
  <c r="CI7" i="21"/>
  <c r="CT7" i="21" s="1"/>
  <c r="DE7" i="21" s="1"/>
  <c r="DP7" i="21" s="1"/>
  <c r="AW9" i="5"/>
  <c r="AL10" i="5" s="1"/>
  <c r="BH10" i="5" s="1"/>
  <c r="AY8" i="21"/>
  <c r="AN9" i="21" s="1"/>
  <c r="BJ9" i="21" s="1"/>
  <c r="BB7" i="21"/>
  <c r="AQ8" i="21" s="1"/>
  <c r="BM8" i="21" s="1"/>
  <c r="AY16" i="5"/>
  <c r="AU7" i="21"/>
  <c r="AJ8" i="21" s="1"/>
  <c r="BF8" i="21" s="1"/>
  <c r="CB7" i="21"/>
  <c r="BQ8" i="21" s="1"/>
  <c r="BX9" i="5"/>
  <c r="CI9" i="5" s="1"/>
  <c r="CT8" i="5"/>
  <c r="DE8" i="5" s="1"/>
  <c r="DP8" i="5" s="1"/>
  <c r="J8" i="5" s="1"/>
  <c r="AK8" i="21"/>
  <c r="BG8" i="21" s="1"/>
  <c r="CC8" i="21" s="1"/>
  <c r="BC8" i="21"/>
  <c r="CU7" i="5"/>
  <c r="DF7" i="5" s="1"/>
  <c r="DQ7" i="5" s="1"/>
  <c r="K7" i="5" s="1"/>
  <c r="BY8" i="5"/>
  <c r="CJ8" i="5" s="1"/>
  <c r="BB15" i="5"/>
  <c r="AQ16" i="5" s="1"/>
  <c r="BM15" i="5"/>
  <c r="BR8" i="5"/>
  <c r="CC8" i="5" s="1"/>
  <c r="CN7" i="5"/>
  <c r="CY7" i="5" s="1"/>
  <c r="DJ7" i="5" s="1"/>
  <c r="D7" i="5" s="1"/>
  <c r="CQ7" i="5"/>
  <c r="DB7" i="5" s="1"/>
  <c r="DM7" i="5" s="1"/>
  <c r="G7" i="5" s="1"/>
  <c r="BU8" i="5"/>
  <c r="CF8" i="5" s="1"/>
  <c r="BZ7" i="5"/>
  <c r="CK7" i="5" s="1"/>
  <c r="CV6" i="5"/>
  <c r="DG6" i="5" s="1"/>
  <c r="DR6" i="5" s="1"/>
  <c r="L6" i="5" s="1"/>
  <c r="AI7" i="21"/>
  <c r="BE7" i="21" s="1"/>
  <c r="BQ8" i="5"/>
  <c r="CB8" i="5" s="1"/>
  <c r="CM7" i="5"/>
  <c r="CX7" i="5" s="1"/>
  <c r="DI7" i="5" s="1"/>
  <c r="C7" i="5" s="1"/>
  <c r="CJ8" i="21"/>
  <c r="BV8" i="21"/>
  <c r="CR7" i="21"/>
  <c r="DC7" i="21" s="1"/>
  <c r="DN7" i="21" s="1"/>
  <c r="H7" i="21" s="1"/>
  <c r="CV7" i="21"/>
  <c r="DG7" i="21" s="1"/>
  <c r="DR7" i="21" s="1"/>
  <c r="L7" i="21" s="1"/>
  <c r="BZ8" i="21"/>
  <c r="BW9" i="5"/>
  <c r="CH9" i="5" s="1"/>
  <c r="CS8" i="5"/>
  <c r="DD8" i="5" s="1"/>
  <c r="DO8" i="5" s="1"/>
  <c r="BS8" i="5"/>
  <c r="CD8" i="5" s="1"/>
  <c r="CO7" i="5"/>
  <c r="CZ7" i="5" s="1"/>
  <c r="DK7" i="5" s="1"/>
  <c r="E7" i="5" s="1"/>
  <c r="AZ9" i="5"/>
  <c r="AO10" i="5" s="1"/>
  <c r="BK9" i="5"/>
  <c r="AS8" i="21"/>
  <c r="BO8" i="21" s="1"/>
  <c r="AS8" i="5"/>
  <c r="BO8" i="5" s="1"/>
  <c r="AL8" i="21"/>
  <c r="BH8" i="21" s="1"/>
  <c r="AZ7" i="21"/>
  <c r="CQ7" i="21"/>
  <c r="DB7" i="21" s="1"/>
  <c r="DM7" i="21" s="1"/>
  <c r="G7" i="21" s="1"/>
  <c r="BU8" i="21"/>
  <c r="CF8" i="21" s="1"/>
  <c r="BC9" i="5"/>
  <c r="AR10" i="5" s="1"/>
  <c r="BN9" i="5"/>
  <c r="BA10" i="5"/>
  <c r="AP11" i="5" s="1"/>
  <c r="BL10" i="5"/>
  <c r="CR8" i="5"/>
  <c r="DC8" i="5" s="1"/>
  <c r="DN8" i="5" s="1"/>
  <c r="H8" i="5" s="1"/>
  <c r="BA7" i="21"/>
  <c r="AJ11" i="5"/>
  <c r="BF11" i="5" s="1"/>
  <c r="CL6" i="21"/>
  <c r="CW6" i="21" s="1"/>
  <c r="DH6" i="21" s="1"/>
  <c r="B6" i="21" s="1"/>
  <c r="BP7" i="21"/>
  <c r="B6" i="5"/>
  <c r="BP7" i="5"/>
  <c r="CA7" i="5" s="1"/>
  <c r="CL7" i="5" s="1"/>
  <c r="CW7" i="5" s="1"/>
  <c r="DH7" i="5" s="1"/>
  <c r="J7" i="21" l="1"/>
  <c r="I8" i="5"/>
  <c r="BW8" i="21"/>
  <c r="AT9" i="5"/>
  <c r="AI10" i="5" s="1"/>
  <c r="BE10" i="5" s="1"/>
  <c r="BS8" i="21"/>
  <c r="CD8" i="21" s="1"/>
  <c r="CO8" i="21" s="1"/>
  <c r="CZ8" i="21" s="1"/>
  <c r="DK8" i="21" s="1"/>
  <c r="E8" i="21" s="1"/>
  <c r="BD8" i="21"/>
  <c r="AS9" i="21" s="1"/>
  <c r="BO9" i="21" s="1"/>
  <c r="AV11" i="5"/>
  <c r="AK12" i="5" s="1"/>
  <c r="BG12" i="5" s="1"/>
  <c r="BX8" i="21"/>
  <c r="CI8" i="21" s="1"/>
  <c r="CT8" i="21" s="1"/>
  <c r="DE8" i="21" s="1"/>
  <c r="DP8" i="21" s="1"/>
  <c r="J8" i="21" s="1"/>
  <c r="AW8" i="21"/>
  <c r="AL9" i="21" s="1"/>
  <c r="BH9" i="21" s="1"/>
  <c r="AW10" i="5"/>
  <c r="AL11" i="5" s="1"/>
  <c r="BH11" i="5" s="1"/>
  <c r="CM7" i="21"/>
  <c r="CX7" i="21" s="1"/>
  <c r="DI7" i="21" s="1"/>
  <c r="C7" i="21" s="1"/>
  <c r="AY9" i="21"/>
  <c r="AN10" i="21" s="1"/>
  <c r="BJ10" i="21" s="1"/>
  <c r="AV8" i="21"/>
  <c r="AK9" i="21" s="1"/>
  <c r="BG9" i="21" s="1"/>
  <c r="AU8" i="21"/>
  <c r="AJ9" i="21" s="1"/>
  <c r="BF9" i="21" s="1"/>
  <c r="AT7" i="21"/>
  <c r="AI8" i="21" s="1"/>
  <c r="CG9" i="5"/>
  <c r="BV10" i="5" s="1"/>
  <c r="BR9" i="21"/>
  <c r="CN8" i="21"/>
  <c r="CY8" i="21" s="1"/>
  <c r="DJ8" i="21" s="1"/>
  <c r="D8" i="21" s="1"/>
  <c r="BQ9" i="5"/>
  <c r="CB9" i="5" s="1"/>
  <c r="CM8" i="5"/>
  <c r="CX8" i="5" s="1"/>
  <c r="DI8" i="5" s="1"/>
  <c r="C8" i="5" s="1"/>
  <c r="BY9" i="21"/>
  <c r="CU8" i="21"/>
  <c r="DF8" i="21" s="1"/>
  <c r="DQ8" i="21" s="1"/>
  <c r="K8" i="21" s="1"/>
  <c r="BA11" i="5"/>
  <c r="BL11" i="5"/>
  <c r="AZ10" i="5"/>
  <c r="AO11" i="5" s="1"/>
  <c r="BK10" i="5"/>
  <c r="BZ8" i="5"/>
  <c r="CK8" i="5" s="1"/>
  <c r="CV7" i="5"/>
  <c r="DG7" i="5" s="1"/>
  <c r="DR7" i="5" s="1"/>
  <c r="L7" i="5" s="1"/>
  <c r="CA7" i="21"/>
  <c r="AO8" i="21"/>
  <c r="BK8" i="21" s="1"/>
  <c r="CG8" i="21" s="1"/>
  <c r="CK8" i="21"/>
  <c r="CN8" i="5"/>
  <c r="CY8" i="5" s="1"/>
  <c r="DJ8" i="5" s="1"/>
  <c r="D8" i="5" s="1"/>
  <c r="BR9" i="5"/>
  <c r="CC9" i="5" s="1"/>
  <c r="CB8" i="21"/>
  <c r="BC10" i="5"/>
  <c r="AR11" i="5" s="1"/>
  <c r="BN10" i="5"/>
  <c r="CO8" i="5"/>
  <c r="CZ8" i="5" s="1"/>
  <c r="DK8" i="5" s="1"/>
  <c r="E8" i="5" s="1"/>
  <c r="BS9" i="5"/>
  <c r="CD9" i="5" s="1"/>
  <c r="AU11" i="5"/>
  <c r="AJ12" i="5" s="1"/>
  <c r="BB8" i="21"/>
  <c r="BU9" i="21"/>
  <c r="CF9" i="21" s="1"/>
  <c r="CQ8" i="21"/>
  <c r="DB8" i="21" s="1"/>
  <c r="DM8" i="21" s="1"/>
  <c r="G8" i="21" s="1"/>
  <c r="BU9" i="5"/>
  <c r="CF9" i="5" s="1"/>
  <c r="CQ8" i="5"/>
  <c r="DB8" i="5" s="1"/>
  <c r="DM8" i="5" s="1"/>
  <c r="G8" i="5" s="1"/>
  <c r="BW10" i="5"/>
  <c r="CH10" i="5" s="1"/>
  <c r="CS9" i="5"/>
  <c r="DD9" i="5" s="1"/>
  <c r="DO9" i="5" s="1"/>
  <c r="I9" i="5" s="1"/>
  <c r="AP8" i="21"/>
  <c r="BL8" i="21" s="1"/>
  <c r="CH8" i="21" s="1"/>
  <c r="CU8" i="5"/>
  <c r="DF8" i="5" s="1"/>
  <c r="DQ8" i="5" s="1"/>
  <c r="K8" i="5" s="1"/>
  <c r="BY9" i="5"/>
  <c r="CJ9" i="5" s="1"/>
  <c r="AR9" i="21"/>
  <c r="BN9" i="21" s="1"/>
  <c r="BD8" i="5"/>
  <c r="AS9" i="5" s="1"/>
  <c r="BB16" i="5"/>
  <c r="BM16" i="5"/>
  <c r="CT9" i="5"/>
  <c r="DE9" i="5" s="1"/>
  <c r="DP9" i="5" s="1"/>
  <c r="J9" i="5" s="1"/>
  <c r="BX10" i="5"/>
  <c r="CI10" i="5" s="1"/>
  <c r="B7" i="5"/>
  <c r="BP8" i="5"/>
  <c r="CA8" i="5" s="1"/>
  <c r="CL8" i="5" s="1"/>
  <c r="CW8" i="5" s="1"/>
  <c r="DH8" i="5" s="1"/>
  <c r="AT10" i="5"/>
  <c r="AI11" i="5" s="1"/>
  <c r="BE11" i="5" s="1"/>
  <c r="AV12" i="5" l="1"/>
  <c r="AK13" i="5" s="1"/>
  <c r="BX9" i="21"/>
  <c r="BS9" i="21"/>
  <c r="AW11" i="5"/>
  <c r="AL12" i="5" s="1"/>
  <c r="AU9" i="21"/>
  <c r="BE8" i="21"/>
  <c r="AT8" i="21"/>
  <c r="AI9" i="21" s="1"/>
  <c r="BE9" i="21" s="1"/>
  <c r="AZ8" i="21"/>
  <c r="AO9" i="21" s="1"/>
  <c r="BK9" i="21" s="1"/>
  <c r="CR9" i="5"/>
  <c r="DC9" i="5" s="1"/>
  <c r="DN9" i="5" s="1"/>
  <c r="H9" i="5" s="1"/>
  <c r="CD9" i="21"/>
  <c r="BS10" i="21" s="1"/>
  <c r="AW9" i="21"/>
  <c r="AL10" i="21" s="1"/>
  <c r="BH10" i="21" s="1"/>
  <c r="AY10" i="21"/>
  <c r="AN11" i="21" s="1"/>
  <c r="BJ11" i="21" s="1"/>
  <c r="AV9" i="21"/>
  <c r="AK10" i="21" s="1"/>
  <c r="BG10" i="21" s="1"/>
  <c r="BC9" i="21"/>
  <c r="AR10" i="21" s="1"/>
  <c r="BN10" i="21" s="1"/>
  <c r="CG10" i="5"/>
  <c r="BV11" i="5" s="1"/>
  <c r="BV9" i="21"/>
  <c r="CR8" i="21"/>
  <c r="DC8" i="21" s="1"/>
  <c r="DN8" i="21" s="1"/>
  <c r="H8" i="21" s="1"/>
  <c r="BW9" i="21"/>
  <c r="CS8" i="21"/>
  <c r="DD8" i="21" s="1"/>
  <c r="DO8" i="21" s="1"/>
  <c r="AU12" i="5"/>
  <c r="AJ13" i="5" s="1"/>
  <c r="BF12" i="5"/>
  <c r="BD9" i="5"/>
  <c r="BO9" i="5"/>
  <c r="AQ9" i="21"/>
  <c r="BM9" i="21" s="1"/>
  <c r="CI9" i="21" s="1"/>
  <c r="BP8" i="21"/>
  <c r="CL7" i="21"/>
  <c r="CW7" i="21" s="1"/>
  <c r="DH7" i="21" s="1"/>
  <c r="B7" i="21" s="1"/>
  <c r="AV13" i="5"/>
  <c r="AK14" i="5" s="1"/>
  <c r="BG13" i="5"/>
  <c r="AP12" i="5"/>
  <c r="BL12" i="5" s="1"/>
  <c r="BD9" i="21"/>
  <c r="AZ11" i="5"/>
  <c r="BK11" i="5"/>
  <c r="BC11" i="5"/>
  <c r="BN11" i="5"/>
  <c r="CJ9" i="21"/>
  <c r="CN9" i="5"/>
  <c r="CY9" i="5" s="1"/>
  <c r="DJ9" i="5" s="1"/>
  <c r="D9" i="5" s="1"/>
  <c r="BR10" i="5"/>
  <c r="CC10" i="5" s="1"/>
  <c r="BZ9" i="21"/>
  <c r="CK9" i="21" s="1"/>
  <c r="CV8" i="21"/>
  <c r="DG8" i="21" s="1"/>
  <c r="DR8" i="21" s="1"/>
  <c r="L8" i="21" s="1"/>
  <c r="BW11" i="5"/>
  <c r="CH11" i="5" s="1"/>
  <c r="CS10" i="5"/>
  <c r="DD10" i="5" s="1"/>
  <c r="DO10" i="5" s="1"/>
  <c r="I10" i="5" s="1"/>
  <c r="CT10" i="5"/>
  <c r="DE10" i="5" s="1"/>
  <c r="DP10" i="5" s="1"/>
  <c r="J10" i="5" s="1"/>
  <c r="BX11" i="5"/>
  <c r="CI11" i="5" s="1"/>
  <c r="BZ9" i="5"/>
  <c r="CV8" i="5"/>
  <c r="DG8" i="5" s="1"/>
  <c r="DR8" i="5" s="1"/>
  <c r="L8" i="5" s="1"/>
  <c r="BQ10" i="5"/>
  <c r="CB10" i="5" s="1"/>
  <c r="CM9" i="5"/>
  <c r="CX9" i="5" s="1"/>
  <c r="DI9" i="5" s="1"/>
  <c r="C9" i="5" s="1"/>
  <c r="CQ9" i="21"/>
  <c r="DB9" i="21" s="1"/>
  <c r="DM9" i="21" s="1"/>
  <c r="G9" i="21" s="1"/>
  <c r="BU10" i="21"/>
  <c r="CF10" i="21" s="1"/>
  <c r="BS10" i="5"/>
  <c r="CD10" i="5" s="1"/>
  <c r="CO9" i="5"/>
  <c r="CZ9" i="5" s="1"/>
  <c r="DK9" i="5" s="1"/>
  <c r="E9" i="5" s="1"/>
  <c r="AW12" i="5"/>
  <c r="AL13" i="5" s="1"/>
  <c r="BH12" i="5"/>
  <c r="BA8" i="21"/>
  <c r="BU10" i="5"/>
  <c r="CF10" i="5" s="1"/>
  <c r="CQ9" i="5"/>
  <c r="DB9" i="5" s="1"/>
  <c r="DM9" i="5" s="1"/>
  <c r="G9" i="5" s="1"/>
  <c r="AJ10" i="21"/>
  <c r="BF10" i="21" s="1"/>
  <c r="BY10" i="5"/>
  <c r="CJ10" i="5" s="1"/>
  <c r="CU9" i="5"/>
  <c r="DF9" i="5" s="1"/>
  <c r="DQ9" i="5" s="1"/>
  <c r="K9" i="5" s="1"/>
  <c r="CM8" i="21"/>
  <c r="CX8" i="21" s="1"/>
  <c r="DI8" i="21" s="1"/>
  <c r="C8" i="21" s="1"/>
  <c r="BQ9" i="21"/>
  <c r="CB9" i="21" s="1"/>
  <c r="CC9" i="21"/>
  <c r="B8" i="5"/>
  <c r="BP9" i="5"/>
  <c r="CA9" i="5" s="1"/>
  <c r="CL9" i="5" s="1"/>
  <c r="CW9" i="5" s="1"/>
  <c r="DH9" i="5" s="1"/>
  <c r="AT11" i="5"/>
  <c r="AI12" i="5" s="1"/>
  <c r="BE12" i="5" s="1"/>
  <c r="CO9" i="21" l="1"/>
  <c r="CZ9" i="21" s="1"/>
  <c r="DK9" i="21" s="1"/>
  <c r="E9" i="21" s="1"/>
  <c r="CA8" i="21"/>
  <c r="BP9" i="21" s="1"/>
  <c r="CA9" i="21" s="1"/>
  <c r="CR10" i="5"/>
  <c r="DC10" i="5" s="1"/>
  <c r="DN10" i="5" s="1"/>
  <c r="H10" i="5" s="1"/>
  <c r="AT9" i="21"/>
  <c r="AI10" i="21" s="1"/>
  <c r="BE10" i="21" s="1"/>
  <c r="BC10" i="21"/>
  <c r="AR11" i="21" s="1"/>
  <c r="BN11" i="21" s="1"/>
  <c r="BB9" i="21"/>
  <c r="AQ10" i="21" s="1"/>
  <c r="BM10" i="21" s="1"/>
  <c r="CK9" i="5"/>
  <c r="BZ10" i="5" s="1"/>
  <c r="AY11" i="21"/>
  <c r="AN12" i="21" s="1"/>
  <c r="BJ12" i="21" s="1"/>
  <c r="CD10" i="21"/>
  <c r="BS11" i="21" s="1"/>
  <c r="BA12" i="5"/>
  <c r="AP13" i="5" s="1"/>
  <c r="BL13" i="5" s="1"/>
  <c r="AU10" i="21"/>
  <c r="AJ11" i="21" s="1"/>
  <c r="BF11" i="21" s="1"/>
  <c r="AW10" i="21"/>
  <c r="AL11" i="21" s="1"/>
  <c r="BH11" i="21" s="1"/>
  <c r="CT9" i="21"/>
  <c r="DE9" i="21" s="1"/>
  <c r="DP9" i="21" s="1"/>
  <c r="J9" i="21" s="1"/>
  <c r="BX10" i="21"/>
  <c r="CU10" i="5"/>
  <c r="DF10" i="5" s="1"/>
  <c r="DQ10" i="5" s="1"/>
  <c r="K10" i="5" s="1"/>
  <c r="BY11" i="5"/>
  <c r="CJ11" i="5" s="1"/>
  <c r="AO12" i="5"/>
  <c r="BK12" i="5" s="1"/>
  <c r="CM10" i="5"/>
  <c r="CX10" i="5" s="1"/>
  <c r="DI10" i="5" s="1"/>
  <c r="C10" i="5" s="1"/>
  <c r="BQ11" i="5"/>
  <c r="CB11" i="5" s="1"/>
  <c r="AS10" i="5"/>
  <c r="BO10" i="5" s="1"/>
  <c r="BU11" i="5"/>
  <c r="CF11" i="5" s="1"/>
  <c r="CQ10" i="5"/>
  <c r="DB10" i="5" s="1"/>
  <c r="DM10" i="5" s="1"/>
  <c r="G10" i="5" s="1"/>
  <c r="AS10" i="21"/>
  <c r="BO10" i="21" s="1"/>
  <c r="CG11" i="5"/>
  <c r="AU13" i="5"/>
  <c r="AJ14" i="5" s="1"/>
  <c r="BF13" i="5"/>
  <c r="BS11" i="5"/>
  <c r="CD11" i="5" s="1"/>
  <c r="CO10" i="5"/>
  <c r="CZ10" i="5" s="1"/>
  <c r="DK10" i="5" s="1"/>
  <c r="E10" i="5" s="1"/>
  <c r="AV10" i="21"/>
  <c r="BX12" i="5"/>
  <c r="CI12" i="5" s="1"/>
  <c r="CT11" i="5"/>
  <c r="DE11" i="5" s="1"/>
  <c r="DP11" i="5" s="1"/>
  <c r="J11" i="5" s="1"/>
  <c r="BW12" i="5"/>
  <c r="CH12" i="5" s="1"/>
  <c r="CS11" i="5"/>
  <c r="DD11" i="5" s="1"/>
  <c r="DO11" i="5" s="1"/>
  <c r="I11" i="5" s="1"/>
  <c r="CN9" i="21"/>
  <c r="CY9" i="21" s="1"/>
  <c r="DJ9" i="21" s="1"/>
  <c r="D9" i="21" s="1"/>
  <c r="BR10" i="21"/>
  <c r="CC10" i="21" s="1"/>
  <c r="CV9" i="21"/>
  <c r="DG9" i="21" s="1"/>
  <c r="DR9" i="21" s="1"/>
  <c r="L9" i="21" s="1"/>
  <c r="BZ10" i="21"/>
  <c r="BQ10" i="21"/>
  <c r="CB10" i="21" s="1"/>
  <c r="CM9" i="21"/>
  <c r="CX9" i="21" s="1"/>
  <c r="DI9" i="21" s="1"/>
  <c r="C9" i="21" s="1"/>
  <c r="BU11" i="21"/>
  <c r="CF11" i="21" s="1"/>
  <c r="CQ10" i="21"/>
  <c r="DB10" i="21" s="1"/>
  <c r="DM10" i="21" s="1"/>
  <c r="G10" i="21" s="1"/>
  <c r="BR11" i="5"/>
  <c r="CC11" i="5" s="1"/>
  <c r="CN10" i="5"/>
  <c r="CY10" i="5" s="1"/>
  <c r="DJ10" i="5" s="1"/>
  <c r="D10" i="5" s="1"/>
  <c r="AZ9" i="21"/>
  <c r="AP9" i="21"/>
  <c r="BL9" i="21" s="1"/>
  <c r="CH9" i="21" s="1"/>
  <c r="AW13" i="5"/>
  <c r="BH13" i="5"/>
  <c r="AR12" i="5"/>
  <c r="BN12" i="5" s="1"/>
  <c r="BY10" i="21"/>
  <c r="CJ10" i="21" s="1"/>
  <c r="CU9" i="21"/>
  <c r="DF9" i="21" s="1"/>
  <c r="DQ9" i="21" s="1"/>
  <c r="K9" i="21" s="1"/>
  <c r="AV14" i="5"/>
  <c r="AK15" i="5" s="1"/>
  <c r="BG14" i="5"/>
  <c r="CG9" i="21"/>
  <c r="B9" i="5"/>
  <c r="BP10" i="5"/>
  <c r="CA10" i="5" s="1"/>
  <c r="CL10" i="5" s="1"/>
  <c r="CW10" i="5" s="1"/>
  <c r="DH10" i="5" s="1"/>
  <c r="AT12" i="5"/>
  <c r="CO10" i="21" l="1"/>
  <c r="CZ10" i="21" s="1"/>
  <c r="DK10" i="21" s="1"/>
  <c r="E10" i="21" s="1"/>
  <c r="BA13" i="5"/>
  <c r="CL8" i="21"/>
  <c r="CW8" i="21" s="1"/>
  <c r="DH8" i="21" s="1"/>
  <c r="B8" i="21" s="1"/>
  <c r="CV9" i="5"/>
  <c r="DG9" i="5" s="1"/>
  <c r="DR9" i="5" s="1"/>
  <c r="L9" i="5" s="1"/>
  <c r="AU11" i="21"/>
  <c r="AT10" i="21"/>
  <c r="AI11" i="21" s="1"/>
  <c r="BE11" i="21" s="1"/>
  <c r="BB10" i="21"/>
  <c r="AQ11" i="21" s="1"/>
  <c r="BM11" i="21" s="1"/>
  <c r="BC12" i="5"/>
  <c r="AR13" i="5" s="1"/>
  <c r="BN13" i="5" s="1"/>
  <c r="AZ12" i="5"/>
  <c r="AO13" i="5" s="1"/>
  <c r="BK13" i="5" s="1"/>
  <c r="AY12" i="21"/>
  <c r="AN13" i="21" s="1"/>
  <c r="BJ13" i="21" s="1"/>
  <c r="CK10" i="5"/>
  <c r="BZ11" i="5" s="1"/>
  <c r="BD10" i="21"/>
  <c r="AS11" i="21" s="1"/>
  <c r="BO11" i="21" s="1"/>
  <c r="BW10" i="21"/>
  <c r="CS9" i="21"/>
  <c r="DD9" i="21" s="1"/>
  <c r="DO9" i="21" s="1"/>
  <c r="BY11" i="21"/>
  <c r="CJ11" i="21" s="1"/>
  <c r="CU10" i="21"/>
  <c r="DF10" i="21" s="1"/>
  <c r="DQ10" i="21" s="1"/>
  <c r="K10" i="21" s="1"/>
  <c r="AU14" i="5"/>
  <c r="AJ15" i="5" s="1"/>
  <c r="BF14" i="5"/>
  <c r="BD10" i="5"/>
  <c r="AS11" i="5" s="1"/>
  <c r="CO11" i="5"/>
  <c r="CZ11" i="5" s="1"/>
  <c r="DK11" i="5" s="1"/>
  <c r="E11" i="5" s="1"/>
  <c r="BS12" i="5"/>
  <c r="CD12" i="5" s="1"/>
  <c r="CL9" i="21"/>
  <c r="CW9" i="21" s="1"/>
  <c r="DH9" i="21" s="1"/>
  <c r="B9" i="21" s="1"/>
  <c r="BP10" i="21"/>
  <c r="CA10" i="21" s="1"/>
  <c r="BR12" i="5"/>
  <c r="CC12" i="5" s="1"/>
  <c r="CN11" i="5"/>
  <c r="CY11" i="5" s="1"/>
  <c r="DJ11" i="5" s="1"/>
  <c r="D11" i="5" s="1"/>
  <c r="BV12" i="5"/>
  <c r="CG12" i="5" s="1"/>
  <c r="CR11" i="5"/>
  <c r="DC11" i="5" s="1"/>
  <c r="DN11" i="5" s="1"/>
  <c r="H11" i="5" s="1"/>
  <c r="BQ11" i="21"/>
  <c r="CB11" i="21" s="1"/>
  <c r="CM10" i="21"/>
  <c r="CX10" i="21" s="1"/>
  <c r="DI10" i="21" s="1"/>
  <c r="C10" i="21" s="1"/>
  <c r="AJ12" i="21"/>
  <c r="BF12" i="21" s="1"/>
  <c r="CK10" i="21"/>
  <c r="BC11" i="21"/>
  <c r="AL14" i="5"/>
  <c r="BH14" i="5" s="1"/>
  <c r="BW13" i="5"/>
  <c r="CH13" i="5" s="1"/>
  <c r="CS12" i="5"/>
  <c r="DD12" i="5" s="1"/>
  <c r="DO12" i="5" s="1"/>
  <c r="I12" i="5" s="1"/>
  <c r="AP14" i="5"/>
  <c r="BL14" i="5" s="1"/>
  <c r="AW11" i="21"/>
  <c r="CN10" i="21"/>
  <c r="CY10" i="21" s="1"/>
  <c r="DJ10" i="21" s="1"/>
  <c r="D10" i="21" s="1"/>
  <c r="BR11" i="21"/>
  <c r="BV10" i="21"/>
  <c r="CR9" i="21"/>
  <c r="DC9" i="21" s="1"/>
  <c r="DN9" i="21" s="1"/>
  <c r="H9" i="21" s="1"/>
  <c r="BA9" i="21"/>
  <c r="CU11" i="5"/>
  <c r="DF11" i="5" s="1"/>
  <c r="DQ11" i="5" s="1"/>
  <c r="K11" i="5" s="1"/>
  <c r="BY12" i="5"/>
  <c r="CJ12" i="5" s="1"/>
  <c r="BX13" i="5"/>
  <c r="CI13" i="5" s="1"/>
  <c r="CT12" i="5"/>
  <c r="DE12" i="5" s="1"/>
  <c r="DP12" i="5" s="1"/>
  <c r="J12" i="5" s="1"/>
  <c r="BU12" i="21"/>
  <c r="CF12" i="21" s="1"/>
  <c r="CQ11" i="21"/>
  <c r="DB11" i="21" s="1"/>
  <c r="DM11" i="21" s="1"/>
  <c r="G11" i="21" s="1"/>
  <c r="CD11" i="21"/>
  <c r="AV15" i="5"/>
  <c r="BG15" i="5"/>
  <c r="AK11" i="21"/>
  <c r="BG11" i="21" s="1"/>
  <c r="CI10" i="21"/>
  <c r="BQ12" i="5"/>
  <c r="CB12" i="5" s="1"/>
  <c r="CM11" i="5"/>
  <c r="CX11" i="5" s="1"/>
  <c r="DI11" i="5" s="1"/>
  <c r="C11" i="5" s="1"/>
  <c r="AO10" i="21"/>
  <c r="BK10" i="21" s="1"/>
  <c r="CQ11" i="5"/>
  <c r="DB11" i="5" s="1"/>
  <c r="DM11" i="5" s="1"/>
  <c r="G11" i="5" s="1"/>
  <c r="BU12" i="5"/>
  <c r="CF12" i="5" s="1"/>
  <c r="B10" i="5"/>
  <c r="BP11" i="5"/>
  <c r="CA11" i="5" s="1"/>
  <c r="CL11" i="5" s="1"/>
  <c r="CW11" i="5" s="1"/>
  <c r="DH11" i="5" s="1"/>
  <c r="AI13" i="5"/>
  <c r="BE13" i="5" s="1"/>
  <c r="AZ13" i="5" l="1"/>
  <c r="CV10" i="5"/>
  <c r="DG10" i="5" s="1"/>
  <c r="DR10" i="5" s="1"/>
  <c r="L10" i="5" s="1"/>
  <c r="BC13" i="5"/>
  <c r="AR14" i="5" s="1"/>
  <c r="BN14" i="5" s="1"/>
  <c r="AT11" i="21"/>
  <c r="AI12" i="21" s="1"/>
  <c r="BE12" i="21" s="1"/>
  <c r="BD11" i="21"/>
  <c r="BA14" i="5"/>
  <c r="AP15" i="5" s="1"/>
  <c r="BL15" i="5" s="1"/>
  <c r="AU12" i="21"/>
  <c r="AJ13" i="21" s="1"/>
  <c r="BF13" i="21" s="1"/>
  <c r="AW14" i="5"/>
  <c r="AL15" i="5" s="1"/>
  <c r="BH15" i="5" s="1"/>
  <c r="AV11" i="21"/>
  <c r="AK12" i="21" s="1"/>
  <c r="BG12" i="21" s="1"/>
  <c r="BX14" i="5"/>
  <c r="CI14" i="5" s="1"/>
  <c r="CT13" i="5"/>
  <c r="DE13" i="5" s="1"/>
  <c r="DP13" i="5" s="1"/>
  <c r="J13" i="5" s="1"/>
  <c r="CL10" i="21"/>
  <c r="CW10" i="21" s="1"/>
  <c r="DH10" i="21" s="1"/>
  <c r="B10" i="21" s="1"/>
  <c r="BP11" i="21"/>
  <c r="CA11" i="21" s="1"/>
  <c r="CO12" i="5"/>
  <c r="CZ12" i="5" s="1"/>
  <c r="DK12" i="5" s="1"/>
  <c r="E12" i="5" s="1"/>
  <c r="BS13" i="5"/>
  <c r="CD13" i="5" s="1"/>
  <c r="BD11" i="5"/>
  <c r="AS12" i="5" s="1"/>
  <c r="BO11" i="5"/>
  <c r="CK11" i="5" s="1"/>
  <c r="CR12" i="5"/>
  <c r="DC12" i="5" s="1"/>
  <c r="DN12" i="5" s="1"/>
  <c r="H12" i="5" s="1"/>
  <c r="BV13" i="5"/>
  <c r="CG13" i="5" s="1"/>
  <c r="CT10" i="21"/>
  <c r="DE10" i="21" s="1"/>
  <c r="DP10" i="21" s="1"/>
  <c r="J10" i="21" s="1"/>
  <c r="BX11" i="21"/>
  <c r="CI11" i="21" s="1"/>
  <c r="AY13" i="21"/>
  <c r="BB11" i="21"/>
  <c r="CG10" i="21"/>
  <c r="AU15" i="5"/>
  <c r="BF15" i="5"/>
  <c r="AL12" i="21"/>
  <c r="BH12" i="21" s="1"/>
  <c r="AZ10" i="21"/>
  <c r="BW14" i="5"/>
  <c r="CH14" i="5" s="1"/>
  <c r="CS13" i="5"/>
  <c r="DD13" i="5" s="1"/>
  <c r="DO13" i="5" s="1"/>
  <c r="I13" i="5" s="1"/>
  <c r="CO11" i="21"/>
  <c r="CZ11" i="21" s="1"/>
  <c r="DK11" i="21" s="1"/>
  <c r="E11" i="21" s="1"/>
  <c r="BS12" i="21"/>
  <c r="BY12" i="21"/>
  <c r="CU11" i="21"/>
  <c r="DF11" i="21" s="1"/>
  <c r="DQ11" i="21" s="1"/>
  <c r="K11" i="21" s="1"/>
  <c r="AS12" i="21"/>
  <c r="BO12" i="21" s="1"/>
  <c r="AR12" i="21"/>
  <c r="BN12" i="21" s="1"/>
  <c r="CC11" i="21"/>
  <c r="BQ12" i="21"/>
  <c r="CB12" i="21" s="1"/>
  <c r="CM11" i="21"/>
  <c r="CX11" i="21" s="1"/>
  <c r="DI11" i="21" s="1"/>
  <c r="C11" i="21" s="1"/>
  <c r="CQ12" i="21"/>
  <c r="DB12" i="21" s="1"/>
  <c r="DM12" i="21" s="1"/>
  <c r="G12" i="21" s="1"/>
  <c r="BU13" i="21"/>
  <c r="CF13" i="21" s="1"/>
  <c r="BR13" i="5"/>
  <c r="CC13" i="5" s="1"/>
  <c r="CN12" i="5"/>
  <c r="CY12" i="5" s="1"/>
  <c r="DJ12" i="5" s="1"/>
  <c r="D12" i="5" s="1"/>
  <c r="AO14" i="5"/>
  <c r="BK14" i="5" s="1"/>
  <c r="BY13" i="5"/>
  <c r="CJ13" i="5" s="1"/>
  <c r="CU12" i="5"/>
  <c r="DF12" i="5" s="1"/>
  <c r="DQ12" i="5" s="1"/>
  <c r="K12" i="5" s="1"/>
  <c r="BQ13" i="5"/>
  <c r="CB13" i="5" s="1"/>
  <c r="CM12" i="5"/>
  <c r="CX12" i="5" s="1"/>
  <c r="DI12" i="5" s="1"/>
  <c r="C12" i="5" s="1"/>
  <c r="BZ11" i="21"/>
  <c r="CK11" i="21" s="1"/>
  <c r="CV10" i="21"/>
  <c r="DG10" i="21" s="1"/>
  <c r="DR10" i="21" s="1"/>
  <c r="L10" i="21" s="1"/>
  <c r="AP10" i="21"/>
  <c r="BL10" i="21" s="1"/>
  <c r="CH10" i="21" s="1"/>
  <c r="AK16" i="5"/>
  <c r="BG16" i="5" s="1"/>
  <c r="CQ12" i="5"/>
  <c r="DB12" i="5" s="1"/>
  <c r="DM12" i="5" s="1"/>
  <c r="G12" i="5" s="1"/>
  <c r="BU13" i="5"/>
  <c r="CF13" i="5" s="1"/>
  <c r="B11" i="5"/>
  <c r="BP12" i="5"/>
  <c r="CA12" i="5" s="1"/>
  <c r="CL12" i="5" s="1"/>
  <c r="CW12" i="5" s="1"/>
  <c r="DH12" i="5" s="1"/>
  <c r="AT13" i="5"/>
  <c r="AI14" i="5" s="1"/>
  <c r="BE14" i="5" s="1"/>
  <c r="BC14" i="5" l="1"/>
  <c r="AR15" i="5" s="1"/>
  <c r="AV16" i="5"/>
  <c r="AW15" i="5"/>
  <c r="BA15" i="5"/>
  <c r="AP16" i="5" s="1"/>
  <c r="BL16" i="5" s="1"/>
  <c r="AU13" i="21"/>
  <c r="CD12" i="21"/>
  <c r="BS13" i="21" s="1"/>
  <c r="AZ14" i="5"/>
  <c r="AO15" i="5" s="1"/>
  <c r="BK15" i="5" s="1"/>
  <c r="AV12" i="21"/>
  <c r="AK13" i="21" s="1"/>
  <c r="BG13" i="21" s="1"/>
  <c r="AW12" i="21"/>
  <c r="AL13" i="21" s="1"/>
  <c r="BH13" i="21" s="1"/>
  <c r="BZ12" i="5"/>
  <c r="CV11" i="5"/>
  <c r="DG11" i="5" s="1"/>
  <c r="DR11" i="5" s="1"/>
  <c r="L11" i="5" s="1"/>
  <c r="CS10" i="21"/>
  <c r="DD10" i="21" s="1"/>
  <c r="DO10" i="21" s="1"/>
  <c r="BW11" i="21"/>
  <c r="CM12" i="21"/>
  <c r="CX12" i="21" s="1"/>
  <c r="DI12" i="21" s="1"/>
  <c r="C12" i="21" s="1"/>
  <c r="BQ13" i="21"/>
  <c r="CB13" i="21" s="1"/>
  <c r="AN14" i="21"/>
  <c r="BJ14" i="21" s="1"/>
  <c r="CR13" i="5"/>
  <c r="DC13" i="5" s="1"/>
  <c r="DN13" i="5" s="1"/>
  <c r="H13" i="5" s="1"/>
  <c r="BV14" i="5"/>
  <c r="CG14" i="5" s="1"/>
  <c r="BS14" i="5"/>
  <c r="CD14" i="5" s="1"/>
  <c r="CO13" i="5"/>
  <c r="CZ13" i="5" s="1"/>
  <c r="DK13" i="5" s="1"/>
  <c r="E13" i="5" s="1"/>
  <c r="AJ14" i="21"/>
  <c r="BF14" i="21" s="1"/>
  <c r="AL16" i="5"/>
  <c r="BH16" i="5" s="1"/>
  <c r="AO11" i="21"/>
  <c r="BK11" i="21" s="1"/>
  <c r="CV11" i="21"/>
  <c r="DG11" i="21" s="1"/>
  <c r="DR11" i="21" s="1"/>
  <c r="L11" i="21" s="1"/>
  <c r="BZ12" i="21"/>
  <c r="CK12" i="21" s="1"/>
  <c r="BC12" i="21"/>
  <c r="CJ12" i="21"/>
  <c r="CL11" i="21"/>
  <c r="CW11" i="21" s="1"/>
  <c r="DH11" i="21" s="1"/>
  <c r="B11" i="21" s="1"/>
  <c r="BP12" i="21"/>
  <c r="CA12" i="21" s="1"/>
  <c r="BR12" i="21"/>
  <c r="CC12" i="21" s="1"/>
  <c r="CN11" i="21"/>
  <c r="CY11" i="21" s="1"/>
  <c r="DJ11" i="21" s="1"/>
  <c r="D11" i="21" s="1"/>
  <c r="BD12" i="5"/>
  <c r="AS13" i="5" s="1"/>
  <c r="BO12" i="5"/>
  <c r="BD12" i="21"/>
  <c r="CU13" i="5"/>
  <c r="DF13" i="5" s="1"/>
  <c r="DQ13" i="5" s="1"/>
  <c r="K13" i="5" s="1"/>
  <c r="BY14" i="5"/>
  <c r="CJ14" i="5" s="1"/>
  <c r="CR10" i="21"/>
  <c r="DC10" i="21" s="1"/>
  <c r="DN10" i="21" s="1"/>
  <c r="H10" i="21" s="1"/>
  <c r="BV11" i="21"/>
  <c r="BX12" i="21"/>
  <c r="CT11" i="21"/>
  <c r="DE11" i="21" s="1"/>
  <c r="DP11" i="21" s="1"/>
  <c r="J11" i="21" s="1"/>
  <c r="BA10" i="21"/>
  <c r="BC15" i="5"/>
  <c r="AR16" i="5" s="1"/>
  <c r="BN15" i="5"/>
  <c r="BR14" i="5"/>
  <c r="CC14" i="5" s="1"/>
  <c r="CN13" i="5"/>
  <c r="CY13" i="5" s="1"/>
  <c r="DJ13" i="5" s="1"/>
  <c r="D13" i="5" s="1"/>
  <c r="BX15" i="5"/>
  <c r="CI15" i="5" s="1"/>
  <c r="CT14" i="5"/>
  <c r="DE14" i="5" s="1"/>
  <c r="DP14" i="5" s="1"/>
  <c r="J14" i="5" s="1"/>
  <c r="BW15" i="5"/>
  <c r="CH15" i="5" s="1"/>
  <c r="CS14" i="5"/>
  <c r="DD14" i="5" s="1"/>
  <c r="DO14" i="5" s="1"/>
  <c r="I14" i="5" s="1"/>
  <c r="BQ14" i="5"/>
  <c r="CB14" i="5" s="1"/>
  <c r="CM13" i="5"/>
  <c r="CX13" i="5" s="1"/>
  <c r="DI13" i="5" s="1"/>
  <c r="C13" i="5" s="1"/>
  <c r="AJ16" i="5"/>
  <c r="BF16" i="5" s="1"/>
  <c r="BU14" i="5"/>
  <c r="CF14" i="5" s="1"/>
  <c r="CQ13" i="5"/>
  <c r="DB13" i="5" s="1"/>
  <c r="DM13" i="5" s="1"/>
  <c r="G13" i="5" s="1"/>
  <c r="BU14" i="21"/>
  <c r="CQ13" i="21"/>
  <c r="DB13" i="21" s="1"/>
  <c r="DM13" i="21" s="1"/>
  <c r="G13" i="21" s="1"/>
  <c r="AT12" i="21"/>
  <c r="AQ12" i="21"/>
  <c r="BM12" i="21" s="1"/>
  <c r="B12" i="5"/>
  <c r="BP13" i="5"/>
  <c r="CA13" i="5" s="1"/>
  <c r="AT14" i="5"/>
  <c r="AI15" i="5" s="1"/>
  <c r="BE15" i="5" s="1"/>
  <c r="BA16" i="5" l="1"/>
  <c r="AW16" i="5"/>
  <c r="AZ15" i="5"/>
  <c r="AO16" i="5" s="1"/>
  <c r="CO12" i="21"/>
  <c r="CZ12" i="21" s="1"/>
  <c r="DK12" i="21" s="1"/>
  <c r="E12" i="21" s="1"/>
  <c r="CG11" i="21"/>
  <c r="AY14" i="21"/>
  <c r="CF14" i="21"/>
  <c r="CQ14" i="21" s="1"/>
  <c r="DB14" i="21" s="1"/>
  <c r="DM14" i="21" s="1"/>
  <c r="G14" i="21" s="1"/>
  <c r="AZ11" i="21"/>
  <c r="AO12" i="21" s="1"/>
  <c r="BK12" i="21" s="1"/>
  <c r="AV13" i="21"/>
  <c r="AK14" i="21" s="1"/>
  <c r="BG14" i="21" s="1"/>
  <c r="AW13" i="21"/>
  <c r="AL14" i="21" s="1"/>
  <c r="BH14" i="21" s="1"/>
  <c r="CD13" i="21"/>
  <c r="BS14" i="21" s="1"/>
  <c r="CI12" i="21"/>
  <c r="BX13" i="21" s="1"/>
  <c r="BB12" i="21"/>
  <c r="AQ13" i="21" s="1"/>
  <c r="BM13" i="21" s="1"/>
  <c r="AU14" i="21"/>
  <c r="AJ15" i="21" s="1"/>
  <c r="BD13" i="5"/>
  <c r="AS14" i="5" s="1"/>
  <c r="BO13" i="5"/>
  <c r="CO14" i="5"/>
  <c r="CZ14" i="5" s="1"/>
  <c r="DK14" i="5" s="1"/>
  <c r="E14" i="5" s="1"/>
  <c r="BS15" i="5"/>
  <c r="CD15" i="5" s="1"/>
  <c r="BP13" i="21"/>
  <c r="CL12" i="21"/>
  <c r="CW12" i="21" s="1"/>
  <c r="DH12" i="21" s="1"/>
  <c r="B12" i="21" s="1"/>
  <c r="AN15" i="21"/>
  <c r="BJ15" i="21" s="1"/>
  <c r="BZ13" i="21"/>
  <c r="CV12" i="21"/>
  <c r="DG12" i="21" s="1"/>
  <c r="DR12" i="21" s="1"/>
  <c r="L12" i="21" s="1"/>
  <c r="BQ14" i="21"/>
  <c r="CB14" i="21" s="1"/>
  <c r="CM13" i="21"/>
  <c r="CX13" i="21" s="1"/>
  <c r="DI13" i="21" s="1"/>
  <c r="C13" i="21" s="1"/>
  <c r="CN14" i="5"/>
  <c r="CY14" i="5" s="1"/>
  <c r="DJ14" i="5" s="1"/>
  <c r="D14" i="5" s="1"/>
  <c r="BR15" i="5"/>
  <c r="CC15" i="5" s="1"/>
  <c r="BU15" i="5"/>
  <c r="CF15" i="5" s="1"/>
  <c r="CQ14" i="5"/>
  <c r="DB14" i="5" s="1"/>
  <c r="DM14" i="5" s="1"/>
  <c r="G14" i="5" s="1"/>
  <c r="AU16" i="5"/>
  <c r="BQ15" i="5"/>
  <c r="CB15" i="5" s="1"/>
  <c r="CM14" i="5"/>
  <c r="CX14" i="5" s="1"/>
  <c r="DI14" i="5" s="1"/>
  <c r="C14" i="5" s="1"/>
  <c r="AP11" i="21"/>
  <c r="BL11" i="21" s="1"/>
  <c r="CH11" i="21" s="1"/>
  <c r="AZ16" i="5"/>
  <c r="BK16" i="5"/>
  <c r="CT15" i="5"/>
  <c r="DE15" i="5" s="1"/>
  <c r="DP15" i="5" s="1"/>
  <c r="J15" i="5" s="1"/>
  <c r="BX16" i="5"/>
  <c r="CI16" i="5" s="1"/>
  <c r="BR13" i="21"/>
  <c r="CC13" i="21" s="1"/>
  <c r="CN12" i="21"/>
  <c r="CY12" i="21" s="1"/>
  <c r="DJ12" i="21" s="1"/>
  <c r="D12" i="21" s="1"/>
  <c r="CU12" i="21"/>
  <c r="DF12" i="21" s="1"/>
  <c r="DQ12" i="21" s="1"/>
  <c r="K12" i="21" s="1"/>
  <c r="BY13" i="21"/>
  <c r="BV12" i="21"/>
  <c r="CR11" i="21"/>
  <c r="DC11" i="21" s="1"/>
  <c r="DN11" i="21" s="1"/>
  <c r="H11" i="21" s="1"/>
  <c r="BY15" i="5"/>
  <c r="CJ15" i="5" s="1"/>
  <c r="CU14" i="5"/>
  <c r="DF14" i="5" s="1"/>
  <c r="DQ14" i="5" s="1"/>
  <c r="K14" i="5" s="1"/>
  <c r="AR13" i="21"/>
  <c r="BN13" i="21" s="1"/>
  <c r="BC16" i="5"/>
  <c r="BN16" i="5"/>
  <c r="BV15" i="5"/>
  <c r="CG15" i="5" s="1"/>
  <c r="CR14" i="5"/>
  <c r="DC14" i="5" s="1"/>
  <c r="DN14" i="5" s="1"/>
  <c r="H14" i="5" s="1"/>
  <c r="CS15" i="5"/>
  <c r="DD15" i="5" s="1"/>
  <c r="DO15" i="5" s="1"/>
  <c r="I15" i="5" s="1"/>
  <c r="BW16" i="5"/>
  <c r="CH16" i="5" s="1"/>
  <c r="AI13" i="21"/>
  <c r="BE13" i="21" s="1"/>
  <c r="AS13" i="21"/>
  <c r="BO13" i="21" s="1"/>
  <c r="CK12" i="5"/>
  <c r="CL13" i="5"/>
  <c r="CW13" i="5" s="1"/>
  <c r="BP14" i="5"/>
  <c r="CA14" i="5" s="1"/>
  <c r="BP15" i="5" s="1"/>
  <c r="CA15" i="5" s="1"/>
  <c r="AT15" i="5"/>
  <c r="AI16" i="5" s="1"/>
  <c r="BE16" i="5" s="1"/>
  <c r="CG12" i="21" l="1"/>
  <c r="CR12" i="21" s="1"/>
  <c r="DC12" i="21" s="1"/>
  <c r="DN12" i="21" s="1"/>
  <c r="H12" i="21" s="1"/>
  <c r="BU15" i="21"/>
  <c r="CO13" i="21"/>
  <c r="CZ13" i="21" s="1"/>
  <c r="DK13" i="21" s="1"/>
  <c r="E13" i="21" s="1"/>
  <c r="CT12" i="21"/>
  <c r="DE12" i="21" s="1"/>
  <c r="DP12" i="21" s="1"/>
  <c r="J12" i="21" s="1"/>
  <c r="AV14" i="21"/>
  <c r="CJ13" i="21"/>
  <c r="BY14" i="21" s="1"/>
  <c r="BF15" i="21"/>
  <c r="AU15" i="21"/>
  <c r="AJ16" i="21" s="1"/>
  <c r="BF16" i="21" s="1"/>
  <c r="BD13" i="21"/>
  <c r="AS14" i="21" s="1"/>
  <c r="BO14" i="21" s="1"/>
  <c r="BB13" i="21"/>
  <c r="AQ14" i="21" s="1"/>
  <c r="BM14" i="21" s="1"/>
  <c r="AT13" i="21"/>
  <c r="AI14" i="21" s="1"/>
  <c r="BE14" i="21" s="1"/>
  <c r="CD14" i="21"/>
  <c r="CO14" i="21" s="1"/>
  <c r="CZ14" i="21" s="1"/>
  <c r="DK14" i="21" s="1"/>
  <c r="E14" i="21" s="1"/>
  <c r="AY15" i="21"/>
  <c r="AN16" i="21" s="1"/>
  <c r="BJ16" i="21" s="1"/>
  <c r="AW14" i="21"/>
  <c r="AL15" i="21" s="1"/>
  <c r="BH15" i="21" s="1"/>
  <c r="CK13" i="21"/>
  <c r="BZ14" i="21" s="1"/>
  <c r="BW12" i="21"/>
  <c r="CS11" i="21"/>
  <c r="DD11" i="21" s="1"/>
  <c r="DO11" i="21" s="1"/>
  <c r="BA11" i="21"/>
  <c r="CV12" i="5"/>
  <c r="DG12" i="5" s="1"/>
  <c r="DR12" i="5" s="1"/>
  <c r="L12" i="5" s="1"/>
  <c r="BZ13" i="5"/>
  <c r="CK13" i="5" s="1"/>
  <c r="CA13" i="21"/>
  <c r="BW17" i="5"/>
  <c r="CH17" i="5" s="1"/>
  <c r="CS16" i="5"/>
  <c r="DD16" i="5" s="1"/>
  <c r="DO16" i="5" s="1"/>
  <c r="I16" i="5" s="1"/>
  <c r="CO15" i="5"/>
  <c r="CZ15" i="5" s="1"/>
  <c r="DK15" i="5" s="1"/>
  <c r="E15" i="5" s="1"/>
  <c r="BS16" i="5"/>
  <c r="CD16" i="5" s="1"/>
  <c r="CI13" i="21"/>
  <c r="CM15" i="5"/>
  <c r="CX15" i="5" s="1"/>
  <c r="DI15" i="5" s="1"/>
  <c r="C15" i="5" s="1"/>
  <c r="BQ16" i="5"/>
  <c r="CB16" i="5" s="1"/>
  <c r="CN13" i="21"/>
  <c r="CY13" i="21" s="1"/>
  <c r="DJ13" i="21" s="1"/>
  <c r="D13" i="21" s="1"/>
  <c r="BR14" i="21"/>
  <c r="CC14" i="21" s="1"/>
  <c r="CQ15" i="5"/>
  <c r="DB15" i="5" s="1"/>
  <c r="DM15" i="5" s="1"/>
  <c r="G15" i="5" s="1"/>
  <c r="BU16" i="5"/>
  <c r="CF16" i="5" s="1"/>
  <c r="BV16" i="5"/>
  <c r="CG16" i="5" s="1"/>
  <c r="CR15" i="5"/>
  <c r="DC15" i="5" s="1"/>
  <c r="DN15" i="5" s="1"/>
  <c r="H15" i="5" s="1"/>
  <c r="BC13" i="21"/>
  <c r="CN15" i="5"/>
  <c r="CY15" i="5" s="1"/>
  <c r="DJ15" i="5" s="1"/>
  <c r="D15" i="5" s="1"/>
  <c r="BR16" i="5"/>
  <c r="CC16" i="5" s="1"/>
  <c r="BD14" i="5"/>
  <c r="AS15" i="5" s="1"/>
  <c r="BO14" i="5"/>
  <c r="AZ12" i="21"/>
  <c r="CF15" i="21"/>
  <c r="AK15" i="21"/>
  <c r="BG15" i="21" s="1"/>
  <c r="BY16" i="5"/>
  <c r="CJ16" i="5" s="1"/>
  <c r="CU15" i="5"/>
  <c r="DF15" i="5" s="1"/>
  <c r="DQ15" i="5" s="1"/>
  <c r="K15" i="5" s="1"/>
  <c r="BX17" i="5"/>
  <c r="CI17" i="5" s="1"/>
  <c r="CT16" i="5"/>
  <c r="DE16" i="5" s="1"/>
  <c r="DP16" i="5" s="1"/>
  <c r="J16" i="5" s="1"/>
  <c r="CM14" i="21"/>
  <c r="CX14" i="21" s="1"/>
  <c r="DI14" i="21" s="1"/>
  <c r="C14" i="21" s="1"/>
  <c r="BQ15" i="21"/>
  <c r="DH13" i="5"/>
  <c r="B13" i="5" s="1"/>
  <c r="CL15" i="5"/>
  <c r="CW15" i="5" s="1"/>
  <c r="DH15" i="5" s="1"/>
  <c r="CL14" i="5"/>
  <c r="CW14" i="5" s="1"/>
  <c r="AT16" i="5"/>
  <c r="BP16" i="5"/>
  <c r="CA16" i="5" s="1"/>
  <c r="BV13" i="21" l="1"/>
  <c r="CU13" i="21"/>
  <c r="DF13" i="21" s="1"/>
  <c r="DQ13" i="21" s="1"/>
  <c r="K13" i="21" s="1"/>
  <c r="BS15" i="21"/>
  <c r="CB15" i="21"/>
  <c r="AW15" i="21"/>
  <c r="AL16" i="21" s="1"/>
  <c r="BH16" i="21" s="1"/>
  <c r="AV15" i="21"/>
  <c r="AK16" i="21" s="1"/>
  <c r="BG16" i="21" s="1"/>
  <c r="AU16" i="21"/>
  <c r="CV13" i="21"/>
  <c r="DG13" i="21" s="1"/>
  <c r="DR13" i="21" s="1"/>
  <c r="L13" i="21" s="1"/>
  <c r="AT14" i="21"/>
  <c r="AI15" i="21" s="1"/>
  <c r="BE15" i="21" s="1"/>
  <c r="BB14" i="21"/>
  <c r="AQ15" i="21" s="1"/>
  <c r="BM15" i="21" s="1"/>
  <c r="CK14" i="21"/>
  <c r="CV14" i="21" s="1"/>
  <c r="DG14" i="21" s="1"/>
  <c r="DR14" i="21" s="1"/>
  <c r="BD14" i="21"/>
  <c r="AS15" i="21" s="1"/>
  <c r="BO15" i="21" s="1"/>
  <c r="BV17" i="5"/>
  <c r="CG17" i="5" s="1"/>
  <c r="CR16" i="5"/>
  <c r="DC16" i="5" s="1"/>
  <c r="DN16" i="5" s="1"/>
  <c r="H16" i="5" s="1"/>
  <c r="BU16" i="21"/>
  <c r="CF16" i="21" s="1"/>
  <c r="CQ15" i="21"/>
  <c r="DB15" i="21" s="1"/>
  <c r="DM15" i="21" s="1"/>
  <c r="G15" i="21" s="1"/>
  <c r="BR15" i="21"/>
  <c r="CC15" i="21" s="1"/>
  <c r="CN14" i="21"/>
  <c r="CY14" i="21" s="1"/>
  <c r="DJ14" i="21" s="1"/>
  <c r="D14" i="21" s="1"/>
  <c r="BU17" i="5"/>
  <c r="CF17" i="5" s="1"/>
  <c r="CQ16" i="5"/>
  <c r="DB16" i="5" s="1"/>
  <c r="DM16" i="5" s="1"/>
  <c r="G16" i="5" s="1"/>
  <c r="BW18" i="5"/>
  <c r="CH18" i="5" s="1"/>
  <c r="CS17" i="5"/>
  <c r="DD17" i="5" s="1"/>
  <c r="DO17" i="5" s="1"/>
  <c r="I17" i="5" s="1"/>
  <c r="AO13" i="21"/>
  <c r="BK13" i="21" s="1"/>
  <c r="CG13" i="21" s="1"/>
  <c r="BZ14" i="5"/>
  <c r="CK14" i="5" s="1"/>
  <c r="CV13" i="5"/>
  <c r="DG13" i="5" s="1"/>
  <c r="DR13" i="5" s="1"/>
  <c r="L13" i="5" s="1"/>
  <c r="BD15" i="5"/>
  <c r="AS16" i="5" s="1"/>
  <c r="BO15" i="5"/>
  <c r="BX14" i="21"/>
  <c r="CI14" i="21" s="1"/>
  <c r="CT13" i="21"/>
  <c r="DE13" i="21" s="1"/>
  <c r="DP13" i="21" s="1"/>
  <c r="J13" i="21" s="1"/>
  <c r="AP12" i="21"/>
  <c r="BL12" i="21" s="1"/>
  <c r="CH12" i="21" s="1"/>
  <c r="CL13" i="21"/>
  <c r="CW13" i="21" s="1"/>
  <c r="DH13" i="21" s="1"/>
  <c r="B13" i="21" s="1"/>
  <c r="BP14" i="21"/>
  <c r="CA14" i="21" s="1"/>
  <c r="BQ16" i="21"/>
  <c r="CB16" i="21" s="1"/>
  <c r="CM15" i="21"/>
  <c r="CX15" i="21" s="1"/>
  <c r="DI15" i="21" s="1"/>
  <c r="C15" i="21" s="1"/>
  <c r="CT17" i="5"/>
  <c r="DE17" i="5" s="1"/>
  <c r="DP17" i="5" s="1"/>
  <c r="J17" i="5" s="1"/>
  <c r="BX18" i="5"/>
  <c r="CI18" i="5" s="1"/>
  <c r="CM16" i="5"/>
  <c r="CX16" i="5" s="1"/>
  <c r="DI16" i="5" s="1"/>
  <c r="C16" i="5" s="1"/>
  <c r="BQ17" i="5"/>
  <c r="CB17" i="5" s="1"/>
  <c r="AY16" i="21"/>
  <c r="BR17" i="5"/>
  <c r="CC17" i="5" s="1"/>
  <c r="CN16" i="5"/>
  <c r="CY16" i="5" s="1"/>
  <c r="DJ16" i="5" s="1"/>
  <c r="D16" i="5" s="1"/>
  <c r="BS17" i="5"/>
  <c r="CD17" i="5" s="1"/>
  <c r="CO16" i="5"/>
  <c r="CZ16" i="5" s="1"/>
  <c r="DK16" i="5" s="1"/>
  <c r="E16" i="5" s="1"/>
  <c r="AR14" i="21"/>
  <c r="BN14" i="21" s="1"/>
  <c r="CJ14" i="21" s="1"/>
  <c r="CD15" i="21"/>
  <c r="BY17" i="5"/>
  <c r="CJ17" i="5" s="1"/>
  <c r="CU16" i="5"/>
  <c r="DF16" i="5" s="1"/>
  <c r="DQ16" i="5" s="1"/>
  <c r="K16" i="5" s="1"/>
  <c r="DH14" i="5"/>
  <c r="B14" i="5" s="1"/>
  <c r="B15" i="5" s="1"/>
  <c r="CL16" i="5"/>
  <c r="CW16" i="5" s="1"/>
  <c r="BP17" i="5"/>
  <c r="CA17" i="5" s="1"/>
  <c r="L14" i="21" l="1"/>
  <c r="BZ15" i="21"/>
  <c r="CK15" i="21" s="1"/>
  <c r="BB15" i="21"/>
  <c r="AV16" i="21"/>
  <c r="BD15" i="21"/>
  <c r="AS16" i="21" s="1"/>
  <c r="BA12" i="21"/>
  <c r="AP13" i="21" s="1"/>
  <c r="BL13" i="21" s="1"/>
  <c r="AZ13" i="21"/>
  <c r="AO14" i="21" s="1"/>
  <c r="BK14" i="21" s="1"/>
  <c r="BC14" i="21"/>
  <c r="AR15" i="21" s="1"/>
  <c r="BN15" i="21" s="1"/>
  <c r="AW16" i="21"/>
  <c r="CS12" i="21"/>
  <c r="DD12" i="21" s="1"/>
  <c r="DO12" i="21" s="1"/>
  <c r="BW13" i="21"/>
  <c r="BV14" i="21"/>
  <c r="CR13" i="21"/>
  <c r="DC13" i="21" s="1"/>
  <c r="DN13" i="21" s="1"/>
  <c r="H13" i="21" s="1"/>
  <c r="BU18" i="5"/>
  <c r="CF18" i="5" s="1"/>
  <c r="CQ17" i="5"/>
  <c r="DB17" i="5" s="1"/>
  <c r="DM17" i="5" s="1"/>
  <c r="G17" i="5" s="1"/>
  <c r="CO17" i="5"/>
  <c r="CZ17" i="5" s="1"/>
  <c r="DK17" i="5" s="1"/>
  <c r="E17" i="5" s="1"/>
  <c r="BS18" i="5"/>
  <c r="CD18" i="5" s="1"/>
  <c r="BR18" i="5"/>
  <c r="CC18" i="5" s="1"/>
  <c r="CN17" i="5"/>
  <c r="CY17" i="5" s="1"/>
  <c r="DJ17" i="5" s="1"/>
  <c r="D17" i="5" s="1"/>
  <c r="BP15" i="21"/>
  <c r="CA15" i="21" s="1"/>
  <c r="CL14" i="21"/>
  <c r="CW14" i="21" s="1"/>
  <c r="DH14" i="21" s="1"/>
  <c r="B14" i="21" s="1"/>
  <c r="AQ16" i="21"/>
  <c r="BM16" i="21" s="1"/>
  <c r="BD16" i="5"/>
  <c r="BO16" i="5"/>
  <c r="CN15" i="21"/>
  <c r="CY15" i="21" s="1"/>
  <c r="DJ15" i="21" s="1"/>
  <c r="D15" i="21" s="1"/>
  <c r="BR16" i="21"/>
  <c r="CC16" i="21" s="1"/>
  <c r="AT15" i="21"/>
  <c r="CM17" i="5"/>
  <c r="CX17" i="5" s="1"/>
  <c r="DI17" i="5" s="1"/>
  <c r="C17" i="5" s="1"/>
  <c r="BQ18" i="5"/>
  <c r="CB18" i="5" s="1"/>
  <c r="CT18" i="5"/>
  <c r="DE18" i="5" s="1"/>
  <c r="DP18" i="5" s="1"/>
  <c r="J18" i="5" s="1"/>
  <c r="BX19" i="5"/>
  <c r="CI19" i="5" s="1"/>
  <c r="BW19" i="5"/>
  <c r="CH19" i="5" s="1"/>
  <c r="CS18" i="5"/>
  <c r="DD18" i="5" s="1"/>
  <c r="DO18" i="5" s="1"/>
  <c r="I18" i="5" s="1"/>
  <c r="BY15" i="21"/>
  <c r="CU14" i="21"/>
  <c r="DF14" i="21" s="1"/>
  <c r="DQ14" i="21" s="1"/>
  <c r="K14" i="21" s="1"/>
  <c r="BS16" i="21"/>
  <c r="CD16" i="21" s="1"/>
  <c r="CO15" i="21"/>
  <c r="CZ15" i="21" s="1"/>
  <c r="DK15" i="21" s="1"/>
  <c r="E15" i="21" s="1"/>
  <c r="CM16" i="21"/>
  <c r="CX16" i="21" s="1"/>
  <c r="DI16" i="21" s="1"/>
  <c r="C16" i="21" s="1"/>
  <c r="BQ17" i="21"/>
  <c r="CB17" i="21" s="1"/>
  <c r="BZ15" i="5"/>
  <c r="CK15" i="5" s="1"/>
  <c r="CV14" i="5"/>
  <c r="DG14" i="5" s="1"/>
  <c r="DR14" i="5" s="1"/>
  <c r="L14" i="5" s="1"/>
  <c r="BU17" i="21"/>
  <c r="CF17" i="21" s="1"/>
  <c r="CQ16" i="21"/>
  <c r="DB16" i="21" s="1"/>
  <c r="DM16" i="21" s="1"/>
  <c r="G16" i="21" s="1"/>
  <c r="CU17" i="5"/>
  <c r="DF17" i="5" s="1"/>
  <c r="DQ17" i="5" s="1"/>
  <c r="K17" i="5" s="1"/>
  <c r="BY18" i="5"/>
  <c r="CJ18" i="5" s="1"/>
  <c r="BX15" i="21"/>
  <c r="CI15" i="21" s="1"/>
  <c r="CT14" i="21"/>
  <c r="DE14" i="21" s="1"/>
  <c r="DP14" i="21" s="1"/>
  <c r="J14" i="21" s="1"/>
  <c r="BV18" i="5"/>
  <c r="CG18" i="5" s="1"/>
  <c r="CR17" i="5"/>
  <c r="DC17" i="5" s="1"/>
  <c r="DN17" i="5" s="1"/>
  <c r="H17" i="5" s="1"/>
  <c r="DH16" i="5"/>
  <c r="B16" i="5" s="1"/>
  <c r="CL17" i="5"/>
  <c r="CW17" i="5" s="1"/>
  <c r="BP18" i="5"/>
  <c r="CA18" i="5" s="1"/>
  <c r="BO16" i="21" l="1"/>
  <c r="BD16" i="21"/>
  <c r="CJ15" i="21"/>
  <c r="BA13" i="21"/>
  <c r="AZ14" i="21"/>
  <c r="CO18" i="5"/>
  <c r="CZ18" i="5" s="1"/>
  <c r="DK18" i="5" s="1"/>
  <c r="E18" i="5" s="1"/>
  <c r="BS19" i="5"/>
  <c r="CD19" i="5" s="1"/>
  <c r="BY16" i="21"/>
  <c r="CU15" i="21"/>
  <c r="DF15" i="21" s="1"/>
  <c r="DQ15" i="21" s="1"/>
  <c r="K15" i="21" s="1"/>
  <c r="BX16" i="21"/>
  <c r="CI16" i="21" s="1"/>
  <c r="CT15" i="21"/>
  <c r="DE15" i="21" s="1"/>
  <c r="DP15" i="21" s="1"/>
  <c r="J15" i="21" s="1"/>
  <c r="AP14" i="21"/>
  <c r="BL14" i="21" s="1"/>
  <c r="CM18" i="5"/>
  <c r="CX18" i="5" s="1"/>
  <c r="DI18" i="5" s="1"/>
  <c r="C18" i="5" s="1"/>
  <c r="BQ19" i="5"/>
  <c r="CB19" i="5" s="1"/>
  <c r="CQ18" i="5"/>
  <c r="DB18" i="5" s="1"/>
  <c r="DM18" i="5" s="1"/>
  <c r="G18" i="5" s="1"/>
  <c r="BU19" i="5"/>
  <c r="CF19" i="5" s="1"/>
  <c r="BS17" i="21"/>
  <c r="CD17" i="21" s="1"/>
  <c r="CO16" i="21"/>
  <c r="CZ16" i="21" s="1"/>
  <c r="DK16" i="21" s="1"/>
  <c r="E16" i="21" s="1"/>
  <c r="BB16" i="21"/>
  <c r="BP16" i="21"/>
  <c r="CL15" i="21"/>
  <c r="CW15" i="21" s="1"/>
  <c r="DH15" i="21" s="1"/>
  <c r="B15" i="21" s="1"/>
  <c r="CN18" i="5"/>
  <c r="CY18" i="5" s="1"/>
  <c r="DJ18" i="5" s="1"/>
  <c r="D18" i="5" s="1"/>
  <c r="BR19" i="5"/>
  <c r="CC19" i="5" s="1"/>
  <c r="CU18" i="5"/>
  <c r="DF18" i="5" s="1"/>
  <c r="DQ18" i="5" s="1"/>
  <c r="K18" i="5" s="1"/>
  <c r="BY19" i="5"/>
  <c r="CJ19" i="5" s="1"/>
  <c r="BU18" i="21"/>
  <c r="CF18" i="21" s="1"/>
  <c r="CQ17" i="21"/>
  <c r="DB17" i="21" s="1"/>
  <c r="DM17" i="21" s="1"/>
  <c r="G17" i="21" s="1"/>
  <c r="BW20" i="5"/>
  <c r="CH20" i="5" s="1"/>
  <c r="CS19" i="5"/>
  <c r="DD19" i="5" s="1"/>
  <c r="DO19" i="5" s="1"/>
  <c r="I19" i="5" s="1"/>
  <c r="AI16" i="21"/>
  <c r="BE16" i="21" s="1"/>
  <c r="CG14" i="21"/>
  <c r="BV19" i="5"/>
  <c r="CG19" i="5" s="1"/>
  <c r="CR18" i="5"/>
  <c r="DC18" i="5" s="1"/>
  <c r="DN18" i="5" s="1"/>
  <c r="H18" i="5" s="1"/>
  <c r="BC15" i="21"/>
  <c r="CV15" i="5"/>
  <c r="DG15" i="5" s="1"/>
  <c r="DR15" i="5" s="1"/>
  <c r="L15" i="5" s="1"/>
  <c r="BZ16" i="5"/>
  <c r="CK16" i="5" s="1"/>
  <c r="BR17" i="21"/>
  <c r="CC17" i="21" s="1"/>
  <c r="CN16" i="21"/>
  <c r="CY16" i="21" s="1"/>
  <c r="DJ16" i="21" s="1"/>
  <c r="D16" i="21" s="1"/>
  <c r="CH13" i="21"/>
  <c r="CT19" i="5"/>
  <c r="DE19" i="5" s="1"/>
  <c r="DP19" i="5" s="1"/>
  <c r="J19" i="5" s="1"/>
  <c r="BX20" i="5"/>
  <c r="CI20" i="5" s="1"/>
  <c r="CV15" i="21"/>
  <c r="DG15" i="21" s="1"/>
  <c r="DR15" i="21" s="1"/>
  <c r="L15" i="21" s="1"/>
  <c r="BZ16" i="21"/>
  <c r="CK16" i="21" s="1"/>
  <c r="BQ18" i="21"/>
  <c r="CB18" i="21" s="1"/>
  <c r="CM17" i="21"/>
  <c r="CX17" i="21" s="1"/>
  <c r="DI17" i="21" s="1"/>
  <c r="C17" i="21" s="1"/>
  <c r="DH17" i="5"/>
  <c r="B17" i="5" s="1"/>
  <c r="CL18" i="5"/>
  <c r="CW18" i="5" s="1"/>
  <c r="BP19" i="5"/>
  <c r="CA19" i="5" s="1"/>
  <c r="AT16" i="21" l="1"/>
  <c r="CO17" i="21"/>
  <c r="CZ17" i="21" s="1"/>
  <c r="DK17" i="21" s="1"/>
  <c r="E17" i="21" s="1"/>
  <c r="BS18" i="21"/>
  <c r="CD18" i="21" s="1"/>
  <c r="CR14" i="21"/>
  <c r="DC14" i="21" s="1"/>
  <c r="DN14" i="21" s="1"/>
  <c r="H14" i="21" s="1"/>
  <c r="BV15" i="21"/>
  <c r="BX17" i="21"/>
  <c r="CI17" i="21" s="1"/>
  <c r="CT16" i="21"/>
  <c r="DE16" i="21" s="1"/>
  <c r="DP16" i="21" s="1"/>
  <c r="J16" i="21" s="1"/>
  <c r="CR19" i="5"/>
  <c r="DC19" i="5" s="1"/>
  <c r="DN19" i="5" s="1"/>
  <c r="H19" i="5" s="1"/>
  <c r="BV20" i="5"/>
  <c r="CG20" i="5" s="1"/>
  <c r="BX21" i="5"/>
  <c r="CI21" i="5" s="1"/>
  <c r="CT20" i="5"/>
  <c r="DE20" i="5" s="1"/>
  <c r="DP20" i="5" s="1"/>
  <c r="J20" i="5" s="1"/>
  <c r="BY20" i="5"/>
  <c r="CJ20" i="5" s="1"/>
  <c r="CU19" i="5"/>
  <c r="DF19" i="5" s="1"/>
  <c r="DQ19" i="5" s="1"/>
  <c r="K19" i="5" s="1"/>
  <c r="BU20" i="5"/>
  <c r="CF20" i="5" s="1"/>
  <c r="CQ19" i="5"/>
  <c r="DB19" i="5" s="1"/>
  <c r="DM19" i="5" s="1"/>
  <c r="G19" i="5" s="1"/>
  <c r="BZ17" i="21"/>
  <c r="CK17" i="21" s="1"/>
  <c r="CV16" i="21"/>
  <c r="DG16" i="21" s="1"/>
  <c r="DR16" i="21" s="1"/>
  <c r="L16" i="21" s="1"/>
  <c r="CM19" i="5"/>
  <c r="CX19" i="5" s="1"/>
  <c r="DI19" i="5" s="1"/>
  <c r="C19" i="5" s="1"/>
  <c r="BQ20" i="5"/>
  <c r="CB20" i="5" s="1"/>
  <c r="CS13" i="21"/>
  <c r="DD13" i="21" s="1"/>
  <c r="DO13" i="21" s="1"/>
  <c r="BW14" i="21"/>
  <c r="CH14" i="21" s="1"/>
  <c r="BZ17" i="5"/>
  <c r="CK17" i="5" s="1"/>
  <c r="CV16" i="5"/>
  <c r="DG16" i="5" s="1"/>
  <c r="DR16" i="5" s="1"/>
  <c r="L16" i="5" s="1"/>
  <c r="CO19" i="5"/>
  <c r="CZ19" i="5" s="1"/>
  <c r="DK19" i="5" s="1"/>
  <c r="E19" i="5" s="1"/>
  <c r="BS20" i="5"/>
  <c r="CD20" i="5" s="1"/>
  <c r="BA14" i="21"/>
  <c r="CA16" i="21"/>
  <c r="CM18" i="21"/>
  <c r="CX18" i="21" s="1"/>
  <c r="DI18" i="21" s="1"/>
  <c r="C18" i="21" s="1"/>
  <c r="BQ19" i="21"/>
  <c r="CB19" i="21" s="1"/>
  <c r="BW21" i="5"/>
  <c r="CH21" i="5" s="1"/>
  <c r="CS20" i="5"/>
  <c r="DD20" i="5" s="1"/>
  <c r="DO20" i="5" s="1"/>
  <c r="I20" i="5" s="1"/>
  <c r="CQ18" i="21"/>
  <c r="DB18" i="21" s="1"/>
  <c r="DM18" i="21" s="1"/>
  <c r="G18" i="21" s="1"/>
  <c r="BU19" i="21"/>
  <c r="CF19" i="21" s="1"/>
  <c r="BR20" i="5"/>
  <c r="CC20" i="5" s="1"/>
  <c r="CN19" i="5"/>
  <c r="CY19" i="5" s="1"/>
  <c r="DJ19" i="5" s="1"/>
  <c r="D19" i="5" s="1"/>
  <c r="BR18" i="21"/>
  <c r="CC18" i="21" s="1"/>
  <c r="CN17" i="21"/>
  <c r="CY17" i="21" s="1"/>
  <c r="DJ17" i="21" s="1"/>
  <c r="D17" i="21" s="1"/>
  <c r="AR16" i="21"/>
  <c r="BN16" i="21" s="1"/>
  <c r="CJ16" i="21" s="1"/>
  <c r="AO15" i="21"/>
  <c r="BK15" i="21" s="1"/>
  <c r="DH18" i="5"/>
  <c r="B18" i="5" s="1"/>
  <c r="CL19" i="5"/>
  <c r="CW19" i="5" s="1"/>
  <c r="BP20" i="5"/>
  <c r="CA20" i="5" s="1"/>
  <c r="BC16" i="21" l="1"/>
  <c r="AZ15" i="21"/>
  <c r="BY17" i="21"/>
  <c r="CJ17" i="21" s="1"/>
  <c r="CU16" i="21"/>
  <c r="DF16" i="21" s="1"/>
  <c r="DQ16" i="21" s="1"/>
  <c r="K16" i="21" s="1"/>
  <c r="CL16" i="21"/>
  <c r="CW16" i="21" s="1"/>
  <c r="DH16" i="21" s="1"/>
  <c r="B16" i="21" s="1"/>
  <c r="BP17" i="21"/>
  <c r="CA17" i="21" s="1"/>
  <c r="CS21" i="5"/>
  <c r="DD21" i="5" s="1"/>
  <c r="DO21" i="5" s="1"/>
  <c r="I21" i="5" s="1"/>
  <c r="BW22" i="5"/>
  <c r="CH22" i="5" s="1"/>
  <c r="BS21" i="5"/>
  <c r="CD21" i="5" s="1"/>
  <c r="CO20" i="5"/>
  <c r="CZ20" i="5" s="1"/>
  <c r="DK20" i="5" s="1"/>
  <c r="E20" i="5" s="1"/>
  <c r="AP15" i="21"/>
  <c r="BL15" i="21" s="1"/>
  <c r="AO16" i="21"/>
  <c r="BK16" i="21" s="1"/>
  <c r="BX18" i="21"/>
  <c r="CI18" i="21" s="1"/>
  <c r="CT17" i="21"/>
  <c r="DE17" i="21" s="1"/>
  <c r="DP17" i="21" s="1"/>
  <c r="J17" i="21" s="1"/>
  <c r="BQ20" i="21"/>
  <c r="CB20" i="21" s="1"/>
  <c r="CM19" i="21"/>
  <c r="CX19" i="21" s="1"/>
  <c r="DI19" i="21" s="1"/>
  <c r="C19" i="21" s="1"/>
  <c r="BV21" i="5"/>
  <c r="CG21" i="5" s="1"/>
  <c r="CR20" i="5"/>
  <c r="DC20" i="5" s="1"/>
  <c r="DN20" i="5" s="1"/>
  <c r="H20" i="5" s="1"/>
  <c r="BW15" i="21"/>
  <c r="CS14" i="21"/>
  <c r="DD14" i="21" s="1"/>
  <c r="DO14" i="21" s="1"/>
  <c r="CM20" i="5"/>
  <c r="CX20" i="5" s="1"/>
  <c r="DI20" i="5" s="1"/>
  <c r="C20" i="5" s="1"/>
  <c r="BQ21" i="5"/>
  <c r="CB21" i="5" s="1"/>
  <c r="CG15" i="21"/>
  <c r="CV17" i="21"/>
  <c r="DG17" i="21" s="1"/>
  <c r="DR17" i="21" s="1"/>
  <c r="L17" i="21" s="1"/>
  <c r="BZ18" i="21"/>
  <c r="CK18" i="21" s="1"/>
  <c r="BY21" i="5"/>
  <c r="CJ21" i="5" s="1"/>
  <c r="CU20" i="5"/>
  <c r="DF20" i="5" s="1"/>
  <c r="DQ20" i="5" s="1"/>
  <c r="K20" i="5" s="1"/>
  <c r="CT21" i="5"/>
  <c r="DE21" i="5" s="1"/>
  <c r="DP21" i="5" s="1"/>
  <c r="J21" i="5" s="1"/>
  <c r="BX22" i="5"/>
  <c r="CI22" i="5" s="1"/>
  <c r="BZ18" i="5"/>
  <c r="CK18" i="5" s="1"/>
  <c r="CV17" i="5"/>
  <c r="DG17" i="5" s="1"/>
  <c r="DR17" i="5" s="1"/>
  <c r="L17" i="5" s="1"/>
  <c r="CN18" i="21"/>
  <c r="CY18" i="21" s="1"/>
  <c r="DJ18" i="21" s="1"/>
  <c r="D18" i="21" s="1"/>
  <c r="BR19" i="21"/>
  <c r="CC19" i="21" s="1"/>
  <c r="BU21" i="5"/>
  <c r="CF21" i="5" s="1"/>
  <c r="CQ20" i="5"/>
  <c r="DB20" i="5" s="1"/>
  <c r="DM20" i="5" s="1"/>
  <c r="G20" i="5" s="1"/>
  <c r="CN20" i="5"/>
  <c r="CY20" i="5" s="1"/>
  <c r="DJ20" i="5" s="1"/>
  <c r="D20" i="5" s="1"/>
  <c r="BR21" i="5"/>
  <c r="CC21" i="5" s="1"/>
  <c r="BU20" i="21"/>
  <c r="CF20" i="21" s="1"/>
  <c r="CQ19" i="21"/>
  <c r="DB19" i="21" s="1"/>
  <c r="DM19" i="21" s="1"/>
  <c r="G19" i="21" s="1"/>
  <c r="BS19" i="21"/>
  <c r="CD19" i="21" s="1"/>
  <c r="CO18" i="21"/>
  <c r="CZ18" i="21" s="1"/>
  <c r="DK18" i="21" s="1"/>
  <c r="E18" i="21" s="1"/>
  <c r="DH19" i="5"/>
  <c r="B19" i="5" s="1"/>
  <c r="CL20" i="5"/>
  <c r="CW20" i="5" s="1"/>
  <c r="BP21" i="5"/>
  <c r="CA21" i="5" s="1"/>
  <c r="BA15" i="21" l="1"/>
  <c r="AZ16" i="21"/>
  <c r="CT22" i="5"/>
  <c r="DE22" i="5" s="1"/>
  <c r="DP22" i="5" s="1"/>
  <c r="J22" i="5" s="1"/>
  <c r="BX23" i="5"/>
  <c r="CI23" i="5" s="1"/>
  <c r="AP16" i="21"/>
  <c r="BL16" i="21" s="1"/>
  <c r="BX19" i="21"/>
  <c r="CI19" i="21" s="1"/>
  <c r="CT18" i="21"/>
  <c r="DE18" i="21" s="1"/>
  <c r="DP18" i="21" s="1"/>
  <c r="J18" i="21" s="1"/>
  <c r="BS22" i="5"/>
  <c r="CD22" i="5" s="1"/>
  <c r="CO21" i="5"/>
  <c r="CZ21" i="5" s="1"/>
  <c r="DK21" i="5" s="1"/>
  <c r="E21" i="5" s="1"/>
  <c r="BW23" i="5"/>
  <c r="CH23" i="5" s="1"/>
  <c r="CS22" i="5"/>
  <c r="DD22" i="5" s="1"/>
  <c r="DO22" i="5" s="1"/>
  <c r="I22" i="5" s="1"/>
  <c r="BZ19" i="5"/>
  <c r="CK19" i="5" s="1"/>
  <c r="CV18" i="5"/>
  <c r="DG18" i="5" s="1"/>
  <c r="DR18" i="5" s="1"/>
  <c r="L18" i="5" s="1"/>
  <c r="BZ19" i="21"/>
  <c r="CK19" i="21" s="1"/>
  <c r="CV18" i="21"/>
  <c r="DG18" i="21" s="1"/>
  <c r="DR18" i="21" s="1"/>
  <c r="L18" i="21" s="1"/>
  <c r="CH15" i="21"/>
  <c r="CL17" i="21"/>
  <c r="CW17" i="21" s="1"/>
  <c r="DH17" i="21" s="1"/>
  <c r="B17" i="21" s="1"/>
  <c r="BP18" i="21"/>
  <c r="CA18" i="21" s="1"/>
  <c r="BQ21" i="21"/>
  <c r="CB21" i="21" s="1"/>
  <c r="CM20" i="21"/>
  <c r="CX20" i="21" s="1"/>
  <c r="DI20" i="21" s="1"/>
  <c r="C20" i="21" s="1"/>
  <c r="CU21" i="5"/>
  <c r="DF21" i="5" s="1"/>
  <c r="DQ21" i="5" s="1"/>
  <c r="K21" i="5" s="1"/>
  <c r="BY22" i="5"/>
  <c r="CJ22" i="5" s="1"/>
  <c r="BS20" i="21"/>
  <c r="CD20" i="21" s="1"/>
  <c r="CO19" i="21"/>
  <c r="CZ19" i="21" s="1"/>
  <c r="DK19" i="21" s="1"/>
  <c r="E19" i="21" s="1"/>
  <c r="CR15" i="21"/>
  <c r="DC15" i="21" s="1"/>
  <c r="DN15" i="21" s="1"/>
  <c r="H15" i="21" s="1"/>
  <c r="BV16" i="21"/>
  <c r="CG16" i="21" s="1"/>
  <c r="CQ20" i="21"/>
  <c r="DB20" i="21" s="1"/>
  <c r="DM20" i="21" s="1"/>
  <c r="G20" i="21" s="1"/>
  <c r="BU21" i="21"/>
  <c r="CF21" i="21" s="1"/>
  <c r="BR22" i="5"/>
  <c r="CC22" i="5" s="1"/>
  <c r="CN21" i="5"/>
  <c r="CY21" i="5" s="1"/>
  <c r="DJ21" i="5" s="1"/>
  <c r="D21" i="5" s="1"/>
  <c r="BR20" i="21"/>
  <c r="CC20" i="21" s="1"/>
  <c r="CN19" i="21"/>
  <c r="CY19" i="21" s="1"/>
  <c r="DJ19" i="21" s="1"/>
  <c r="D19" i="21" s="1"/>
  <c r="CR21" i="5"/>
  <c r="DC21" i="5" s="1"/>
  <c r="DN21" i="5" s="1"/>
  <c r="H21" i="5" s="1"/>
  <c r="BV22" i="5"/>
  <c r="CG22" i="5" s="1"/>
  <c r="BQ22" i="5"/>
  <c r="CB22" i="5" s="1"/>
  <c r="CM21" i="5"/>
  <c r="CX21" i="5" s="1"/>
  <c r="DI21" i="5" s="1"/>
  <c r="C21" i="5" s="1"/>
  <c r="CQ21" i="5"/>
  <c r="DB21" i="5" s="1"/>
  <c r="DM21" i="5" s="1"/>
  <c r="G21" i="5" s="1"/>
  <c r="BU22" i="5"/>
  <c r="CF22" i="5" s="1"/>
  <c r="BY18" i="21"/>
  <c r="CJ18" i="21" s="1"/>
  <c r="CU17" i="21"/>
  <c r="DF17" i="21" s="1"/>
  <c r="DQ17" i="21" s="1"/>
  <c r="K17" i="21" s="1"/>
  <c r="DH20" i="5"/>
  <c r="B20" i="5" s="1"/>
  <c r="CL21" i="5"/>
  <c r="CW21" i="5" s="1"/>
  <c r="BP22" i="5"/>
  <c r="CA22" i="5" s="1"/>
  <c r="BR21" i="21" l="1"/>
  <c r="CC21" i="21" s="1"/>
  <c r="CN20" i="21"/>
  <c r="CY20" i="21" s="1"/>
  <c r="DJ20" i="21" s="1"/>
  <c r="D20" i="21" s="1"/>
  <c r="BR23" i="5"/>
  <c r="CC23" i="5" s="1"/>
  <c r="CN22" i="5"/>
  <c r="CY22" i="5" s="1"/>
  <c r="DJ22" i="5" s="1"/>
  <c r="D22" i="5" s="1"/>
  <c r="BZ20" i="5"/>
  <c r="CK20" i="5" s="1"/>
  <c r="CV19" i="5"/>
  <c r="DG19" i="5" s="1"/>
  <c r="DR19" i="5" s="1"/>
  <c r="L19" i="5" s="1"/>
  <c r="CT19" i="21"/>
  <c r="DE19" i="21" s="1"/>
  <c r="DP19" i="21" s="1"/>
  <c r="J19" i="21" s="1"/>
  <c r="BX20" i="21"/>
  <c r="CI20" i="21" s="1"/>
  <c r="BW16" i="21"/>
  <c r="CH16" i="21" s="1"/>
  <c r="CS15" i="21"/>
  <c r="DD15" i="21" s="1"/>
  <c r="DO15" i="21" s="1"/>
  <c r="CQ21" i="21"/>
  <c r="DB21" i="21" s="1"/>
  <c r="DM21" i="21" s="1"/>
  <c r="G21" i="21" s="1"/>
  <c r="BU22" i="21"/>
  <c r="CF22" i="21" s="1"/>
  <c r="BV17" i="21"/>
  <c r="CG17" i="21" s="1"/>
  <c r="CR16" i="21"/>
  <c r="DC16" i="21" s="1"/>
  <c r="DN16" i="21" s="1"/>
  <c r="H16" i="21" s="1"/>
  <c r="BY23" i="5"/>
  <c r="CJ23" i="5" s="1"/>
  <c r="CU22" i="5"/>
  <c r="DF22" i="5" s="1"/>
  <c r="DQ22" i="5" s="1"/>
  <c r="K22" i="5" s="1"/>
  <c r="BA16" i="21"/>
  <c r="BW24" i="5"/>
  <c r="CH24" i="5" s="1"/>
  <c r="CS23" i="5"/>
  <c r="DD23" i="5" s="1"/>
  <c r="DO23" i="5" s="1"/>
  <c r="I23" i="5" s="1"/>
  <c r="BS23" i="5"/>
  <c r="CD23" i="5" s="1"/>
  <c r="CO22" i="5"/>
  <c r="CZ22" i="5" s="1"/>
  <c r="DK22" i="5" s="1"/>
  <c r="E22" i="5" s="1"/>
  <c r="BY19" i="21"/>
  <c r="CJ19" i="21" s="1"/>
  <c r="CU18" i="21"/>
  <c r="DF18" i="21" s="1"/>
  <c r="DQ18" i="21" s="1"/>
  <c r="K18" i="21" s="1"/>
  <c r="BU23" i="5"/>
  <c r="CF23" i="5" s="1"/>
  <c r="CQ22" i="5"/>
  <c r="DB22" i="5" s="1"/>
  <c r="DM22" i="5" s="1"/>
  <c r="G22" i="5" s="1"/>
  <c r="BQ23" i="5"/>
  <c r="CB23" i="5" s="1"/>
  <c r="CM22" i="5"/>
  <c r="CX22" i="5" s="1"/>
  <c r="DI22" i="5" s="1"/>
  <c r="C22" i="5" s="1"/>
  <c r="CM21" i="21"/>
  <c r="CX21" i="21" s="1"/>
  <c r="DI21" i="21" s="1"/>
  <c r="C21" i="21" s="1"/>
  <c r="BQ22" i="21"/>
  <c r="CB22" i="21" s="1"/>
  <c r="CT23" i="5"/>
  <c r="DE23" i="5" s="1"/>
  <c r="DP23" i="5" s="1"/>
  <c r="J23" i="5" s="1"/>
  <c r="BX24" i="5"/>
  <c r="CI24" i="5" s="1"/>
  <c r="CV19" i="21"/>
  <c r="DG19" i="21" s="1"/>
  <c r="DR19" i="21" s="1"/>
  <c r="L19" i="21" s="1"/>
  <c r="BZ20" i="21"/>
  <c r="CK20" i="21" s="1"/>
  <c r="CO20" i="21"/>
  <c r="CZ20" i="21" s="1"/>
  <c r="DK20" i="21" s="1"/>
  <c r="E20" i="21" s="1"/>
  <c r="BS21" i="21"/>
  <c r="CD21" i="21" s="1"/>
  <c r="BV23" i="5"/>
  <c r="CG23" i="5" s="1"/>
  <c r="CR22" i="5"/>
  <c r="DC22" i="5" s="1"/>
  <c r="DN22" i="5" s="1"/>
  <c r="H22" i="5" s="1"/>
  <c r="CL18" i="21"/>
  <c r="CW18" i="21" s="1"/>
  <c r="DH18" i="21" s="1"/>
  <c r="B18" i="21" s="1"/>
  <c r="BP19" i="21"/>
  <c r="CA19" i="21" s="1"/>
  <c r="DH21" i="5"/>
  <c r="B21" i="5" s="1"/>
  <c r="CL22" i="5"/>
  <c r="CW22" i="5" s="1"/>
  <c r="BP23" i="5"/>
  <c r="CA23" i="5" s="1"/>
  <c r="BU24" i="5" l="1"/>
  <c r="CF24" i="5" s="1"/>
  <c r="CQ23" i="5"/>
  <c r="DB23" i="5" s="1"/>
  <c r="DM23" i="5" s="1"/>
  <c r="G23" i="5" s="1"/>
  <c r="CU19" i="21"/>
  <c r="DF19" i="21" s="1"/>
  <c r="DQ19" i="21" s="1"/>
  <c r="K19" i="21" s="1"/>
  <c r="BY20" i="21"/>
  <c r="CJ20" i="21" s="1"/>
  <c r="BU23" i="21"/>
  <c r="CF23" i="21" s="1"/>
  <c r="CQ22" i="21"/>
  <c r="DB22" i="21" s="1"/>
  <c r="DM22" i="21" s="1"/>
  <c r="G22" i="21" s="1"/>
  <c r="BY24" i="5"/>
  <c r="CJ24" i="5" s="1"/>
  <c r="CU23" i="5"/>
  <c r="DF23" i="5" s="1"/>
  <c r="DQ23" i="5" s="1"/>
  <c r="K23" i="5" s="1"/>
  <c r="CR17" i="21"/>
  <c r="DC17" i="21" s="1"/>
  <c r="DN17" i="21" s="1"/>
  <c r="H17" i="21" s="1"/>
  <c r="BV18" i="21"/>
  <c r="CG18" i="21" s="1"/>
  <c r="CS16" i="21"/>
  <c r="DD16" i="21" s="1"/>
  <c r="DO16" i="21" s="1"/>
  <c r="BW17" i="21"/>
  <c r="CH17" i="21" s="1"/>
  <c r="BZ21" i="5"/>
  <c r="CK21" i="5" s="1"/>
  <c r="CV20" i="5"/>
  <c r="DG20" i="5" s="1"/>
  <c r="DR20" i="5" s="1"/>
  <c r="L20" i="5" s="1"/>
  <c r="CL19" i="21"/>
  <c r="CW19" i="21" s="1"/>
  <c r="DH19" i="21" s="1"/>
  <c r="B19" i="21" s="1"/>
  <c r="BP20" i="21"/>
  <c r="CA20" i="21" s="1"/>
  <c r="CM22" i="21"/>
  <c r="CX22" i="21" s="1"/>
  <c r="DI22" i="21" s="1"/>
  <c r="C22" i="21" s="1"/>
  <c r="BQ23" i="21"/>
  <c r="CB23" i="21" s="1"/>
  <c r="BX21" i="21"/>
  <c r="CI21" i="21" s="1"/>
  <c r="CT20" i="21"/>
  <c r="DE20" i="21" s="1"/>
  <c r="DP20" i="21" s="1"/>
  <c r="J20" i="21" s="1"/>
  <c r="BV24" i="5"/>
  <c r="CG24" i="5" s="1"/>
  <c r="CR23" i="5"/>
  <c r="DC23" i="5" s="1"/>
  <c r="DN23" i="5" s="1"/>
  <c r="H23" i="5" s="1"/>
  <c r="BW25" i="5"/>
  <c r="CH25" i="5" s="1"/>
  <c r="CS24" i="5"/>
  <c r="DD24" i="5" s="1"/>
  <c r="DO24" i="5" s="1"/>
  <c r="I24" i="5" s="1"/>
  <c r="BR24" i="5"/>
  <c r="CC24" i="5" s="1"/>
  <c r="CN23" i="5"/>
  <c r="CY23" i="5" s="1"/>
  <c r="DJ23" i="5" s="1"/>
  <c r="D23" i="5" s="1"/>
  <c r="CM23" i="5"/>
  <c r="CX23" i="5" s="1"/>
  <c r="DI23" i="5" s="1"/>
  <c r="C23" i="5" s="1"/>
  <c r="BQ24" i="5"/>
  <c r="CB24" i="5" s="1"/>
  <c r="BS24" i="5"/>
  <c r="CD24" i="5" s="1"/>
  <c r="CO23" i="5"/>
  <c r="CZ23" i="5" s="1"/>
  <c r="DK23" i="5" s="1"/>
  <c r="E23" i="5" s="1"/>
  <c r="CO21" i="21"/>
  <c r="CZ21" i="21" s="1"/>
  <c r="DK21" i="21" s="1"/>
  <c r="E21" i="21" s="1"/>
  <c r="BS22" i="21"/>
  <c r="CD22" i="21" s="1"/>
  <c r="CV20" i="21"/>
  <c r="DG20" i="21" s="1"/>
  <c r="DR20" i="21" s="1"/>
  <c r="L20" i="21" s="1"/>
  <c r="BZ21" i="21"/>
  <c r="CK21" i="21" s="1"/>
  <c r="CT24" i="5"/>
  <c r="DE24" i="5" s="1"/>
  <c r="DP24" i="5" s="1"/>
  <c r="J24" i="5" s="1"/>
  <c r="BX25" i="5"/>
  <c r="CI25" i="5" s="1"/>
  <c r="CN21" i="21"/>
  <c r="CY21" i="21" s="1"/>
  <c r="DJ21" i="21" s="1"/>
  <c r="D21" i="21" s="1"/>
  <c r="BR22" i="21"/>
  <c r="CC22" i="21" s="1"/>
  <c r="DH22" i="5"/>
  <c r="B22" i="5" s="1"/>
  <c r="CL23" i="5"/>
  <c r="CW23" i="5" s="1"/>
  <c r="BP24" i="5"/>
  <c r="CA24" i="5" s="1"/>
  <c r="CO22" i="21" l="1"/>
  <c r="CZ22" i="21" s="1"/>
  <c r="DK22" i="21" s="1"/>
  <c r="E22" i="21" s="1"/>
  <c r="BS23" i="21"/>
  <c r="CD23" i="21" s="1"/>
  <c r="CS17" i="21"/>
  <c r="DD17" i="21" s="1"/>
  <c r="DO17" i="21" s="1"/>
  <c r="BW18" i="21"/>
  <c r="CH18" i="21" s="1"/>
  <c r="BQ25" i="5"/>
  <c r="CB25" i="5" s="1"/>
  <c r="CM24" i="5"/>
  <c r="CX24" i="5" s="1"/>
  <c r="DI24" i="5" s="1"/>
  <c r="C24" i="5" s="1"/>
  <c r="BV19" i="21"/>
  <c r="CG19" i="21" s="1"/>
  <c r="CR18" i="21"/>
  <c r="DC18" i="21" s="1"/>
  <c r="DN18" i="21" s="1"/>
  <c r="H18" i="21" s="1"/>
  <c r="CN24" i="5"/>
  <c r="CY24" i="5" s="1"/>
  <c r="DJ24" i="5" s="1"/>
  <c r="D24" i="5" s="1"/>
  <c r="BR25" i="5"/>
  <c r="CC25" i="5" s="1"/>
  <c r="CQ23" i="21"/>
  <c r="DB23" i="21" s="1"/>
  <c r="DM23" i="21" s="1"/>
  <c r="G23" i="21" s="1"/>
  <c r="BU24" i="21"/>
  <c r="CF24" i="21" s="1"/>
  <c r="CO24" i="5"/>
  <c r="CZ24" i="5" s="1"/>
  <c r="DK24" i="5" s="1"/>
  <c r="E24" i="5" s="1"/>
  <c r="BS25" i="5"/>
  <c r="CD25" i="5" s="1"/>
  <c r="CS25" i="5"/>
  <c r="DD25" i="5" s="1"/>
  <c r="DO25" i="5" s="1"/>
  <c r="I25" i="5" s="1"/>
  <c r="BW26" i="5"/>
  <c r="CH26" i="5" s="1"/>
  <c r="BY21" i="21"/>
  <c r="CJ21" i="21" s="1"/>
  <c r="CU20" i="21"/>
  <c r="DF20" i="21" s="1"/>
  <c r="DQ20" i="21" s="1"/>
  <c r="K20" i="21" s="1"/>
  <c r="BX22" i="21"/>
  <c r="CI22" i="21" s="1"/>
  <c r="CT21" i="21"/>
  <c r="DE21" i="21" s="1"/>
  <c r="DP21" i="21" s="1"/>
  <c r="J21" i="21" s="1"/>
  <c r="CL20" i="21"/>
  <c r="CW20" i="21" s="1"/>
  <c r="DH20" i="21" s="1"/>
  <c r="B20" i="21" s="1"/>
  <c r="BP21" i="21"/>
  <c r="CA21" i="21" s="1"/>
  <c r="BZ22" i="5"/>
  <c r="CK22" i="5" s="1"/>
  <c r="CV21" i="5"/>
  <c r="DG21" i="5" s="1"/>
  <c r="DR21" i="5" s="1"/>
  <c r="L21" i="5" s="1"/>
  <c r="CN22" i="21"/>
  <c r="CY22" i="21" s="1"/>
  <c r="DJ22" i="21" s="1"/>
  <c r="D22" i="21" s="1"/>
  <c r="BR23" i="21"/>
  <c r="CC23" i="21" s="1"/>
  <c r="CT25" i="5"/>
  <c r="DE25" i="5" s="1"/>
  <c r="DP25" i="5" s="1"/>
  <c r="J25" i="5" s="1"/>
  <c r="BX26" i="5"/>
  <c r="CI26" i="5" s="1"/>
  <c r="CV21" i="21"/>
  <c r="DG21" i="21" s="1"/>
  <c r="DR21" i="21" s="1"/>
  <c r="L21" i="21" s="1"/>
  <c r="BZ22" i="21"/>
  <c r="CK22" i="21" s="1"/>
  <c r="BQ24" i="21"/>
  <c r="CB24" i="21" s="1"/>
  <c r="CM23" i="21"/>
  <c r="CX23" i="21" s="1"/>
  <c r="DI23" i="21" s="1"/>
  <c r="C23" i="21" s="1"/>
  <c r="BY25" i="5"/>
  <c r="CJ25" i="5" s="1"/>
  <c r="CU24" i="5"/>
  <c r="DF24" i="5" s="1"/>
  <c r="DQ24" i="5" s="1"/>
  <c r="K24" i="5" s="1"/>
  <c r="BV25" i="5"/>
  <c r="CG25" i="5" s="1"/>
  <c r="CR24" i="5"/>
  <c r="DC24" i="5" s="1"/>
  <c r="DN24" i="5" s="1"/>
  <c r="H24" i="5" s="1"/>
  <c r="BU25" i="5"/>
  <c r="CF25" i="5" s="1"/>
  <c r="CQ24" i="5"/>
  <c r="DB24" i="5" s="1"/>
  <c r="DM24" i="5" s="1"/>
  <c r="G24" i="5" s="1"/>
  <c r="DH23" i="5"/>
  <c r="B23" i="5" s="1"/>
  <c r="CL24" i="5"/>
  <c r="CW24" i="5" s="1"/>
  <c r="BP25" i="5"/>
  <c r="CA25" i="5" s="1"/>
  <c r="CV22" i="21" l="1"/>
  <c r="DG22" i="21" s="1"/>
  <c r="DR22" i="21" s="1"/>
  <c r="L22" i="21" s="1"/>
  <c r="BZ23" i="21"/>
  <c r="CK23" i="21" s="1"/>
  <c r="BS26" i="5"/>
  <c r="CD26" i="5" s="1"/>
  <c r="CO25" i="5"/>
  <c r="CZ25" i="5" s="1"/>
  <c r="DK25" i="5" s="1"/>
  <c r="E25" i="5" s="1"/>
  <c r="BQ25" i="21"/>
  <c r="CB25" i="21" s="1"/>
  <c r="CM24" i="21"/>
  <c r="CX24" i="21" s="1"/>
  <c r="DI24" i="21" s="1"/>
  <c r="C24" i="21" s="1"/>
  <c r="BX27" i="5"/>
  <c r="CI27" i="5" s="1"/>
  <c r="CT26" i="5"/>
  <c r="DE26" i="5" s="1"/>
  <c r="DP26" i="5" s="1"/>
  <c r="J26" i="5" s="1"/>
  <c r="CV22" i="5"/>
  <c r="DG22" i="5" s="1"/>
  <c r="DR22" i="5" s="1"/>
  <c r="L22" i="5" s="1"/>
  <c r="BZ23" i="5"/>
  <c r="CK23" i="5" s="1"/>
  <c r="CS26" i="5"/>
  <c r="DD26" i="5" s="1"/>
  <c r="DO26" i="5" s="1"/>
  <c r="I26" i="5" s="1"/>
  <c r="BW27" i="5"/>
  <c r="CH27" i="5" s="1"/>
  <c r="BU26" i="5"/>
  <c r="CF26" i="5" s="1"/>
  <c r="CQ25" i="5"/>
  <c r="DB25" i="5" s="1"/>
  <c r="DM25" i="5" s="1"/>
  <c r="G25" i="5" s="1"/>
  <c r="CM25" i="5"/>
  <c r="CX25" i="5" s="1"/>
  <c r="DI25" i="5" s="1"/>
  <c r="C25" i="5" s="1"/>
  <c r="BQ26" i="5"/>
  <c r="CB26" i="5" s="1"/>
  <c r="BW19" i="21"/>
  <c r="CH19" i="21" s="1"/>
  <c r="CS18" i="21"/>
  <c r="DD18" i="21" s="1"/>
  <c r="DO18" i="21" s="1"/>
  <c r="BU25" i="21"/>
  <c r="CF25" i="21" s="1"/>
  <c r="CQ24" i="21"/>
  <c r="DB24" i="21" s="1"/>
  <c r="DM24" i="21" s="1"/>
  <c r="G24" i="21" s="1"/>
  <c r="BR26" i="5"/>
  <c r="CC26" i="5" s="1"/>
  <c r="CN25" i="5"/>
  <c r="CY25" i="5" s="1"/>
  <c r="DJ25" i="5" s="1"/>
  <c r="D25" i="5" s="1"/>
  <c r="CT22" i="21"/>
  <c r="DE22" i="21" s="1"/>
  <c r="DP22" i="21" s="1"/>
  <c r="J22" i="21" s="1"/>
  <c r="BX23" i="21"/>
  <c r="CI23" i="21" s="1"/>
  <c r="CR19" i="21"/>
  <c r="DC19" i="21" s="1"/>
  <c r="DN19" i="21" s="1"/>
  <c r="H19" i="21" s="1"/>
  <c r="BV20" i="21"/>
  <c r="CG20" i="21" s="1"/>
  <c r="BP22" i="21"/>
  <c r="CA22" i="21" s="1"/>
  <c r="CL21" i="21"/>
  <c r="CW21" i="21" s="1"/>
  <c r="DH21" i="21" s="1"/>
  <c r="B21" i="21" s="1"/>
  <c r="BS24" i="21"/>
  <c r="CD24" i="21" s="1"/>
  <c r="CO23" i="21"/>
  <c r="CZ23" i="21" s="1"/>
  <c r="DK23" i="21" s="1"/>
  <c r="E23" i="21" s="1"/>
  <c r="CN23" i="21"/>
  <c r="CY23" i="21" s="1"/>
  <c r="DJ23" i="21" s="1"/>
  <c r="D23" i="21" s="1"/>
  <c r="BR24" i="21"/>
  <c r="CC24" i="21" s="1"/>
  <c r="BV26" i="5"/>
  <c r="CG26" i="5" s="1"/>
  <c r="CR25" i="5"/>
  <c r="DC25" i="5" s="1"/>
  <c r="DN25" i="5" s="1"/>
  <c r="H25" i="5" s="1"/>
  <c r="CU25" i="5"/>
  <c r="DF25" i="5" s="1"/>
  <c r="DQ25" i="5" s="1"/>
  <c r="K25" i="5" s="1"/>
  <c r="BY26" i="5"/>
  <c r="CJ26" i="5" s="1"/>
  <c r="BY22" i="21"/>
  <c r="CJ22" i="21" s="1"/>
  <c r="CU21" i="21"/>
  <c r="DF21" i="21" s="1"/>
  <c r="DQ21" i="21" s="1"/>
  <c r="K21" i="21" s="1"/>
  <c r="DH24" i="5"/>
  <c r="B24" i="5" s="1"/>
  <c r="CL25" i="5"/>
  <c r="CW25" i="5" s="1"/>
  <c r="BP26" i="5"/>
  <c r="CA26" i="5" s="1"/>
  <c r="BU27" i="5" l="1"/>
  <c r="CF27" i="5" s="1"/>
  <c r="CQ26" i="5"/>
  <c r="DB26" i="5" s="1"/>
  <c r="DM26" i="5" s="1"/>
  <c r="G26" i="5" s="1"/>
  <c r="CV23" i="5"/>
  <c r="DG23" i="5" s="1"/>
  <c r="DR23" i="5" s="1"/>
  <c r="L23" i="5" s="1"/>
  <c r="BZ24" i="5"/>
  <c r="CK24" i="5" s="1"/>
  <c r="CT27" i="5"/>
  <c r="DE27" i="5" s="1"/>
  <c r="DP27" i="5" s="1"/>
  <c r="J27" i="5" s="1"/>
  <c r="BX28" i="5"/>
  <c r="CI28" i="5" s="1"/>
  <c r="CM26" i="5"/>
  <c r="CX26" i="5" s="1"/>
  <c r="DI26" i="5" s="1"/>
  <c r="C26" i="5" s="1"/>
  <c r="BQ27" i="5"/>
  <c r="CB27" i="5" s="1"/>
  <c r="BW28" i="5"/>
  <c r="CH28" i="5" s="1"/>
  <c r="CS27" i="5"/>
  <c r="DD27" i="5" s="1"/>
  <c r="DO27" i="5" s="1"/>
  <c r="I27" i="5" s="1"/>
  <c r="BR27" i="5"/>
  <c r="CC27" i="5" s="1"/>
  <c r="CN26" i="5"/>
  <c r="CY26" i="5" s="1"/>
  <c r="DJ26" i="5" s="1"/>
  <c r="D26" i="5" s="1"/>
  <c r="BQ26" i="21"/>
  <c r="CB26" i="21" s="1"/>
  <c r="CM25" i="21"/>
  <c r="CX25" i="21" s="1"/>
  <c r="DI25" i="21" s="1"/>
  <c r="C25" i="21" s="1"/>
  <c r="BX24" i="21"/>
  <c r="CI24" i="21" s="1"/>
  <c r="CT23" i="21"/>
  <c r="DE23" i="21" s="1"/>
  <c r="DP23" i="21" s="1"/>
  <c r="J23" i="21" s="1"/>
  <c r="BU26" i="21"/>
  <c r="CF26" i="21" s="1"/>
  <c r="CQ25" i="21"/>
  <c r="DB25" i="21" s="1"/>
  <c r="DM25" i="21" s="1"/>
  <c r="G25" i="21" s="1"/>
  <c r="BS27" i="5"/>
  <c r="CD27" i="5" s="1"/>
  <c r="CO26" i="5"/>
  <c r="CZ26" i="5" s="1"/>
  <c r="DK26" i="5" s="1"/>
  <c r="E26" i="5" s="1"/>
  <c r="BP23" i="21"/>
  <c r="CA23" i="21" s="1"/>
  <c r="CL22" i="21"/>
  <c r="CW22" i="21" s="1"/>
  <c r="DH22" i="21" s="1"/>
  <c r="B22" i="21" s="1"/>
  <c r="BY27" i="5"/>
  <c r="CJ27" i="5" s="1"/>
  <c r="CU26" i="5"/>
  <c r="DF26" i="5" s="1"/>
  <c r="DQ26" i="5" s="1"/>
  <c r="K26" i="5" s="1"/>
  <c r="CV23" i="21"/>
  <c r="DG23" i="21" s="1"/>
  <c r="DR23" i="21" s="1"/>
  <c r="L23" i="21" s="1"/>
  <c r="BZ24" i="21"/>
  <c r="CK24" i="21" s="1"/>
  <c r="CN24" i="21"/>
  <c r="CY24" i="21" s="1"/>
  <c r="DJ24" i="21" s="1"/>
  <c r="D24" i="21" s="1"/>
  <c r="BR25" i="21"/>
  <c r="CC25" i="21" s="1"/>
  <c r="BS25" i="21"/>
  <c r="CD25" i="21" s="1"/>
  <c r="CO24" i="21"/>
  <c r="CZ24" i="21" s="1"/>
  <c r="DK24" i="21" s="1"/>
  <c r="E24" i="21" s="1"/>
  <c r="CR20" i="21"/>
  <c r="DC20" i="21" s="1"/>
  <c r="DN20" i="21" s="1"/>
  <c r="H20" i="21" s="1"/>
  <c r="BV21" i="21"/>
  <c r="CG21" i="21" s="1"/>
  <c r="CU22" i="21"/>
  <c r="DF22" i="21" s="1"/>
  <c r="DQ22" i="21" s="1"/>
  <c r="K22" i="21" s="1"/>
  <c r="BY23" i="21"/>
  <c r="CJ23" i="21" s="1"/>
  <c r="BV27" i="5"/>
  <c r="CG27" i="5" s="1"/>
  <c r="CR26" i="5"/>
  <c r="DC26" i="5" s="1"/>
  <c r="DN26" i="5" s="1"/>
  <c r="H26" i="5" s="1"/>
  <c r="BW20" i="21"/>
  <c r="CH20" i="21" s="1"/>
  <c r="CS19" i="21"/>
  <c r="DD19" i="21" s="1"/>
  <c r="DO19" i="21" s="1"/>
  <c r="DH25" i="5"/>
  <c r="B25" i="5" s="1"/>
  <c r="CL26" i="5"/>
  <c r="CW26" i="5" s="1"/>
  <c r="BP27" i="5"/>
  <c r="CA27" i="5" s="1"/>
  <c r="CT28" i="5" l="1"/>
  <c r="DE28" i="5" s="1"/>
  <c r="DP28" i="5" s="1"/>
  <c r="J28" i="5" s="1"/>
  <c r="BX29" i="5"/>
  <c r="CI29" i="5" s="1"/>
  <c r="CN25" i="21"/>
  <c r="CY25" i="21" s="1"/>
  <c r="DJ25" i="21" s="1"/>
  <c r="D25" i="21" s="1"/>
  <c r="BR26" i="21"/>
  <c r="CC26" i="21" s="1"/>
  <c r="BZ25" i="21"/>
  <c r="CK25" i="21" s="1"/>
  <c r="CV24" i="21"/>
  <c r="DG24" i="21" s="1"/>
  <c r="DR24" i="21" s="1"/>
  <c r="L24" i="21" s="1"/>
  <c r="BQ28" i="5"/>
  <c r="CB28" i="5" s="1"/>
  <c r="CM27" i="5"/>
  <c r="CX27" i="5" s="1"/>
  <c r="DI27" i="5" s="1"/>
  <c r="C27" i="5" s="1"/>
  <c r="CR21" i="21"/>
  <c r="DC21" i="21" s="1"/>
  <c r="DN21" i="21" s="1"/>
  <c r="H21" i="21" s="1"/>
  <c r="BV22" i="21"/>
  <c r="CG22" i="21" s="1"/>
  <c r="BW29" i="5"/>
  <c r="CH29" i="5" s="1"/>
  <c r="CS28" i="5"/>
  <c r="DD28" i="5" s="1"/>
  <c r="DO28" i="5" s="1"/>
  <c r="I28" i="5" s="1"/>
  <c r="CV24" i="5"/>
  <c r="DG24" i="5" s="1"/>
  <c r="DR24" i="5" s="1"/>
  <c r="L24" i="5" s="1"/>
  <c r="BZ25" i="5"/>
  <c r="CK25" i="5" s="1"/>
  <c r="BP24" i="21"/>
  <c r="CA24" i="21" s="1"/>
  <c r="CL23" i="21"/>
  <c r="CW23" i="21" s="1"/>
  <c r="DH23" i="21" s="1"/>
  <c r="B23" i="21" s="1"/>
  <c r="BV28" i="5"/>
  <c r="CG28" i="5" s="1"/>
  <c r="CR27" i="5"/>
  <c r="DC27" i="5" s="1"/>
  <c r="DN27" i="5" s="1"/>
  <c r="H27" i="5" s="1"/>
  <c r="BS28" i="5"/>
  <c r="CD28" i="5" s="1"/>
  <c r="CO27" i="5"/>
  <c r="CZ27" i="5" s="1"/>
  <c r="DK27" i="5" s="1"/>
  <c r="E27" i="5" s="1"/>
  <c r="CT24" i="21"/>
  <c r="DE24" i="21" s="1"/>
  <c r="DP24" i="21" s="1"/>
  <c r="J24" i="21" s="1"/>
  <c r="BX25" i="21"/>
  <c r="CI25" i="21" s="1"/>
  <c r="CO25" i="21"/>
  <c r="CZ25" i="21" s="1"/>
  <c r="DK25" i="21" s="1"/>
  <c r="E25" i="21" s="1"/>
  <c r="BS26" i="21"/>
  <c r="CD26" i="21" s="1"/>
  <c r="BR28" i="5"/>
  <c r="CC28" i="5" s="1"/>
  <c r="CN27" i="5"/>
  <c r="CY27" i="5" s="1"/>
  <c r="DJ27" i="5" s="1"/>
  <c r="D27" i="5" s="1"/>
  <c r="BW21" i="21"/>
  <c r="CH21" i="21" s="1"/>
  <c r="CS20" i="21"/>
  <c r="DD20" i="21" s="1"/>
  <c r="DO20" i="21" s="1"/>
  <c r="CU23" i="21"/>
  <c r="DF23" i="21" s="1"/>
  <c r="DQ23" i="21" s="1"/>
  <c r="K23" i="21" s="1"/>
  <c r="BY24" i="21"/>
  <c r="CJ24" i="21" s="1"/>
  <c r="BQ27" i="21"/>
  <c r="CB27" i="21" s="1"/>
  <c r="CM26" i="21"/>
  <c r="CX26" i="21" s="1"/>
  <c r="DI26" i="21" s="1"/>
  <c r="C26" i="21" s="1"/>
  <c r="BY28" i="5"/>
  <c r="CJ28" i="5" s="1"/>
  <c r="CU27" i="5"/>
  <c r="DF27" i="5" s="1"/>
  <c r="DQ27" i="5" s="1"/>
  <c r="K27" i="5" s="1"/>
  <c r="CQ26" i="21"/>
  <c r="DB26" i="21" s="1"/>
  <c r="DM26" i="21" s="1"/>
  <c r="G26" i="21" s="1"/>
  <c r="BU27" i="21"/>
  <c r="CF27" i="21" s="1"/>
  <c r="CQ27" i="5"/>
  <c r="DB27" i="5" s="1"/>
  <c r="DM27" i="5" s="1"/>
  <c r="G27" i="5" s="1"/>
  <c r="BU28" i="5"/>
  <c r="CF28" i="5" s="1"/>
  <c r="DH26" i="5"/>
  <c r="B26" i="5" s="1"/>
  <c r="CL27" i="5"/>
  <c r="CW27" i="5" s="1"/>
  <c r="BP28" i="5"/>
  <c r="CA28" i="5" s="1"/>
  <c r="CV25" i="5" l="1"/>
  <c r="DG25" i="5" s="1"/>
  <c r="DR25" i="5" s="1"/>
  <c r="L25" i="5" s="1"/>
  <c r="BZ26" i="5"/>
  <c r="CK26" i="5" s="1"/>
  <c r="BZ26" i="21"/>
  <c r="CK26" i="21" s="1"/>
  <c r="CV25" i="21"/>
  <c r="DG25" i="21" s="1"/>
  <c r="DR25" i="21" s="1"/>
  <c r="L25" i="21" s="1"/>
  <c r="CM27" i="21"/>
  <c r="CX27" i="21" s="1"/>
  <c r="DI27" i="21" s="1"/>
  <c r="C27" i="21" s="1"/>
  <c r="BQ28" i="21"/>
  <c r="CB28" i="21" s="1"/>
  <c r="CU24" i="21"/>
  <c r="DF24" i="21" s="1"/>
  <c r="DQ24" i="21" s="1"/>
  <c r="K24" i="21" s="1"/>
  <c r="BY25" i="21"/>
  <c r="CJ25" i="21" s="1"/>
  <c r="CM28" i="5"/>
  <c r="CX28" i="5" s="1"/>
  <c r="DI28" i="5" s="1"/>
  <c r="C28" i="5" s="1"/>
  <c r="BQ29" i="5"/>
  <c r="CB29" i="5" s="1"/>
  <c r="BR27" i="21"/>
  <c r="CC27" i="21" s="1"/>
  <c r="CN26" i="21"/>
  <c r="CY26" i="21" s="1"/>
  <c r="DJ26" i="21" s="1"/>
  <c r="D26" i="21" s="1"/>
  <c r="BU29" i="5"/>
  <c r="CF29" i="5" s="1"/>
  <c r="CQ28" i="5"/>
  <c r="DB28" i="5" s="1"/>
  <c r="DM28" i="5" s="1"/>
  <c r="G28" i="5" s="1"/>
  <c r="BS29" i="5"/>
  <c r="CD29" i="5" s="1"/>
  <c r="CO28" i="5"/>
  <c r="CZ28" i="5" s="1"/>
  <c r="DK28" i="5" s="1"/>
  <c r="E28" i="5" s="1"/>
  <c r="CL24" i="21"/>
  <c r="CW24" i="21" s="1"/>
  <c r="DH24" i="21" s="1"/>
  <c r="B24" i="21" s="1"/>
  <c r="BP25" i="21"/>
  <c r="CA25" i="21" s="1"/>
  <c r="BW30" i="5"/>
  <c r="CH30" i="5" s="1"/>
  <c r="CS29" i="5"/>
  <c r="DD29" i="5" s="1"/>
  <c r="DO29" i="5" s="1"/>
  <c r="I29" i="5" s="1"/>
  <c r="BR29" i="5"/>
  <c r="CC29" i="5" s="1"/>
  <c r="CN28" i="5"/>
  <c r="CY28" i="5" s="1"/>
  <c r="DJ28" i="5" s="1"/>
  <c r="D28" i="5" s="1"/>
  <c r="BS27" i="21"/>
  <c r="CD27" i="21" s="1"/>
  <c r="CO26" i="21"/>
  <c r="CZ26" i="21" s="1"/>
  <c r="DK26" i="21" s="1"/>
  <c r="E26" i="21" s="1"/>
  <c r="CT29" i="5"/>
  <c r="DE29" i="5" s="1"/>
  <c r="DP29" i="5" s="1"/>
  <c r="J29" i="5" s="1"/>
  <c r="BX30" i="5"/>
  <c r="CI30" i="5" s="1"/>
  <c r="BW22" i="21"/>
  <c r="CH22" i="21" s="1"/>
  <c r="CS21" i="21"/>
  <c r="DD21" i="21" s="1"/>
  <c r="DO21" i="21" s="1"/>
  <c r="BV23" i="21"/>
  <c r="CG23" i="21" s="1"/>
  <c r="CR22" i="21"/>
  <c r="DC22" i="21" s="1"/>
  <c r="DN22" i="21" s="1"/>
  <c r="H22" i="21" s="1"/>
  <c r="CT25" i="21"/>
  <c r="DE25" i="21" s="1"/>
  <c r="DP25" i="21" s="1"/>
  <c r="J25" i="21" s="1"/>
  <c r="BX26" i="21"/>
  <c r="CI26" i="21" s="1"/>
  <c r="BU28" i="21"/>
  <c r="CF28" i="21" s="1"/>
  <c r="CQ27" i="21"/>
  <c r="DB27" i="21" s="1"/>
  <c r="DM27" i="21" s="1"/>
  <c r="G27" i="21" s="1"/>
  <c r="BY29" i="5"/>
  <c r="CJ29" i="5" s="1"/>
  <c r="CU28" i="5"/>
  <c r="DF28" i="5" s="1"/>
  <c r="DQ28" i="5" s="1"/>
  <c r="K28" i="5" s="1"/>
  <c r="BV29" i="5"/>
  <c r="CG29" i="5" s="1"/>
  <c r="CR28" i="5"/>
  <c r="DC28" i="5" s="1"/>
  <c r="DN28" i="5" s="1"/>
  <c r="H28" i="5" s="1"/>
  <c r="DH27" i="5"/>
  <c r="B27" i="5" s="1"/>
  <c r="CL28" i="5"/>
  <c r="CW28" i="5" s="1"/>
  <c r="BP29" i="5"/>
  <c r="CA29" i="5" s="1"/>
  <c r="BR28" i="21" l="1"/>
  <c r="CC28" i="21" s="1"/>
  <c r="CN27" i="21"/>
  <c r="CY27" i="21" s="1"/>
  <c r="DJ27" i="21" s="1"/>
  <c r="D27" i="21" s="1"/>
  <c r="BQ30" i="5"/>
  <c r="CB30" i="5" s="1"/>
  <c r="CM29" i="5"/>
  <c r="CX29" i="5" s="1"/>
  <c r="DI29" i="5" s="1"/>
  <c r="C29" i="5" s="1"/>
  <c r="BW23" i="21"/>
  <c r="CH23" i="21" s="1"/>
  <c r="CS22" i="21"/>
  <c r="DD22" i="21" s="1"/>
  <c r="DO22" i="21" s="1"/>
  <c r="BX31" i="5"/>
  <c r="CI31" i="5" s="1"/>
  <c r="CT30" i="5"/>
  <c r="DE30" i="5" s="1"/>
  <c r="DP30" i="5" s="1"/>
  <c r="J30" i="5" s="1"/>
  <c r="CO27" i="21"/>
  <c r="CZ27" i="21" s="1"/>
  <c r="DK27" i="21" s="1"/>
  <c r="E27" i="21" s="1"/>
  <c r="BS28" i="21"/>
  <c r="CD28" i="21" s="1"/>
  <c r="BX27" i="21"/>
  <c r="CI27" i="21" s="1"/>
  <c r="CT26" i="21"/>
  <c r="DE26" i="21" s="1"/>
  <c r="DP26" i="21" s="1"/>
  <c r="J26" i="21" s="1"/>
  <c r="BS30" i="5"/>
  <c r="CD30" i="5" s="1"/>
  <c r="CO29" i="5"/>
  <c r="CZ29" i="5" s="1"/>
  <c r="DK29" i="5" s="1"/>
  <c r="E29" i="5" s="1"/>
  <c r="CQ29" i="5"/>
  <c r="DB29" i="5" s="1"/>
  <c r="DM29" i="5" s="1"/>
  <c r="G29" i="5" s="1"/>
  <c r="BU30" i="5"/>
  <c r="CF30" i="5" s="1"/>
  <c r="BW31" i="5"/>
  <c r="CH31" i="5" s="1"/>
  <c r="CS30" i="5"/>
  <c r="DD30" i="5" s="1"/>
  <c r="DO30" i="5" s="1"/>
  <c r="I30" i="5" s="1"/>
  <c r="BZ27" i="21"/>
  <c r="CK27" i="21" s="1"/>
  <c r="CV26" i="21"/>
  <c r="DG26" i="21" s="1"/>
  <c r="DR26" i="21" s="1"/>
  <c r="L26" i="21" s="1"/>
  <c r="CU25" i="21"/>
  <c r="DF25" i="21" s="1"/>
  <c r="DQ25" i="21" s="1"/>
  <c r="K25" i="21" s="1"/>
  <c r="BY26" i="21"/>
  <c r="CJ26" i="21" s="1"/>
  <c r="BV30" i="5"/>
  <c r="CG30" i="5" s="1"/>
  <c r="CR29" i="5"/>
  <c r="DC29" i="5" s="1"/>
  <c r="DN29" i="5" s="1"/>
  <c r="H29" i="5" s="1"/>
  <c r="BR30" i="5"/>
  <c r="CC30" i="5" s="1"/>
  <c r="CN29" i="5"/>
  <c r="CY29" i="5" s="1"/>
  <c r="DJ29" i="5" s="1"/>
  <c r="D29" i="5" s="1"/>
  <c r="CL25" i="21"/>
  <c r="CW25" i="21" s="1"/>
  <c r="DH25" i="21" s="1"/>
  <c r="B25" i="21" s="1"/>
  <c r="BP26" i="21"/>
  <c r="CA26" i="21" s="1"/>
  <c r="CV26" i="5"/>
  <c r="DG26" i="5" s="1"/>
  <c r="DR26" i="5" s="1"/>
  <c r="L26" i="5" s="1"/>
  <c r="BZ27" i="5"/>
  <c r="CK27" i="5" s="1"/>
  <c r="CR23" i="21"/>
  <c r="DC23" i="21" s="1"/>
  <c r="DN23" i="21" s="1"/>
  <c r="H23" i="21" s="1"/>
  <c r="BV24" i="21"/>
  <c r="CG24" i="21" s="1"/>
  <c r="BQ29" i="21"/>
  <c r="CB29" i="21" s="1"/>
  <c r="CM28" i="21"/>
  <c r="CX28" i="21" s="1"/>
  <c r="DI28" i="21" s="1"/>
  <c r="C28" i="21" s="1"/>
  <c r="BY30" i="5"/>
  <c r="CJ30" i="5" s="1"/>
  <c r="CU29" i="5"/>
  <c r="DF29" i="5" s="1"/>
  <c r="DQ29" i="5" s="1"/>
  <c r="K29" i="5" s="1"/>
  <c r="CQ28" i="21"/>
  <c r="DB28" i="21" s="1"/>
  <c r="DM28" i="21" s="1"/>
  <c r="G28" i="21" s="1"/>
  <c r="BU29" i="21"/>
  <c r="CF29" i="21" s="1"/>
  <c r="DH28" i="5"/>
  <c r="B28" i="5" s="1"/>
  <c r="CL29" i="5"/>
  <c r="CW29" i="5" s="1"/>
  <c r="BP30" i="5"/>
  <c r="CA30" i="5" s="1"/>
  <c r="BX28" i="21" l="1"/>
  <c r="CI28" i="21" s="1"/>
  <c r="CT27" i="21"/>
  <c r="DE27" i="21" s="1"/>
  <c r="DP27" i="21" s="1"/>
  <c r="J27" i="21" s="1"/>
  <c r="CU26" i="21"/>
  <c r="DF26" i="21" s="1"/>
  <c r="DQ26" i="21" s="1"/>
  <c r="K26" i="21" s="1"/>
  <c r="BY27" i="21"/>
  <c r="CJ27" i="21" s="1"/>
  <c r="CO30" i="5"/>
  <c r="CZ30" i="5" s="1"/>
  <c r="DK30" i="5" s="1"/>
  <c r="E30" i="5" s="1"/>
  <c r="BS31" i="5"/>
  <c r="CD31" i="5" s="1"/>
  <c r="BW24" i="21"/>
  <c r="CH24" i="21" s="1"/>
  <c r="CS23" i="21"/>
  <c r="DD23" i="21" s="1"/>
  <c r="DO23" i="21" s="1"/>
  <c r="BP27" i="21"/>
  <c r="CA27" i="21" s="1"/>
  <c r="CL26" i="21"/>
  <c r="CW26" i="21" s="1"/>
  <c r="DH26" i="21" s="1"/>
  <c r="B26" i="21" s="1"/>
  <c r="BS29" i="21"/>
  <c r="CD29" i="21" s="1"/>
  <c r="CO28" i="21"/>
  <c r="CZ28" i="21" s="1"/>
  <c r="DK28" i="21" s="1"/>
  <c r="E28" i="21" s="1"/>
  <c r="CN30" i="5"/>
  <c r="CY30" i="5" s="1"/>
  <c r="DJ30" i="5" s="1"/>
  <c r="D30" i="5" s="1"/>
  <c r="BR31" i="5"/>
  <c r="CC31" i="5" s="1"/>
  <c r="CT31" i="5"/>
  <c r="DE31" i="5" s="1"/>
  <c r="DP31" i="5" s="1"/>
  <c r="J31" i="5" s="1"/>
  <c r="BX32" i="5"/>
  <c r="CI32" i="5" s="1"/>
  <c r="BV25" i="21"/>
  <c r="CG25" i="21" s="1"/>
  <c r="CR24" i="21"/>
  <c r="DC24" i="21" s="1"/>
  <c r="DN24" i="21" s="1"/>
  <c r="H24" i="21" s="1"/>
  <c r="BU30" i="21"/>
  <c r="CF30" i="21" s="1"/>
  <c r="CQ29" i="21"/>
  <c r="DB29" i="21" s="1"/>
  <c r="DM29" i="21" s="1"/>
  <c r="G29" i="21" s="1"/>
  <c r="CU30" i="5"/>
  <c r="DF30" i="5" s="1"/>
  <c r="DQ30" i="5" s="1"/>
  <c r="K30" i="5" s="1"/>
  <c r="BY31" i="5"/>
  <c r="CJ31" i="5" s="1"/>
  <c r="BZ28" i="21"/>
  <c r="CK28" i="21" s="1"/>
  <c r="CV27" i="21"/>
  <c r="DG27" i="21" s="1"/>
  <c r="DR27" i="21" s="1"/>
  <c r="L27" i="21" s="1"/>
  <c r="BQ31" i="5"/>
  <c r="CB31" i="5" s="1"/>
  <c r="CM30" i="5"/>
  <c r="CX30" i="5" s="1"/>
  <c r="DI30" i="5" s="1"/>
  <c r="C30" i="5" s="1"/>
  <c r="BV31" i="5"/>
  <c r="CG31" i="5" s="1"/>
  <c r="CR30" i="5"/>
  <c r="DC30" i="5" s="1"/>
  <c r="DN30" i="5" s="1"/>
  <c r="H30" i="5" s="1"/>
  <c r="CQ30" i="5"/>
  <c r="DB30" i="5" s="1"/>
  <c r="DM30" i="5" s="1"/>
  <c r="G30" i="5" s="1"/>
  <c r="BU31" i="5"/>
  <c r="CF31" i="5" s="1"/>
  <c r="CV27" i="5"/>
  <c r="DG27" i="5" s="1"/>
  <c r="DR27" i="5" s="1"/>
  <c r="L27" i="5" s="1"/>
  <c r="BZ28" i="5"/>
  <c r="CK28" i="5" s="1"/>
  <c r="CM29" i="21"/>
  <c r="CX29" i="21" s="1"/>
  <c r="DI29" i="21" s="1"/>
  <c r="C29" i="21" s="1"/>
  <c r="BQ30" i="21"/>
  <c r="CB30" i="21" s="1"/>
  <c r="BW32" i="5"/>
  <c r="CH32" i="5" s="1"/>
  <c r="CS31" i="5"/>
  <c r="DD31" i="5" s="1"/>
  <c r="DO31" i="5" s="1"/>
  <c r="I31" i="5" s="1"/>
  <c r="CN28" i="21"/>
  <c r="CY28" i="21" s="1"/>
  <c r="DJ28" i="21" s="1"/>
  <c r="D28" i="21" s="1"/>
  <c r="BR29" i="21"/>
  <c r="CC29" i="21" s="1"/>
  <c r="DH29" i="5"/>
  <c r="B29" i="5" s="1"/>
  <c r="CL30" i="5"/>
  <c r="CW30" i="5" s="1"/>
  <c r="BP31" i="5"/>
  <c r="CA31" i="5" s="1"/>
  <c r="CV28" i="5" l="1"/>
  <c r="DG28" i="5" s="1"/>
  <c r="DR28" i="5" s="1"/>
  <c r="L28" i="5" s="1"/>
  <c r="BZ29" i="5"/>
  <c r="CK29" i="5" s="1"/>
  <c r="BR32" i="5"/>
  <c r="CC32" i="5" s="1"/>
  <c r="CN31" i="5"/>
  <c r="CY31" i="5" s="1"/>
  <c r="DJ31" i="5" s="1"/>
  <c r="D31" i="5" s="1"/>
  <c r="BX33" i="5"/>
  <c r="CI33" i="5" s="1"/>
  <c r="CT33" i="5" s="1"/>
  <c r="DE33" i="5" s="1"/>
  <c r="DP33" i="5" s="1"/>
  <c r="CT32" i="5"/>
  <c r="DE32" i="5" s="1"/>
  <c r="DP32" i="5" s="1"/>
  <c r="J32" i="5" s="1"/>
  <c r="CQ31" i="5"/>
  <c r="DB31" i="5" s="1"/>
  <c r="DM31" i="5" s="1"/>
  <c r="G31" i="5" s="1"/>
  <c r="BU32" i="5"/>
  <c r="CF32" i="5" s="1"/>
  <c r="BY28" i="21"/>
  <c r="CJ28" i="21" s="1"/>
  <c r="CU27" i="21"/>
  <c r="DF27" i="21" s="1"/>
  <c r="DQ27" i="21" s="1"/>
  <c r="K27" i="21" s="1"/>
  <c r="BV32" i="5"/>
  <c r="CG32" i="5" s="1"/>
  <c r="CR31" i="5"/>
  <c r="DC31" i="5" s="1"/>
  <c r="DN31" i="5" s="1"/>
  <c r="H31" i="5" s="1"/>
  <c r="CM31" i="5"/>
  <c r="CX31" i="5" s="1"/>
  <c r="DI31" i="5" s="1"/>
  <c r="C31" i="5" s="1"/>
  <c r="BQ32" i="5"/>
  <c r="CB32" i="5" s="1"/>
  <c r="CS24" i="21"/>
  <c r="DD24" i="21" s="1"/>
  <c r="DO24" i="21" s="1"/>
  <c r="BW25" i="21"/>
  <c r="CH25" i="21" s="1"/>
  <c r="BP28" i="21"/>
  <c r="CA28" i="21" s="1"/>
  <c r="CL27" i="21"/>
  <c r="CW27" i="21" s="1"/>
  <c r="DH27" i="21" s="1"/>
  <c r="B27" i="21" s="1"/>
  <c r="CV28" i="21"/>
  <c r="DG28" i="21" s="1"/>
  <c r="DR28" i="21" s="1"/>
  <c r="L28" i="21" s="1"/>
  <c r="BZ29" i="21"/>
  <c r="CK29" i="21" s="1"/>
  <c r="CU31" i="5"/>
  <c r="DF31" i="5" s="1"/>
  <c r="DQ31" i="5" s="1"/>
  <c r="K31" i="5" s="1"/>
  <c r="BY32" i="5"/>
  <c r="CJ32" i="5" s="1"/>
  <c r="CO29" i="21"/>
  <c r="CZ29" i="21" s="1"/>
  <c r="DK29" i="21" s="1"/>
  <c r="E29" i="21" s="1"/>
  <c r="BS30" i="21"/>
  <c r="CD30" i="21" s="1"/>
  <c r="CN29" i="21"/>
  <c r="CY29" i="21" s="1"/>
  <c r="DJ29" i="21" s="1"/>
  <c r="D29" i="21" s="1"/>
  <c r="BR30" i="21"/>
  <c r="CC30" i="21" s="1"/>
  <c r="BS32" i="5"/>
  <c r="CD32" i="5" s="1"/>
  <c r="CO31" i="5"/>
  <c r="CZ31" i="5" s="1"/>
  <c r="DK31" i="5" s="1"/>
  <c r="E31" i="5" s="1"/>
  <c r="BW33" i="5"/>
  <c r="CH33" i="5" s="1"/>
  <c r="CS33" i="5" s="1"/>
  <c r="DD33" i="5" s="1"/>
  <c r="DO33" i="5" s="1"/>
  <c r="CS32" i="5"/>
  <c r="DD32" i="5" s="1"/>
  <c r="DO32" i="5" s="1"/>
  <c r="I32" i="5" s="1"/>
  <c r="BU31" i="21"/>
  <c r="CF31" i="21" s="1"/>
  <c r="CQ30" i="21"/>
  <c r="DB30" i="21" s="1"/>
  <c r="DM30" i="21" s="1"/>
  <c r="G30" i="21" s="1"/>
  <c r="CM30" i="21"/>
  <c r="CX30" i="21" s="1"/>
  <c r="DI30" i="21" s="1"/>
  <c r="C30" i="21" s="1"/>
  <c r="BQ31" i="21"/>
  <c r="CB31" i="21" s="1"/>
  <c r="BV26" i="21"/>
  <c r="CG26" i="21" s="1"/>
  <c r="CR25" i="21"/>
  <c r="DC25" i="21" s="1"/>
  <c r="DN25" i="21" s="1"/>
  <c r="H25" i="21" s="1"/>
  <c r="BX29" i="21"/>
  <c r="CI29" i="21" s="1"/>
  <c r="CT28" i="21"/>
  <c r="DE28" i="21" s="1"/>
  <c r="DP28" i="21" s="1"/>
  <c r="J28" i="21" s="1"/>
  <c r="DH30" i="5"/>
  <c r="B30" i="5" s="1"/>
  <c r="CL31" i="5"/>
  <c r="CW31" i="5" s="1"/>
  <c r="BP32" i="5"/>
  <c r="CA32" i="5" s="1"/>
  <c r="J33" i="5" l="1"/>
  <c r="J46" i="1" s="1"/>
  <c r="I33" i="5"/>
  <c r="I46" i="1" s="1"/>
  <c r="BW26" i="21"/>
  <c r="CH26" i="21" s="1"/>
  <c r="CS25" i="21"/>
  <c r="DD25" i="21" s="1"/>
  <c r="DO25" i="21" s="1"/>
  <c r="BR31" i="21"/>
  <c r="CC31" i="21" s="1"/>
  <c r="CN30" i="21"/>
  <c r="CY30" i="21" s="1"/>
  <c r="DJ30" i="21" s="1"/>
  <c r="D30" i="21" s="1"/>
  <c r="BU33" i="5"/>
  <c r="CF33" i="5" s="1"/>
  <c r="CQ33" i="5" s="1"/>
  <c r="DB33" i="5" s="1"/>
  <c r="DM33" i="5" s="1"/>
  <c r="CQ32" i="5"/>
  <c r="DB32" i="5" s="1"/>
  <c r="DM32" i="5" s="1"/>
  <c r="G32" i="5" s="1"/>
  <c r="CO30" i="21"/>
  <c r="CZ30" i="21" s="1"/>
  <c r="DK30" i="21" s="1"/>
  <c r="E30" i="21" s="1"/>
  <c r="BS31" i="21"/>
  <c r="CD31" i="21" s="1"/>
  <c r="BV33" i="5"/>
  <c r="CG33" i="5" s="1"/>
  <c r="CR33" i="5" s="1"/>
  <c r="DC33" i="5" s="1"/>
  <c r="DN33" i="5" s="1"/>
  <c r="CR32" i="5"/>
  <c r="DC32" i="5" s="1"/>
  <c r="DN32" i="5" s="1"/>
  <c r="H32" i="5" s="1"/>
  <c r="CU32" i="5"/>
  <c r="DF32" i="5" s="1"/>
  <c r="DQ32" i="5" s="1"/>
  <c r="K32" i="5" s="1"/>
  <c r="BY33" i="5"/>
  <c r="CJ33" i="5" s="1"/>
  <c r="CU33" i="5" s="1"/>
  <c r="DF33" i="5" s="1"/>
  <c r="DQ33" i="5" s="1"/>
  <c r="CT29" i="21"/>
  <c r="DE29" i="21" s="1"/>
  <c r="DP29" i="21" s="1"/>
  <c r="J29" i="21" s="1"/>
  <c r="BX30" i="21"/>
  <c r="CI30" i="21" s="1"/>
  <c r="CN32" i="5"/>
  <c r="CY32" i="5" s="1"/>
  <c r="DJ32" i="5" s="1"/>
  <c r="D32" i="5" s="1"/>
  <c r="BR33" i="5"/>
  <c r="CC33" i="5" s="1"/>
  <c r="CN33" i="5" s="1"/>
  <c r="CY33" i="5" s="1"/>
  <c r="DJ33" i="5" s="1"/>
  <c r="BS33" i="5"/>
  <c r="CD33" i="5" s="1"/>
  <c r="CO33" i="5" s="1"/>
  <c r="CZ33" i="5" s="1"/>
  <c r="DK33" i="5" s="1"/>
  <c r="CO32" i="5"/>
  <c r="CZ32" i="5" s="1"/>
  <c r="DK32" i="5" s="1"/>
  <c r="E32" i="5" s="1"/>
  <c r="BY29" i="21"/>
  <c r="CJ29" i="21" s="1"/>
  <c r="CU28" i="21"/>
  <c r="DF28" i="21" s="1"/>
  <c r="DQ28" i="21" s="1"/>
  <c r="K28" i="21" s="1"/>
  <c r="BZ30" i="21"/>
  <c r="CK30" i="21" s="1"/>
  <c r="CV29" i="21"/>
  <c r="DG29" i="21" s="1"/>
  <c r="DR29" i="21" s="1"/>
  <c r="L29" i="21" s="1"/>
  <c r="BQ32" i="21"/>
  <c r="CB32" i="21" s="1"/>
  <c r="CM31" i="21"/>
  <c r="CX31" i="21" s="1"/>
  <c r="DI31" i="21" s="1"/>
  <c r="C31" i="21" s="1"/>
  <c r="CV29" i="5"/>
  <c r="DG29" i="5" s="1"/>
  <c r="DR29" i="5" s="1"/>
  <c r="L29" i="5" s="1"/>
  <c r="BZ30" i="5"/>
  <c r="CK30" i="5" s="1"/>
  <c r="BU32" i="21"/>
  <c r="CF32" i="21" s="1"/>
  <c r="CQ31" i="21"/>
  <c r="DB31" i="21" s="1"/>
  <c r="DM31" i="21" s="1"/>
  <c r="G31" i="21" s="1"/>
  <c r="BQ33" i="5"/>
  <c r="CB33" i="5" s="1"/>
  <c r="CM33" i="5" s="1"/>
  <c r="CX33" i="5" s="1"/>
  <c r="DI33" i="5" s="1"/>
  <c r="CM32" i="5"/>
  <c r="CX32" i="5" s="1"/>
  <c r="DI32" i="5" s="1"/>
  <c r="C32" i="5" s="1"/>
  <c r="BV27" i="21"/>
  <c r="CG27" i="21" s="1"/>
  <c r="CR26" i="21"/>
  <c r="DC26" i="21" s="1"/>
  <c r="DN26" i="21" s="1"/>
  <c r="H26" i="21" s="1"/>
  <c r="CL28" i="21"/>
  <c r="CW28" i="21" s="1"/>
  <c r="DH28" i="21" s="1"/>
  <c r="B28" i="21" s="1"/>
  <c r="BP29" i="21"/>
  <c r="CA29" i="21" s="1"/>
  <c r="DH31" i="5"/>
  <c r="B31" i="5" s="1"/>
  <c r="CL32" i="5"/>
  <c r="CW32" i="5" s="1"/>
  <c r="BP33" i="5"/>
  <c r="CA33" i="5" s="1"/>
  <c r="G33" i="5" l="1"/>
  <c r="G46" i="1" s="1"/>
  <c r="H33" i="5"/>
  <c r="H46" i="1" s="1"/>
  <c r="C33" i="5"/>
  <c r="C46" i="1" s="1"/>
  <c r="E33" i="5"/>
  <c r="E46" i="1" s="1"/>
  <c r="CR27" i="21"/>
  <c r="DC27" i="21" s="1"/>
  <c r="DN27" i="21" s="1"/>
  <c r="H27" i="21" s="1"/>
  <c r="BV28" i="21"/>
  <c r="CG28" i="21" s="1"/>
  <c r="CQ32" i="21"/>
  <c r="DB32" i="21" s="1"/>
  <c r="DM32" i="21" s="1"/>
  <c r="G32" i="21" s="1"/>
  <c r="BU33" i="21"/>
  <c r="CF33" i="21" s="1"/>
  <c r="CQ33" i="21" s="1"/>
  <c r="DB33" i="21" s="1"/>
  <c r="DM33" i="21" s="1"/>
  <c r="CO31" i="21"/>
  <c r="CZ31" i="21" s="1"/>
  <c r="DK31" i="21" s="1"/>
  <c r="E31" i="21" s="1"/>
  <c r="BS32" i="21"/>
  <c r="CD32" i="21" s="1"/>
  <c r="K33" i="5"/>
  <c r="K46" i="1" s="1"/>
  <c r="BQ33" i="21"/>
  <c r="CB33" i="21" s="1"/>
  <c r="CM33" i="21" s="1"/>
  <c r="CX33" i="21" s="1"/>
  <c r="DI33" i="21" s="1"/>
  <c r="CM32" i="21"/>
  <c r="CX32" i="21" s="1"/>
  <c r="DI32" i="21" s="1"/>
  <c r="C32" i="21" s="1"/>
  <c r="CV30" i="21"/>
  <c r="DG30" i="21" s="1"/>
  <c r="DR30" i="21" s="1"/>
  <c r="L30" i="21" s="1"/>
  <c r="BZ31" i="21"/>
  <c r="CK31" i="21" s="1"/>
  <c r="CU29" i="21"/>
  <c r="DF29" i="21" s="1"/>
  <c r="DQ29" i="21" s="1"/>
  <c r="K29" i="21" s="1"/>
  <c r="BY30" i="21"/>
  <c r="CJ30" i="21" s="1"/>
  <c r="BR32" i="21"/>
  <c r="CC32" i="21" s="1"/>
  <c r="CN31" i="21"/>
  <c r="CY31" i="21" s="1"/>
  <c r="DJ31" i="21" s="1"/>
  <c r="D31" i="21" s="1"/>
  <c r="CT30" i="21"/>
  <c r="DE30" i="21" s="1"/>
  <c r="DP30" i="21" s="1"/>
  <c r="J30" i="21" s="1"/>
  <c r="BX31" i="21"/>
  <c r="CI31" i="21" s="1"/>
  <c r="D33" i="5"/>
  <c r="D46" i="1" s="1"/>
  <c r="CV30" i="5"/>
  <c r="DG30" i="5" s="1"/>
  <c r="DR30" i="5" s="1"/>
  <c r="L30" i="5" s="1"/>
  <c r="BZ31" i="5"/>
  <c r="CK31" i="5" s="1"/>
  <c r="CL29" i="21"/>
  <c r="CW29" i="21" s="1"/>
  <c r="DH29" i="21" s="1"/>
  <c r="B29" i="21" s="1"/>
  <c r="BP30" i="21"/>
  <c r="CA30" i="21" s="1"/>
  <c r="BW27" i="21"/>
  <c r="CH27" i="21" s="1"/>
  <c r="CS26" i="21"/>
  <c r="DD26" i="21" s="1"/>
  <c r="DO26" i="21" s="1"/>
  <c r="DH32" i="5"/>
  <c r="B32" i="5" s="1"/>
  <c r="CL33" i="5"/>
  <c r="CW33" i="5" s="1"/>
  <c r="C33" i="21" l="1"/>
  <c r="C12" i="1" s="1"/>
  <c r="BR33" i="21"/>
  <c r="CC33" i="21" s="1"/>
  <c r="CN33" i="21" s="1"/>
  <c r="CY33" i="21" s="1"/>
  <c r="DJ33" i="21" s="1"/>
  <c r="CN32" i="21"/>
  <c r="CY32" i="21" s="1"/>
  <c r="DJ32" i="21" s="1"/>
  <c r="D32" i="21" s="1"/>
  <c r="CV31" i="21"/>
  <c r="DG31" i="21" s="1"/>
  <c r="DR31" i="21" s="1"/>
  <c r="L31" i="21" s="1"/>
  <c r="BZ32" i="21"/>
  <c r="CK32" i="21" s="1"/>
  <c r="BP31" i="21"/>
  <c r="CA31" i="21" s="1"/>
  <c r="CL30" i="21"/>
  <c r="CW30" i="21" s="1"/>
  <c r="DH30" i="21" s="1"/>
  <c r="B30" i="21" s="1"/>
  <c r="CV31" i="5"/>
  <c r="DG31" i="5" s="1"/>
  <c r="DR31" i="5" s="1"/>
  <c r="L31" i="5" s="1"/>
  <c r="BZ32" i="5"/>
  <c r="CK32" i="5" s="1"/>
  <c r="BY31" i="21"/>
  <c r="CJ31" i="21" s="1"/>
  <c r="CU30" i="21"/>
  <c r="DF30" i="21" s="1"/>
  <c r="DQ30" i="21" s="1"/>
  <c r="K30" i="21" s="1"/>
  <c r="CS27" i="21"/>
  <c r="DD27" i="21" s="1"/>
  <c r="DO27" i="21" s="1"/>
  <c r="BW28" i="21"/>
  <c r="CH28" i="21" s="1"/>
  <c r="BS33" i="21"/>
  <c r="CD33" i="21" s="1"/>
  <c r="CO33" i="21" s="1"/>
  <c r="CZ33" i="21" s="1"/>
  <c r="DK33" i="21" s="1"/>
  <c r="CO32" i="21"/>
  <c r="CZ32" i="21" s="1"/>
  <c r="DK32" i="21" s="1"/>
  <c r="E32" i="21" s="1"/>
  <c r="CR28" i="21"/>
  <c r="DC28" i="21" s="1"/>
  <c r="DN28" i="21" s="1"/>
  <c r="H28" i="21" s="1"/>
  <c r="BV29" i="21"/>
  <c r="CG29" i="21" s="1"/>
  <c r="G33" i="21"/>
  <c r="G12" i="1" s="1"/>
  <c r="BX32" i="21"/>
  <c r="CI32" i="21" s="1"/>
  <c r="CT31" i="21"/>
  <c r="DE31" i="21" s="1"/>
  <c r="DP31" i="21" s="1"/>
  <c r="J31" i="21" s="1"/>
  <c r="DH33" i="5"/>
  <c r="B33" i="5" s="1"/>
  <c r="B46" i="1" s="1"/>
  <c r="I6" i="2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E33" i="21" l="1"/>
  <c r="E12" i="1" s="1"/>
  <c r="I27" i="21"/>
  <c r="D33" i="21"/>
  <c r="D12" i="1" s="1"/>
  <c r="CR29" i="21"/>
  <c r="DC29" i="21" s="1"/>
  <c r="DN29" i="21" s="1"/>
  <c r="H29" i="21" s="1"/>
  <c r="BV30" i="21"/>
  <c r="CG30" i="21" s="1"/>
  <c r="CS28" i="21"/>
  <c r="DD28" i="21" s="1"/>
  <c r="DO28" i="21" s="1"/>
  <c r="I28" i="21" s="1"/>
  <c r="BW29" i="21"/>
  <c r="CH29" i="21" s="1"/>
  <c r="CU31" i="21"/>
  <c r="DF31" i="21" s="1"/>
  <c r="DQ31" i="21" s="1"/>
  <c r="K31" i="21" s="1"/>
  <c r="BY32" i="21"/>
  <c r="CJ32" i="21" s="1"/>
  <c r="BZ33" i="5"/>
  <c r="CK33" i="5" s="1"/>
  <c r="CV33" i="5" s="1"/>
  <c r="DG33" i="5" s="1"/>
  <c r="DR33" i="5" s="1"/>
  <c r="CV32" i="5"/>
  <c r="DG32" i="5" s="1"/>
  <c r="DR32" i="5" s="1"/>
  <c r="L32" i="5" s="1"/>
  <c r="CV32" i="21"/>
  <c r="DG32" i="21" s="1"/>
  <c r="DR32" i="21" s="1"/>
  <c r="L32" i="21" s="1"/>
  <c r="BZ33" i="21"/>
  <c r="CK33" i="21" s="1"/>
  <c r="CV33" i="21" s="1"/>
  <c r="DG33" i="21" s="1"/>
  <c r="DR33" i="21" s="1"/>
  <c r="CL31" i="21"/>
  <c r="CW31" i="21" s="1"/>
  <c r="DH31" i="21" s="1"/>
  <c r="B31" i="21" s="1"/>
  <c r="BP32" i="21"/>
  <c r="CA32" i="21" s="1"/>
  <c r="BX33" i="21"/>
  <c r="CI33" i="21" s="1"/>
  <c r="CT33" i="21" s="1"/>
  <c r="DE33" i="21" s="1"/>
  <c r="DP33" i="21" s="1"/>
  <c r="CT32" i="21"/>
  <c r="DE32" i="21" s="1"/>
  <c r="DP32" i="21" s="1"/>
  <c r="J32" i="21" s="1"/>
  <c r="L33" i="5" l="1"/>
  <c r="L46" i="1" s="1"/>
  <c r="L33" i="21"/>
  <c r="L12" i="1" s="1"/>
  <c r="J33" i="21"/>
  <c r="J12" i="1" s="1"/>
  <c r="CL32" i="21"/>
  <c r="CW32" i="21" s="1"/>
  <c r="DH32" i="21" s="1"/>
  <c r="B32" i="21" s="1"/>
  <c r="BP33" i="21"/>
  <c r="CA33" i="21" s="1"/>
  <c r="CL33" i="21" s="1"/>
  <c r="CW33" i="21" s="1"/>
  <c r="DH33" i="21" s="1"/>
  <c r="BY33" i="21"/>
  <c r="CJ33" i="21" s="1"/>
  <c r="CU33" i="21" s="1"/>
  <c r="DF33" i="21" s="1"/>
  <c r="DQ33" i="21" s="1"/>
  <c r="CU32" i="21"/>
  <c r="DF32" i="21" s="1"/>
  <c r="DQ32" i="21" s="1"/>
  <c r="K32" i="21" s="1"/>
  <c r="BW30" i="21"/>
  <c r="CH30" i="21" s="1"/>
  <c r="CS29" i="21"/>
  <c r="DD29" i="21" s="1"/>
  <c r="DO29" i="21" s="1"/>
  <c r="I29" i="21" s="1"/>
  <c r="CR30" i="21"/>
  <c r="DC30" i="21" s="1"/>
  <c r="DN30" i="21" s="1"/>
  <c r="H30" i="21" s="1"/>
  <c r="BV31" i="21"/>
  <c r="CG31" i="21" s="1"/>
  <c r="K33" i="21" l="1"/>
  <c r="K12" i="1" s="1"/>
  <c r="B33" i="21"/>
  <c r="B12" i="1" s="1"/>
  <c r="BV32" i="21"/>
  <c r="CG32" i="21" s="1"/>
  <c r="CR31" i="21"/>
  <c r="DC31" i="21" s="1"/>
  <c r="DN31" i="21" s="1"/>
  <c r="H31" i="21" s="1"/>
  <c r="CS30" i="21"/>
  <c r="DD30" i="21" s="1"/>
  <c r="DO30" i="21" s="1"/>
  <c r="I30" i="21" s="1"/>
  <c r="BW31" i="21"/>
  <c r="CH31" i="21" s="1"/>
  <c r="CS31" i="21" l="1"/>
  <c r="DD31" i="21" s="1"/>
  <c r="DO31" i="21" s="1"/>
  <c r="I31" i="21" s="1"/>
  <c r="BW32" i="21"/>
  <c r="CH32" i="21" s="1"/>
  <c r="BV33" i="21"/>
  <c r="CG33" i="21" s="1"/>
  <c r="CR33" i="21" s="1"/>
  <c r="DC33" i="21" s="1"/>
  <c r="DN33" i="21" s="1"/>
  <c r="CR32" i="21"/>
  <c r="DC32" i="21" s="1"/>
  <c r="DN32" i="21" s="1"/>
  <c r="H32" i="21" s="1"/>
  <c r="H33" i="21" l="1"/>
  <c r="H12" i="1" s="1"/>
  <c r="BW33" i="21"/>
  <c r="CH33" i="21" s="1"/>
  <c r="CS33" i="21" s="1"/>
  <c r="DD33" i="21" s="1"/>
  <c r="DO33" i="21" s="1"/>
  <c r="CS32" i="21"/>
  <c r="DD32" i="21" s="1"/>
  <c r="DO32" i="21" s="1"/>
  <c r="I32" i="21" s="1"/>
  <c r="I33" i="21" l="1"/>
  <c r="I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tc={7D6506A7-190D-4CA2-ADA5-40D7FD624C82}</author>
    <author>Jack Smith</author>
  </authors>
  <commentList>
    <comment ref="A1" authorId="0" shapeId="0" xr:uid="{7D6506A7-190D-4CA2-ADA5-40D7FD624C82}">
      <text>
        <t>[Threaded comment]
Your version of Excel allows you to read this threaded comment; however, any edits to it will get removed if the file is opened in a newer version of Excel. Learn more: https://go.microsoft.com/fwlink/?linkid=870924
Comment:
    Colin Beal</t>
      </text>
    </comment>
    <comment ref="D11" authorId="1" shapeId="0" xr:uid="{76168EE2-0285-494B-B4C0-7C2DF79617B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I pulled this from the article with the link below. I think I assumed a particular initial soil pH and then took the average amount of Lime needed to neutralize that soil.  Because Chen does not have any aglime used I think we should leave this as 0
https://store.extension.iastate.edu/product/A-General-Guide-for-Crop-Nutrient-and-Limestone-Recommendations-in-Iowa</t>
        </r>
      </text>
    </comment>
    <comment ref="D12" authorId="1" shapeId="0" xr:uid="{5BB57C9C-633B-4DDE-97E1-069E40FAF63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I used the below link, which definitely isn't rigorous or exact enough to use. Let's stick with this amount.
https://www.farmprogress.com/crop-chemicals/post-emergence-herbicide-application-soybeans</t>
        </r>
      </text>
    </comment>
    <comment ref="D14" authorId="1" shapeId="0" xr:uid="{B4D23393-988F-4A5A-B5AB-99BCEE898686}">
      <text>
        <r>
          <rPr>
            <b/>
            <sz val="9"/>
            <color indexed="81"/>
            <rFont val="Tahoma"/>
            <family val="2"/>
          </rPr>
          <t xml:space="preserve">Jack Smith:
</t>
        </r>
        <r>
          <rPr>
            <sz val="9"/>
            <color indexed="81"/>
            <rFont val="Tahoma"/>
            <family val="2"/>
          </rPr>
          <t>I took the 2019 55 Bu/acre value for some reason. Again, since Chen is a single unified source I think we should stick with the yield value that you have here.
https://www.nass.usda.gov/Statistics_by_State/Iowa/Publications/Crop_Report/2021/IA-Crop-Production-Annual-01-21.pdf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Smith</author>
  </authors>
  <commentList>
    <comment ref="A12" authorId="0" shapeId="0" xr:uid="{8983474B-5040-4A3A-BC7A-5609E69C69D6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This needs to be renamed to Atrazine so we can blend use rates</t>
        </r>
      </text>
    </comment>
    <comment ref="D12" authorId="0" shapeId="0" xr:uid="{62CAC792-27F2-4235-9B80-B1D1F2EA7745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AltJet has 0.97159 kg/acre but I can't find the source (corn data sheet, cell G10)
https://www.nass.usda.gov/Surveys/Guide_to_NASS_Surveys/Chemical_Use/2016_Corn_Potatoes/ChemUseHighlights_Corn_2016.pdf</t>
        </r>
      </text>
    </comment>
    <comment ref="D13" authorId="0" shapeId="0" xr:uid="{CAA2DBEC-7DFE-4C7B-A23D-23D50C0E351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Best for Insecticide and Herbicide would be to blend the table amounts and use rates; i.e. insecticide would be 0.12*1.323lb/acre, and the herbicide would be both atrazine and glyphosate at the different rates. Want to get more blocks done but need to do this at some point</t>
        </r>
      </text>
    </comment>
    <comment ref="D14" authorId="0" shapeId="0" xr:uid="{7C8FCCF0-6606-4165-B8C6-A3279F25BC9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175.8 Bushels/acre as average anticipated yield
https://www.nass.usda.gov/Publications/Todays_Reports/reports/crop1120.pdf</t>
        </r>
      </text>
    </comment>
    <comment ref="D15" authorId="0" shapeId="0" xr:uid="{B8F843D2-0D43-457B-AEF4-377E64F2270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https://www.canr.msu.edu/uploads/236/58572/CornStoverHarvesting.pdf</t>
        </r>
      </text>
    </comment>
    <comment ref="B18" authorId="0" shapeId="0" xr:uid="{EC1B09F5-CAC5-4B69-94FA-0B9BDD7A2E1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Need to confirm that I am reading AltJet right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Smith</author>
  </authors>
  <commentList>
    <comment ref="A12" authorId="0" shapeId="0" xr:uid="{7BAEAC1B-2B6C-466A-BC7F-257025B6509A}">
      <text>
        <r>
          <rPr>
            <b/>
            <sz val="9"/>
            <color indexed="81"/>
            <rFont val="Tahoma"/>
            <charset val="1"/>
          </rPr>
          <t>Jack Smith:</t>
        </r>
        <r>
          <rPr>
            <sz val="9"/>
            <color indexed="81"/>
            <rFont val="Tahoma"/>
            <charset val="1"/>
          </rPr>
          <t xml:space="preserve">
On farm</t>
        </r>
      </text>
    </comment>
    <comment ref="A16" authorId="0" shapeId="0" xr:uid="{DB36768E-BB01-43A1-8D5D-6495FA27FC6A}">
      <text>
        <r>
          <rPr>
            <b/>
            <sz val="9"/>
            <color indexed="81"/>
            <rFont val="Tahoma"/>
            <charset val="1"/>
          </rPr>
          <t>Jack Smith:</t>
        </r>
        <r>
          <rPr>
            <sz val="9"/>
            <color indexed="81"/>
            <rFont val="Tahoma"/>
            <charset val="1"/>
          </rPr>
          <t xml:space="preserve">
Switchgrass - need to update the substance list to include switchgrass as a unique substance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Smith</author>
  </authors>
  <commentList>
    <comment ref="A2" authorId="0" shapeId="0" xr:uid="{BD1214AC-BF0C-4F36-B2F6-CB3F5DA29A29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Makeup - enters the flow</t>
        </r>
      </text>
    </comment>
    <comment ref="D2" authorId="0" shapeId="0" xr:uid="{06EDDB41-2446-4A68-8E6C-148763343D2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Does this constitute a source which is too old to be viable?
https://www.nrel.gov/extranet/biorefinery/aspen-models/</t>
        </r>
      </text>
    </comment>
  </commentList>
</comments>
</file>

<file path=xl/sharedStrings.xml><?xml version="1.0" encoding="utf-8"?>
<sst xmlns="http://schemas.openxmlformats.org/spreadsheetml/2006/main" count="2186" uniqueCount="779">
  <si>
    <t>Primary Author:</t>
  </si>
  <si>
    <t>Colin Beal</t>
  </si>
  <si>
    <t>Definition:</t>
  </si>
  <si>
    <t>This file consolidates excel models for all production pathways for the CSU DOE biofuel project.</t>
  </si>
  <si>
    <t>The file is stored on the CSU Box drive as a living document.</t>
  </si>
  <si>
    <t>Pathway components (cultivation, conversion, and/or upgrading) can be turned on or off in the I_O tab.</t>
  </si>
  <si>
    <t>Protocol for Edits:</t>
  </si>
  <si>
    <t xml:space="preserve">Each tab contains a designation of the primary author.  </t>
  </si>
  <si>
    <t>The primary author of that tab can make edits as they see fit.</t>
  </si>
  <si>
    <t>If secondary authors make any edits, the cells with edits will be highlighted with purple background for review by primary author.</t>
  </si>
  <si>
    <t>Legend:</t>
  </si>
  <si>
    <t>Red Font</t>
  </si>
  <si>
    <t>Independent Variable</t>
  </si>
  <si>
    <t>Black Font</t>
  </si>
  <si>
    <t>Dependent Variable</t>
  </si>
  <si>
    <t>Tabs:</t>
  </si>
  <si>
    <t>ExpData</t>
  </si>
  <si>
    <t>Stores the independent variables that are exported to the Python models.</t>
  </si>
  <si>
    <t>General</t>
  </si>
  <si>
    <t>Provides a qualitative description of each pathway.</t>
  </si>
  <si>
    <t>TEA</t>
  </si>
  <si>
    <t>Calcualtes the techno-economic metrics for each pathway.</t>
  </si>
  <si>
    <t>NPV Solver</t>
  </si>
  <si>
    <t>NPV calculations that are used to solve for minimum product selling prices (e.g., MFSP).</t>
  </si>
  <si>
    <t>NPV Baseline</t>
  </si>
  <si>
    <t>NPV calculations assuming baseline product prices.</t>
  </si>
  <si>
    <t>LCA</t>
  </si>
  <si>
    <t>Calculates the life-cycle assessment metrics for each pathway.</t>
  </si>
  <si>
    <t>LCI</t>
  </si>
  <si>
    <t>Contains the life-cycle inventory data.</t>
  </si>
  <si>
    <t>I_O</t>
  </si>
  <si>
    <t>Compiles all input and output flows for each process in each pathway and aggregates flows at the control volume level.</t>
  </si>
  <si>
    <t>Pathway Models</t>
  </si>
  <si>
    <t>The remaining tabs contain "level-three" modeling for each pathway.</t>
  </si>
  <si>
    <t>Parameter</t>
  </si>
  <si>
    <t>mode</t>
  </si>
  <si>
    <t>min</t>
  </si>
  <si>
    <t>max</t>
  </si>
  <si>
    <t>mu</t>
  </si>
  <si>
    <t>sigma</t>
  </si>
  <si>
    <t>Electricity Source</t>
  </si>
  <si>
    <t>Economic Parameters</t>
  </si>
  <si>
    <t>Corn</t>
  </si>
  <si>
    <t>Poplar</t>
  </si>
  <si>
    <t>Switchgrass</t>
  </si>
  <si>
    <t>Algae</t>
  </si>
  <si>
    <t>Baseline Algal Productivity (g/m2-d)</t>
  </si>
  <si>
    <t>Forestry Residue</t>
  </si>
  <si>
    <t>Carinata</t>
  </si>
  <si>
    <t>Guayule</t>
  </si>
  <si>
    <t>Macroalgae</t>
  </si>
  <si>
    <t>Hexane Extraction</t>
  </si>
  <si>
    <t>Hexane Used (kg hexane/kg feedstock)</t>
  </si>
  <si>
    <t>Hexane Loss (kg loss/kg used)</t>
  </si>
  <si>
    <t>AD</t>
  </si>
  <si>
    <t>HTL</t>
  </si>
  <si>
    <t>Pyrolysis</t>
  </si>
  <si>
    <t>Case:</t>
  </si>
  <si>
    <t>Soy Biodiesel</t>
  </si>
  <si>
    <t>Soy Jet</t>
  </si>
  <si>
    <t>Corn Grain EtOH</t>
  </si>
  <si>
    <t>Corn Stover EtOH</t>
  </si>
  <si>
    <t>Corn Stover Pyrol Jet</t>
  </si>
  <si>
    <t>Poplar Jet</t>
  </si>
  <si>
    <t>Switchgrass Jet</t>
  </si>
  <si>
    <t>Algae HEFA</t>
  </si>
  <si>
    <t>Algae HTL</t>
  </si>
  <si>
    <t>MSW</t>
  </si>
  <si>
    <t>Macroalage</t>
  </si>
  <si>
    <t>BETO+</t>
  </si>
  <si>
    <t>BETO++</t>
  </si>
  <si>
    <t>BETO+++</t>
  </si>
  <si>
    <t>Scale (ha)</t>
  </si>
  <si>
    <t>Primary Author</t>
  </si>
  <si>
    <t>Control Volume Flows</t>
  </si>
  <si>
    <t>Costs</t>
  </si>
  <si>
    <t>Baseline Revenue</t>
  </si>
  <si>
    <t>Baseline NPV Year 30 ($)</t>
  </si>
  <si>
    <t>Operating Capacity (d/yr)</t>
  </si>
  <si>
    <t>Discount Rate (-)</t>
  </si>
  <si>
    <t>Tax Rate (-)</t>
  </si>
  <si>
    <t>Equity Share of Capital (-)</t>
  </si>
  <si>
    <t>Interest Rate (-)</t>
  </si>
  <si>
    <t>Loan Term (yr)</t>
  </si>
  <si>
    <t>Maintenance Rate (-)</t>
  </si>
  <si>
    <t>Insurance Rate (-)</t>
  </si>
  <si>
    <t>Depreciable Amount Rate (-)</t>
  </si>
  <si>
    <t>Tax Credit ($/yr)</t>
  </si>
  <si>
    <t>Salvage Value ($)</t>
  </si>
  <si>
    <t>Depreciation Schedule</t>
  </si>
  <si>
    <t>MACRS %</t>
  </si>
  <si>
    <t>Depreciable Investment ($)</t>
  </si>
  <si>
    <t>Loan ($)</t>
  </si>
  <si>
    <t>Annual Loan Payment ($/yr)</t>
  </si>
  <si>
    <t>Down Payment ($)</t>
  </si>
  <si>
    <t>Insurance ($/yr)</t>
  </si>
  <si>
    <t>Maintenance ($/yr)</t>
  </si>
  <si>
    <t>OpEx ($/yr)</t>
  </si>
  <si>
    <t>SOLVER</t>
  </si>
  <si>
    <t>NPV</t>
  </si>
  <si>
    <t>Solver Revenue ($/yr)</t>
  </si>
  <si>
    <t>Liquid Transport Fuel Price ($/kg)</t>
  </si>
  <si>
    <t>Liquid Transport Fuel Price ($/gge)</t>
  </si>
  <si>
    <t>Solver Price</t>
  </si>
  <si>
    <t>Solver Revenue</t>
  </si>
  <si>
    <t>Year</t>
  </si>
  <si>
    <t>Cumulative Disc Cash Flow</t>
  </si>
  <si>
    <t>Depreciation</t>
  </si>
  <si>
    <t>Loan Payment</t>
  </si>
  <si>
    <t>Loan Interest</t>
  </si>
  <si>
    <t>Loan Principal</t>
  </si>
  <si>
    <t>Net Income</t>
  </si>
  <si>
    <t>Losses Forward</t>
  </si>
  <si>
    <t>Taxable Income</t>
  </si>
  <si>
    <t>Income Tax</t>
  </si>
  <si>
    <t>Cash Flow</t>
  </si>
  <si>
    <t>Discounted Cash Flow</t>
  </si>
  <si>
    <t>Product Credits (g CO2e/yr):</t>
  </si>
  <si>
    <t>HHV (MJ/X):</t>
  </si>
  <si>
    <t>HHV Yield (MJ/yr):</t>
  </si>
  <si>
    <t>Totals:</t>
  </si>
  <si>
    <t>LCA Metrics</t>
  </si>
  <si>
    <t>Energy Allocation Pre-Comb GHG (g CO2e/MJ)</t>
  </si>
  <si>
    <t>Mass Allocation Pre-Comb GHG (g CO2e/kg)</t>
  </si>
  <si>
    <t>Economic Allocation Pre-Comb GHG (g CO2e/$ baseline rev)</t>
  </si>
  <si>
    <t>System Expansion (g CO2e/MJ liq trans fuel)</t>
  </si>
  <si>
    <t>Name_Units</t>
  </si>
  <si>
    <t>Key_String</t>
  </si>
  <si>
    <t>In_or_out</t>
  </si>
  <si>
    <t>Default_Unit</t>
  </si>
  <si>
    <t>HHV</t>
  </si>
  <si>
    <t>Energy_Impact (MJ/X)</t>
  </si>
  <si>
    <t>Cost</t>
  </si>
  <si>
    <t>GHG_Impact</t>
  </si>
  <si>
    <t>WDP</t>
  </si>
  <si>
    <t>Acidification</t>
  </si>
  <si>
    <t>Ecotoxicity</t>
  </si>
  <si>
    <t>Eutrophication</t>
  </si>
  <si>
    <t>HHC</t>
  </si>
  <si>
    <t>HHNC</t>
  </si>
  <si>
    <t>Ozone_Depletion</t>
  </si>
  <si>
    <t>Ozone_Formation</t>
  </si>
  <si>
    <t>Resource_Depletion</t>
  </si>
  <si>
    <t>Respiratory_Effects</t>
  </si>
  <si>
    <t>EcoInvent Title</t>
  </si>
  <si>
    <t>Land Cost ($)</t>
  </si>
  <si>
    <t>Land Cost</t>
  </si>
  <si>
    <t>Input</t>
  </si>
  <si>
    <t>dollars</t>
  </si>
  <si>
    <t>Capital Cost ($)</t>
  </si>
  <si>
    <t>Capital Cost</t>
  </si>
  <si>
    <t>Labor ($/yr)</t>
  </si>
  <si>
    <t>Labor</t>
  </si>
  <si>
    <t>dollars / year</t>
  </si>
  <si>
    <t>Arable Land (ha/yr)</t>
  </si>
  <si>
    <t>Arable Land</t>
  </si>
  <si>
    <t>hectare / year</t>
  </si>
  <si>
    <t>Marginal Land (ha/yr)</t>
  </si>
  <si>
    <t>Marginal Land</t>
  </si>
  <si>
    <t>Air (kg/yr)</t>
  </si>
  <si>
    <t>Air</t>
  </si>
  <si>
    <t>kilogram / year</t>
  </si>
  <si>
    <t>Alpha-Amylase (kg/yr)</t>
  </si>
  <si>
    <t>Alpha-Amylase</t>
  </si>
  <si>
    <t>Ammonia (kg/yr)</t>
  </si>
  <si>
    <t>Ammonia</t>
  </si>
  <si>
    <t>ammonia production, partial oxidation, liquid | ammonia, liquid | Cutoff, U - RoW</t>
  </si>
  <si>
    <t>CO2, Atmospheric (kg/yr)</t>
  </si>
  <si>
    <t>CO2, Atmoshpheric</t>
  </si>
  <si>
    <t>CO2, Commercial (kg/yr)</t>
  </si>
  <si>
    <t>CO2, Commercial</t>
  </si>
  <si>
    <t>Corn Grain (kg/yr)</t>
  </si>
  <si>
    <t>Corn Grain</t>
  </si>
  <si>
    <t>Corn Seed (kg/yr)</t>
  </si>
  <si>
    <t>Corn Seed</t>
  </si>
  <si>
    <t>maize seed production, at farm | maize seed, at farm | Cutoff, U - GLO</t>
  </si>
  <si>
    <t>Corn Stover (kg/yr)</t>
  </si>
  <si>
    <t>Corn Stover</t>
  </si>
  <si>
    <t>Corn Steep Liquor (kg/yr)</t>
  </si>
  <si>
    <t>Corn Steep Liquor</t>
  </si>
  <si>
    <t>Enzymes (kg/yr)</t>
  </si>
  <si>
    <t>Enzymes</t>
  </si>
  <si>
    <t>EtOH Catalysts (kg/yr)</t>
  </si>
  <si>
    <t>EtOH Catalysts</t>
  </si>
  <si>
    <t>Forestry Residue (kg/yr)</t>
  </si>
  <si>
    <t>Forestry Seed (cuttings/yr)</t>
  </si>
  <si>
    <t>Forestry Seed</t>
  </si>
  <si>
    <t>cuttings/yr</t>
  </si>
  <si>
    <t>FT Catalysts (kg/yr)</t>
  </si>
  <si>
    <t>FT Catalysts</t>
  </si>
  <si>
    <t>Glucoamylase (kg/yr)</t>
  </si>
  <si>
    <t>Glucoamylase</t>
  </si>
  <si>
    <t>Glucose (kg/yr)</t>
  </si>
  <si>
    <t>Glucose</t>
  </si>
  <si>
    <t>glucose production | glucose | Cutoff, U - RoW</t>
  </si>
  <si>
    <t>Glyphosate (kg/yr)</t>
  </si>
  <si>
    <t>Glyphosate</t>
  </si>
  <si>
    <t>Grass Seed (kg/yr)</t>
  </si>
  <si>
    <t>Grass Seed</t>
  </si>
  <si>
    <t>grass seed production, organic, for sowing | grass seed, organic, for sowing | Cutoff, U - RoW</t>
  </si>
  <si>
    <t>Herbicide (kg/yr)</t>
  </si>
  <si>
    <t>Herbicide</t>
  </si>
  <si>
    <t>atrazine production | atrazine | Cutoff, U - RoW</t>
  </si>
  <si>
    <t>Hexane (kg/yr)</t>
  </si>
  <si>
    <t>Hexane Loss</t>
  </si>
  <si>
    <t>isohexane production | isohexane | Cutoff, U - RoW</t>
  </si>
  <si>
    <t>Insecticide (kg/yr)</t>
  </si>
  <si>
    <t>Insecticide</t>
  </si>
  <si>
    <t>Lime, Ag (kg/yr)</t>
  </si>
  <si>
    <t>Ag Lime</t>
  </si>
  <si>
    <t>lime to generic market for soil pH raising agent | soil pH raising agent, as CaCO3 | Cutoff, U - GLO</t>
  </si>
  <si>
    <t>Lime, Hydrated (kg/yr)</t>
  </si>
  <si>
    <t>Lime, Hydrated</t>
  </si>
  <si>
    <t>lime production, hydrated, loose weight | lime, hydrated, loose weight | Cutoff, U - RoW</t>
  </si>
  <si>
    <t>Methanol (kg/yr)</t>
  </si>
  <si>
    <t>Methanol</t>
  </si>
  <si>
    <t>MSW (kg/yr)</t>
  </si>
  <si>
    <t>Nitrogen in Fertilizer (kg/yr)</t>
  </si>
  <si>
    <t>Nitrogen in Fertilizer</t>
  </si>
  <si>
    <t>urea ammonium nitrate production | nitrogen fertiliser, as N | Cutoff, U - RoW</t>
  </si>
  <si>
    <t>Phosphoric Acid (kg/yr)</t>
  </si>
  <si>
    <t>Phosphoric Acid</t>
  </si>
  <si>
    <t>phosphoric acid production, dihydrate process | fluosilicic acid, without water, in 22% solution state | Cutoff, U - US</t>
  </si>
  <si>
    <t>Phosphorus in Fertilizer (kg/yr)</t>
  </si>
  <si>
    <t>Phosphorus in Fertilizer</t>
  </si>
  <si>
    <t>triple superphosphate production | phosphate fertiliser, as P2O5 | Cutoff, U - RoW</t>
  </si>
  <si>
    <t>Plastic (kg/yr)</t>
  </si>
  <si>
    <t>Plastic</t>
  </si>
  <si>
    <t>extrusion production, plastic film | extrusion, plastic film | Cutoff, U - RoW</t>
  </si>
  <si>
    <t>Potassium in Fertilizer (kg/yr)</t>
  </si>
  <si>
    <t>Potassium in Fertilizer</t>
  </si>
  <si>
    <t>nutrient supply from potassium nitrate | potassium fertiliser, as K2O | Cutoff, U - GLO</t>
  </si>
  <si>
    <t>Sodium Hydroxide (kg/yr)</t>
  </si>
  <si>
    <t>Sodium Hydroxide</t>
  </si>
  <si>
    <t>Soybean Seed (kg/yr)</t>
  </si>
  <si>
    <t>Soybean Seed</t>
  </si>
  <si>
    <t>soybean seed production, for sowing | soybean seed, for sowing | Cutoff, U - RoW</t>
  </si>
  <si>
    <t>Steam (kg/yr)</t>
  </si>
  <si>
    <t>Steam</t>
  </si>
  <si>
    <t>steam production, in chemical industry | steam, in chemical industry | Cutoff, U - RoW</t>
  </si>
  <si>
    <t>Sulfuric Acid (kg/yr)</t>
  </si>
  <si>
    <t>Sulfuric Acid</t>
  </si>
  <si>
    <t>sulfuric acid production | sulfuric acid | Cutoff, U - RoW</t>
  </si>
  <si>
    <t>Urea (kg/yr)</t>
  </si>
  <si>
    <t>Urea</t>
  </si>
  <si>
    <t>Water, Process (kg/yr)</t>
  </si>
  <si>
    <t>Water</t>
  </si>
  <si>
    <t>Water, Rain, Blue (m3/yr)</t>
  </si>
  <si>
    <t>Water, Rain, Blue</t>
  </si>
  <si>
    <t>meter ** 3 / year</t>
  </si>
  <si>
    <t>Water, Saline (m3/yr)</t>
  </si>
  <si>
    <t>Water, Saline</t>
  </si>
  <si>
    <t>Woody Biomass (kg/yr)</t>
  </si>
  <si>
    <t>Woody Biomass</t>
  </si>
  <si>
    <t>WOG, raw (kg/yr)</t>
  </si>
  <si>
    <t>WOG, raw</t>
  </si>
  <si>
    <t>Yeast (kg/yr)</t>
  </si>
  <si>
    <t>Yeast</t>
  </si>
  <si>
    <t>ethanol production from whey | fodder yeast | Cutoff, U - RoW</t>
  </si>
  <si>
    <t>Diesel (kg/yr)</t>
  </si>
  <si>
    <t>Diesel</t>
  </si>
  <si>
    <t>Electricity, Grid (MJ/yr)</t>
  </si>
  <si>
    <t>Electricity, Grid</t>
  </si>
  <si>
    <t>megajoule / year</t>
  </si>
  <si>
    <t>electricity, high voltage, production mix | electricity, high voltage | Cutoff, U - MRO, US only</t>
  </si>
  <si>
    <t>Electricity, PV Solar (MJ/yr)</t>
  </si>
  <si>
    <t>Electricity, PV Solar</t>
  </si>
  <si>
    <t>Gasoline (kg/yr)</t>
  </si>
  <si>
    <t>Gasoline</t>
  </si>
  <si>
    <t>Liquid Natural Gas - Heat (MJ/yr)</t>
  </si>
  <si>
    <t>LNG</t>
  </si>
  <si>
    <t>heat production, natural gas, at boiler modulating &gt;100kW | heat, district or industrial, natural gas | Cutoff, U - RoW</t>
  </si>
  <si>
    <t>LPG (kg/yr)</t>
  </si>
  <si>
    <t>LPG</t>
  </si>
  <si>
    <t>Heat (MJ/yr)</t>
  </si>
  <si>
    <t>Heat</t>
  </si>
  <si>
    <t>Hydrogen (kg/yr)</t>
  </si>
  <si>
    <t>Hydrogen</t>
  </si>
  <si>
    <t>hydrogen cracking, APME | hydrogen, liquid | Cutoff, U - RoW</t>
  </si>
  <si>
    <t>Natural Gas (kg/yr)</t>
  </si>
  <si>
    <t>Natural Gas</t>
  </si>
  <si>
    <t>Propane, Input (kg/yr)</t>
  </si>
  <si>
    <t>Propane, Input</t>
  </si>
  <si>
    <t>CH4 Emissions (kg/yr)</t>
  </si>
  <si>
    <t>CH4 Emissions</t>
  </si>
  <si>
    <t>Output</t>
  </si>
  <si>
    <t>CO2 Emissions (kg/yr)</t>
  </si>
  <si>
    <t>CO2 Emissions</t>
  </si>
  <si>
    <t>CO Emissions (kg/yr)</t>
  </si>
  <si>
    <t>CO Emissions</t>
  </si>
  <si>
    <t>LUC Emissions (kg CO2e/yr)</t>
  </si>
  <si>
    <t>LUC Emissions</t>
  </si>
  <si>
    <t>N2O Emissions (kg/yr)</t>
  </si>
  <si>
    <t>N2O Emissions</t>
  </si>
  <si>
    <t>NOx Emissions (kg/yr)</t>
  </si>
  <si>
    <t>NOx Emissions</t>
  </si>
  <si>
    <t>Algal Biomass, Whole (kg/yr)</t>
  </si>
  <si>
    <t>Algal Biomass, Whole</t>
  </si>
  <si>
    <t>Algal Biomass, LEA Meal (kg/yr)</t>
  </si>
  <si>
    <t>Algal Biomass, LEA Meal</t>
  </si>
  <si>
    <t>Algal Oil (kg/yr)</t>
  </si>
  <si>
    <t>Algal Oil</t>
  </si>
  <si>
    <t>CO2, Released from Algae Ponds (kg/yr)</t>
  </si>
  <si>
    <t>CO2 Released from Algae Ponds</t>
  </si>
  <si>
    <t>Corn Stover, Collected (kg/yr)</t>
  </si>
  <si>
    <t>Corn Stover, Collected</t>
  </si>
  <si>
    <t>Corn Stover, Left (kg/yr)</t>
  </si>
  <si>
    <t>Corn Stover, Left</t>
  </si>
  <si>
    <t>DDGS (kg/yr)</t>
  </si>
  <si>
    <t>DDGS</t>
  </si>
  <si>
    <t>Glycerin (kg/yr)</t>
  </si>
  <si>
    <t>Glycerin</t>
  </si>
  <si>
    <t>MSW Co-Products (kg/yr)</t>
  </si>
  <si>
    <t>MSW Co-Products</t>
  </si>
  <si>
    <t>Nitrogen Gas (kg/yr)</t>
  </si>
  <si>
    <t>Nitrogen Gas</t>
  </si>
  <si>
    <t>Refused Derived Fuel (kg/yr)</t>
  </si>
  <si>
    <t>Refused Derived Fuel</t>
  </si>
  <si>
    <t>Slag (kg/yr)</t>
  </si>
  <si>
    <t>Slag</t>
  </si>
  <si>
    <t>Soybean Meal (kg/yr)</t>
  </si>
  <si>
    <t>Soybean Meal</t>
  </si>
  <si>
    <t>Soybean Oil (kg/yr)</t>
  </si>
  <si>
    <t>Soybean Oil</t>
  </si>
  <si>
    <t>Soybeans (kg/yr)</t>
  </si>
  <si>
    <t>Soybeans</t>
  </si>
  <si>
    <t>Syncrude (kg/yr)</t>
  </si>
  <si>
    <t>Wastewater, Gasification (kg/yr)</t>
  </si>
  <si>
    <t>Wastewater, Gasification</t>
  </si>
  <si>
    <t>Water, Output (kg/yr)</t>
  </si>
  <si>
    <t>WDGS (kg/yr)</t>
  </si>
  <si>
    <t>WDGS</t>
  </si>
  <si>
    <t>WOG, Delivered (kg/yr)</t>
  </si>
  <si>
    <t>WOG, Delivered</t>
  </si>
  <si>
    <t>Biodiesel, Produced (kg/yr)</t>
  </si>
  <si>
    <t>Biodiesel, Produced</t>
  </si>
  <si>
    <t>Diesel, Produced (kg/yr)</t>
  </si>
  <si>
    <t>Diesel, Produced</t>
  </si>
  <si>
    <t>Electricity, Generated (MJ/yr)</t>
  </si>
  <si>
    <t>Electricity, Generation</t>
  </si>
  <si>
    <t>Ethanol (kg/yr)</t>
  </si>
  <si>
    <t>Ethanol</t>
  </si>
  <si>
    <t>Gasoline, Produced (kg/yr)</t>
  </si>
  <si>
    <t>Gasoline, Produced</t>
  </si>
  <si>
    <t>Hydrogen, Produced (kg/yr)</t>
  </si>
  <si>
    <t>Hydrogen, Produced</t>
  </si>
  <si>
    <t>Jet A-1 (kg/yr)</t>
  </si>
  <si>
    <t>Jet A-1</t>
  </si>
  <si>
    <t>Jet-A (kg/yr)</t>
  </si>
  <si>
    <t>Jet-A</t>
  </si>
  <si>
    <t>JP-5 (kg/yr)</t>
  </si>
  <si>
    <t>JP-5</t>
  </si>
  <si>
    <t>JP-8 (kg/yr)</t>
  </si>
  <si>
    <t>JP-8</t>
  </si>
  <si>
    <t>LPG, Produced (kg/yr)</t>
  </si>
  <si>
    <t>LPG, Produced</t>
  </si>
  <si>
    <t>Naptha (kg/yr)</t>
  </si>
  <si>
    <t>Naptha</t>
  </si>
  <si>
    <t>Propane, Produced (kg/yr)</t>
  </si>
  <si>
    <t>Propane, Produced</t>
  </si>
  <si>
    <t>Inputs and Outputs</t>
  </si>
  <si>
    <t>Cost/Revenue</t>
  </si>
  <si>
    <t>GHG Impact (g CO2e/X)</t>
  </si>
  <si>
    <t>Amount (X)</t>
  </si>
  <si>
    <t>Scale for Calculations (ha or Other)</t>
  </si>
  <si>
    <t>Operating Days (d/yr)</t>
  </si>
  <si>
    <t>Inputs</t>
  </si>
  <si>
    <t>Feedstock Production (ON=1/OFF=0?)</t>
  </si>
  <si>
    <t>Put LNG here?</t>
  </si>
  <si>
    <t>! - Need HHV</t>
  </si>
  <si>
    <t>Extraction/Conversion (ON=1/OFF=0?)</t>
  </si>
  <si>
    <t>! Breakout ?</t>
  </si>
  <si>
    <t>Upgrading (ON=1/OFF=0?)</t>
  </si>
  <si>
    <t>Combustion (ON=1/OFF=0?)</t>
  </si>
  <si>
    <t>Outputs</t>
  </si>
  <si>
    <t>End-Use</t>
  </si>
  <si>
    <t>Combustion</t>
  </si>
  <si>
    <t>Combustion Emissions (kg CO2e/yr)</t>
  </si>
  <si>
    <t>Digestion</t>
  </si>
  <si>
    <t>Digestion Emissions (kg CO2e/yr)</t>
  </si>
  <si>
    <t>Total Pre-Comb Emissions (g CO2e/yr)</t>
  </si>
  <si>
    <t>Total Credits for Non-Liq Trans Fuel (g CO2e/yr)</t>
  </si>
  <si>
    <t>E&amp;M Cost ($/yr)</t>
  </si>
  <si>
    <t>GHG Emissions Tax ($/yr)</t>
  </si>
  <si>
    <t>Baseline Revenue ($/yr)</t>
  </si>
  <si>
    <t>Name</t>
  </si>
  <si>
    <t>Base Value</t>
  </si>
  <si>
    <t>Units</t>
  </si>
  <si>
    <t>Notes</t>
  </si>
  <si>
    <t>I/O</t>
  </si>
  <si>
    <t>Chen 2018</t>
  </si>
  <si>
    <t>Biomass Production</t>
  </si>
  <si>
    <t>Land Area</t>
  </si>
  <si>
    <t>ha</t>
  </si>
  <si>
    <t>Substance Inputs</t>
  </si>
  <si>
    <t>Land Capital Cost</t>
  </si>
  <si>
    <t>dollars/ha</t>
  </si>
  <si>
    <t>$6700/ac, USDA land value?</t>
  </si>
  <si>
    <t>In</t>
  </si>
  <si>
    <t>Substance</t>
  </si>
  <si>
    <t>Value</t>
  </si>
  <si>
    <t>Beal 2020, USDA SoybeansCostReturn</t>
  </si>
  <si>
    <t>CO2, Atmospheric</t>
  </si>
  <si>
    <t>kg/yr</t>
  </si>
  <si>
    <t>dollars/ha/yr</t>
  </si>
  <si>
    <t>#/ha/yr</t>
  </si>
  <si>
    <t>Beal 2020 = 94.5 kg/ha</t>
  </si>
  <si>
    <t>Carbon Content</t>
  </si>
  <si>
    <t>%</t>
  </si>
  <si>
    <t>kg/kg Feedstock</t>
  </si>
  <si>
    <t>Beal 2020, Chen 2018</t>
  </si>
  <si>
    <t>Ag Lime (CaCO3)</t>
  </si>
  <si>
    <t>Beal 2020, Chen 2018 Huo 2009, Han 2013</t>
  </si>
  <si>
    <t>kg/ha/yr</t>
  </si>
  <si>
    <t>Chen 2018, Jack had 224 kg/ha-yr - Source??</t>
  </si>
  <si>
    <t>Chen 2018, Jack had 12.26 kg/ha-yr - Source??</t>
  </si>
  <si>
    <t>Water, Rain</t>
  </si>
  <si>
    <t>m3/yr</t>
  </si>
  <si>
    <t>USDA SoybeansCostReturn, Jack had 3698 kg/ha-yr - Source??</t>
  </si>
  <si>
    <t>Out</t>
  </si>
  <si>
    <t>Fertilizer N2O Rate</t>
  </si>
  <si>
    <t>kg N2O/kg N</t>
  </si>
  <si>
    <t>Huo 2009, Han 2013</t>
  </si>
  <si>
    <t>Rain Water (Blue Water)</t>
  </si>
  <si>
    <t>m3/ha/yr</t>
  </si>
  <si>
    <t>Beal 2020, Chen 2018, Huo 2009</t>
  </si>
  <si>
    <t>Electricity</t>
  </si>
  <si>
    <t>MJ/yr</t>
  </si>
  <si>
    <t>$</t>
  </si>
  <si>
    <t>$/yr</t>
  </si>
  <si>
    <t>MJ/kg Feedstock</t>
  </si>
  <si>
    <t>Soybean Feedstock Cost</t>
  </si>
  <si>
    <t>Not Used Here</t>
  </si>
  <si>
    <t>$/kg</t>
  </si>
  <si>
    <t>Substance Outputs</t>
  </si>
  <si>
    <t>Hexane Solvent Cost</t>
  </si>
  <si>
    <t>Sodium Hydroxide Cost</t>
  </si>
  <si>
    <t>Primary Output</t>
  </si>
  <si>
    <t>Phosphoric Acid Cost</t>
  </si>
  <si>
    <t>Fertilizer N2O</t>
  </si>
  <si>
    <t>Emissions</t>
  </si>
  <si>
    <t>Methanol Deficit Cost</t>
  </si>
  <si>
    <t>Steam Cost</t>
  </si>
  <si>
    <t>LNG Cost</t>
  </si>
  <si>
    <t>$/MJ</t>
  </si>
  <si>
    <t>Electricity Cost</t>
  </si>
  <si>
    <t>Jack Smith</t>
  </si>
  <si>
    <t>$6700/acre, 2.47 acres/ha - Beal 2020 (AltJet)</t>
  </si>
  <si>
    <t>USDA CornCostReturn Excel File</t>
  </si>
  <si>
    <t>Iowa State U. Extension, 2018</t>
  </si>
  <si>
    <t>Iowa State U. Extension, 2018, Beal 2020 (AltJet) = 22.18 kg/ha-yr</t>
  </si>
  <si>
    <t>Beal 2020 (AltJet) - Ontario ministry of agirculture, food, and rural affairs, Biomass burn characteristics for Ontario biomass; dry matter basis</t>
  </si>
  <si>
    <t>Swanson - Beal 2020 (AltJet)</t>
  </si>
  <si>
    <t>Herbicide (Atrazine)</t>
  </si>
  <si>
    <t>Nass 2016 Agricultural Chemical Use Service - Table 2</t>
  </si>
  <si>
    <t>Nass 2016 Agricultural Chemical Use Service - Fig 2, 12% apply Insect.</t>
  </si>
  <si>
    <t>USDA Crop Production 11/10/20.   184 Bu/acre from CornCostReturn - USDA excel file</t>
  </si>
  <si>
    <t xml:space="preserve">Corn Stover Harvesting - MSU Extension </t>
  </si>
  <si>
    <t>Beal 2020 (AltJet)</t>
  </si>
  <si>
    <t>MJ/ha/yr</t>
  </si>
  <si>
    <t>Stover Collected</t>
  </si>
  <si>
    <t>Fertilzer N2O emissions?</t>
  </si>
  <si>
    <t> </t>
  </si>
  <si>
    <t>Iowa State Ag Decision Maker - Estimated Cost of Establishment - Hoque 2014</t>
  </si>
  <si>
    <t>Beal 2020 (AltJet) - Switchgrass Assumption</t>
  </si>
  <si>
    <t>Rhizome Plugs</t>
  </si>
  <si>
    <t>Hoque 2014 - Table 2 - Worth Converting to Mass Somehow?</t>
  </si>
  <si>
    <t>Hoque 2014 - vii</t>
  </si>
  <si>
    <t>#/yr</t>
  </si>
  <si>
    <t>Same as Corn (see note) ! AltJet uses no AgLime for Switch</t>
  </si>
  <si>
    <t>Hoque 2014 - Table 2</t>
  </si>
  <si>
    <t>Miscanthus</t>
  </si>
  <si>
    <t>Heaton 2004</t>
  </si>
  <si>
    <t>Beal 2020 (AltJet) - GREET, Monti, Sanderson, Nelson, Vadas</t>
  </si>
  <si>
    <t>Beal 2020 (AltJet) - Sanderson, Nelson</t>
  </si>
  <si>
    <t>Beal 2020 (AltJet) - GREET, Monti, Sanderson, Nelson</t>
  </si>
  <si>
    <t>Beal 2020 (AltJet) - GREET, Sanderson</t>
  </si>
  <si>
    <t>hectares</t>
  </si>
  <si>
    <t>Beal 2020 (AltJet) - Sanderson</t>
  </si>
  <si>
    <t>Lime, Ag</t>
  </si>
  <si>
    <t>Beal 2020 (AltJet) - Monti, Sanderson, Nelson</t>
  </si>
  <si>
    <t>Beal 2020 (AltJet) - GREET</t>
  </si>
  <si>
    <t>Beal 2020 (AltJet) - Vadas 2008</t>
  </si>
  <si>
    <t xml:space="preserve">Water, Rain </t>
  </si>
  <si>
    <t>Diesel on Farm</t>
  </si>
  <si>
    <t>kg/ha-yr</t>
  </si>
  <si>
    <t>Quinn et al. 2014</t>
  </si>
  <si>
    <t>Beal/Huntley Case 4</t>
  </si>
  <si>
    <t>Lundquist, Case 3/5</t>
  </si>
  <si>
    <t>Davis et al. 2015 DRAFT</t>
  </si>
  <si>
    <t>Bennion et al. 2015</t>
  </si>
  <si>
    <t>Facility Area</t>
  </si>
  <si>
    <t>Capacity Factor (days/yr)</t>
  </si>
  <si>
    <t>Cultivation (and Harvesting)</t>
  </si>
  <si>
    <t>Cultivation Area Percentage</t>
  </si>
  <si>
    <t>Cultivation Area</t>
  </si>
  <si>
    <t>Ash Free Biomass Growth Rate</t>
  </si>
  <si>
    <t xml:space="preserve"> (g/m2-d)</t>
  </si>
  <si>
    <t>25 (T1)</t>
  </si>
  <si>
    <t>22 (p.iii)</t>
  </si>
  <si>
    <t>30 (iii)</t>
  </si>
  <si>
    <t>6.5, 13 (T1)</t>
  </si>
  <si>
    <t>Ash Free Biomass Yield</t>
  </si>
  <si>
    <t>MT/d</t>
  </si>
  <si>
    <t>Pond Depth</t>
  </si>
  <si>
    <t>m</t>
  </si>
  <si>
    <t>30 (67)</t>
  </si>
  <si>
    <t>9" (23), 10" (25)</t>
  </si>
  <si>
    <t>Growth Volume</t>
  </si>
  <si>
    <t>L</t>
  </si>
  <si>
    <t>300,000,000 (83)</t>
  </si>
  <si>
    <t>Harvest Concentration AFDW</t>
  </si>
  <si>
    <t>g/L</t>
  </si>
  <si>
    <t>0.433 (3)</t>
  </si>
  <si>
    <t>0.38 DW? (87)</t>
  </si>
  <si>
    <t>0.5 (12)</t>
  </si>
  <si>
    <t>0.5 (1064)</t>
  </si>
  <si>
    <t>Harvest Volume</t>
  </si>
  <si>
    <t>L/d</t>
  </si>
  <si>
    <t>Lipid Content</t>
  </si>
  <si>
    <t>0.5 (T1)</t>
  </si>
  <si>
    <t>0.25 (p.iii)</t>
  </si>
  <si>
    <t>0.274 (T.2)</t>
  </si>
  <si>
    <t>NA</t>
  </si>
  <si>
    <t>Lipid Yield</t>
  </si>
  <si>
    <t>Carbon Uptake Rate</t>
  </si>
  <si>
    <t>0.85 (118)</t>
  </si>
  <si>
    <t>0.75 (p.79, 86)</t>
  </si>
  <si>
    <t>0.95 (70)</t>
  </si>
  <si>
    <t>Nitrogen Uptake Rate</t>
  </si>
  <si>
    <t>0.95 (p.84)</t>
  </si>
  <si>
    <t>Phosphorus Uptake Rate</t>
  </si>
  <si>
    <t>Cultivation Circulation Energy</t>
  </si>
  <si>
    <t>kWh/ha-d</t>
  </si>
  <si>
    <t>47.7 (74)</t>
  </si>
  <si>
    <t>MJ/d</t>
  </si>
  <si>
    <t>Algal Biomass Generated (kg/yr)</t>
  </si>
  <si>
    <t>Solvent Extraction</t>
  </si>
  <si>
    <t>Hexane (Loss) (kg/yr)</t>
  </si>
  <si>
    <t>Upgrading</t>
  </si>
  <si>
    <t>Wallace 2005 - NREL Co-Located Corn Stover to EtOH Dry Mill Excel Sheet</t>
  </si>
  <si>
    <t>Wallace 2005</t>
  </si>
  <si>
    <t>Lime</t>
  </si>
  <si>
    <t>From Corn Cultivation Sheet</t>
  </si>
  <si>
    <t>Should be about 5% of final EtOH value</t>
  </si>
  <si>
    <t>dollars/kg Feedstock</t>
  </si>
  <si>
    <t>Cooling Water</t>
  </si>
  <si>
    <t>Neglected - Need to work out where this is held</t>
  </si>
  <si>
    <t>Humbird 2011 - Excel Sheet (Opex sheet)</t>
  </si>
  <si>
    <t>Diammonium Phosphate</t>
  </si>
  <si>
    <t>Sulfur Dioxide</t>
  </si>
  <si>
    <t>Humbird 2011 - On-site Boiler Burns Lignin - Displaces LNG</t>
  </si>
  <si>
    <t>Evan Sproul</t>
  </si>
  <si>
    <t>Up Time</t>
  </si>
  <si>
    <t>days/year</t>
  </si>
  <si>
    <t>Shifts</t>
  </si>
  <si>
    <t>shifts/day</t>
  </si>
  <si>
    <t>Hours</t>
  </si>
  <si>
    <t>hours/shift</t>
  </si>
  <si>
    <t>Biomass Input</t>
  </si>
  <si>
    <t>kg AFDW /year</t>
  </si>
  <si>
    <t>Needs to be connected to cultivation sheets instead of being independent parameter (delete row)</t>
  </si>
  <si>
    <t>Percent Solids</t>
  </si>
  <si>
    <t>kg dry solids/kg wet</t>
  </si>
  <si>
    <t>Protein Content</t>
  </si>
  <si>
    <t>kg protiens/kg dry algae</t>
  </si>
  <si>
    <t>Carbohydrate Content</t>
  </si>
  <si>
    <t>kg carbohydrates/kg dry algae</t>
  </si>
  <si>
    <t>kg lipids/kg dry algae</t>
  </si>
  <si>
    <t>Ash Content</t>
  </si>
  <si>
    <t>kg ash/kg dry algae</t>
  </si>
  <si>
    <t>Drying Heat</t>
  </si>
  <si>
    <t>MJ / kg AFDW</t>
  </si>
  <si>
    <t>Process Heat</t>
  </si>
  <si>
    <t>Process Electricity</t>
  </si>
  <si>
    <t>LNG to Heat Efficiency</t>
  </si>
  <si>
    <t>MJ LNG / MJ Heat</t>
  </si>
  <si>
    <t>Biocrude Yield Lipids Coefficient</t>
  </si>
  <si>
    <t>Biocrude Yield Protiens Coefficient</t>
  </si>
  <si>
    <t>Biocrude Carbs Coefficient</t>
  </si>
  <si>
    <t>Biocrude Yield Ash Coefficient</t>
  </si>
  <si>
    <t>Biochar Yield Lipids Coefficient</t>
  </si>
  <si>
    <t>Biochar Yield Protiens Coefficient</t>
  </si>
  <si>
    <t>Biochar Yield Carbs Coefficient</t>
  </si>
  <si>
    <t>Biochar Yield Ash Coefficient</t>
  </si>
  <si>
    <t>$/kg feedstock AFDW</t>
  </si>
  <si>
    <t>Variable Operational Cost</t>
  </si>
  <si>
    <t>Probably should be replaced with actual costs of electricity, LNG, algae</t>
  </si>
  <si>
    <t>Fixed Operational Cost</t>
  </si>
  <si>
    <t>Algae Biocrude Production</t>
  </si>
  <si>
    <t>Algae (AFDW)</t>
  </si>
  <si>
    <t>Biocrude</t>
  </si>
  <si>
    <t>Biochar</t>
  </si>
  <si>
    <t>Feedstock</t>
  </si>
  <si>
    <t>tonnes/year</t>
  </si>
  <si>
    <t xml:space="preserve">Sand to Feedstock </t>
  </si>
  <si>
    <t>kg/kg</t>
  </si>
  <si>
    <t>Zeolite Catalyst to Feedstock</t>
  </si>
  <si>
    <t>Natural Gas to Feedstock</t>
  </si>
  <si>
    <t>Includes upgrading, need to separate out</t>
  </si>
  <si>
    <t>Caustic to Feedstock</t>
  </si>
  <si>
    <t>Need to define what this is</t>
  </si>
  <si>
    <t>Boiler Chemicals to Feedstock</t>
  </si>
  <si>
    <t>Cooling Tower Chemicals to Feedstock</t>
  </si>
  <si>
    <t>Makeup Water to Feedstock</t>
  </si>
  <si>
    <t>Diesel Input to Feedstock</t>
  </si>
  <si>
    <t>Biocrude Output to Feedstock</t>
  </si>
  <si>
    <t>Electricity Output to Feedstock</t>
  </si>
  <si>
    <t>kWh/kg</t>
  </si>
  <si>
    <t>Biochar Output to Feedstock</t>
  </si>
  <si>
    <t>Capital Cost to Annual Feedstock Throughput</t>
  </si>
  <si>
    <t>Adjusted for inflation at 1.81% from 2011 to 2021</t>
  </si>
  <si>
    <t>Fixed Operational Cost to Annual Feedstock Thoughput</t>
  </si>
  <si>
    <t>Biocrude Production</t>
  </si>
  <si>
    <t>Sand</t>
  </si>
  <si>
    <t>Zeolite Catalyst</t>
  </si>
  <si>
    <t>Caustic</t>
  </si>
  <si>
    <t>Pulled from TEA OpEX breakdowns in Excel model, need to clarify what this is</t>
  </si>
  <si>
    <t>Boiler Chemicals</t>
  </si>
  <si>
    <t>Pulled from TEA OpEX breakdowns in Excel model, need to resolve into individual chemicals</t>
  </si>
  <si>
    <t>Cooling Tower Chemicals</t>
  </si>
  <si>
    <t>Makeup Water</t>
  </si>
  <si>
    <t>kWh/yr</t>
  </si>
  <si>
    <t>Source: Dutta et al. https://www.nrel.gov/docs/fy15osti/62455.pdf</t>
  </si>
  <si>
    <t>Soybeans Conversion/Extraction</t>
  </si>
  <si>
    <t>Algae Conversion/Extraction</t>
  </si>
  <si>
    <t>Neglected</t>
  </si>
  <si>
    <t>Beal 2020</t>
  </si>
  <si>
    <t>Beal 2020, Chen 2018, Phan 2008</t>
  </si>
  <si>
    <t>Process Water</t>
  </si>
  <si>
    <t>Chen 2018 (w/ Coal)</t>
  </si>
  <si>
    <t>$/ha-yr</t>
  </si>
  <si>
    <t>Soy Oil</t>
  </si>
  <si>
    <t>Algae Oil</t>
  </si>
  <si>
    <t>Soybean  Meal</t>
  </si>
  <si>
    <t>Algae Meal, LEA</t>
  </si>
  <si>
    <t>Veg Oil Transesterification</t>
  </si>
  <si>
    <t>Chemicals &lt;100 g/kg biodiesel</t>
  </si>
  <si>
    <t>NEGLECT</t>
  </si>
  <si>
    <t>Chen Total Yield</t>
  </si>
  <si>
    <t>kg biodiesel/kg veg oil</t>
  </si>
  <si>
    <t>kg biodiesel/kg soy</t>
  </si>
  <si>
    <t>Jack Source?</t>
  </si>
  <si>
    <t>Estimate</t>
  </si>
  <si>
    <t>Neglect</t>
  </si>
  <si>
    <t>Biodiesel</t>
  </si>
  <si>
    <t>Gasification</t>
  </si>
  <si>
    <t>kg/kg veg oil</t>
  </si>
  <si>
    <t>MJ/kg veg oil</t>
  </si>
  <si>
    <t>$/kg veg oil</t>
  </si>
  <si>
    <t>Jet-A Yield</t>
  </si>
  <si>
    <t>Water Yield</t>
  </si>
  <si>
    <t>Carbon Dioxide Yield</t>
  </si>
  <si>
    <t>Propane Yield</t>
  </si>
  <si>
    <t>LPG Yield</t>
  </si>
  <si>
    <t>Diesel Yield</t>
  </si>
  <si>
    <t>Gasoline Yield</t>
  </si>
  <si>
    <t>Veg Oil Hydroprocessing</t>
  </si>
  <si>
    <t>substance_id</t>
  </si>
  <si>
    <t>land_cost</t>
  </si>
  <si>
    <t>capital_cost</t>
  </si>
  <si>
    <t>labor</t>
  </si>
  <si>
    <t>air</t>
  </si>
  <si>
    <t>alpha-amylase</t>
  </si>
  <si>
    <t>ammonia</t>
  </si>
  <si>
    <t>enzymes</t>
  </si>
  <si>
    <t>glucoamylase</t>
  </si>
  <si>
    <t>glucose</t>
  </si>
  <si>
    <t>glyphosate</t>
  </si>
  <si>
    <t>herbicide</t>
  </si>
  <si>
    <t>insecticide</t>
  </si>
  <si>
    <t>methanol</t>
  </si>
  <si>
    <t>msw</t>
  </si>
  <si>
    <t>plastic</t>
  </si>
  <si>
    <t>steam</t>
  </si>
  <si>
    <t>urea</t>
  </si>
  <si>
    <t>yeast</t>
  </si>
  <si>
    <t>diesel</t>
  </si>
  <si>
    <t>gasoline</t>
  </si>
  <si>
    <t>lng</t>
  </si>
  <si>
    <t>lpg</t>
  </si>
  <si>
    <t>heat</t>
  </si>
  <si>
    <t>hydrogen</t>
  </si>
  <si>
    <t>ddgs</t>
  </si>
  <si>
    <t>glycerin</t>
  </si>
  <si>
    <t>slag</t>
  </si>
  <si>
    <t>soybeans</t>
  </si>
  <si>
    <t>wdgs</t>
  </si>
  <si>
    <t>ethanol</t>
  </si>
  <si>
    <t>naptha</t>
  </si>
  <si>
    <t>arable_land</t>
  </si>
  <si>
    <t>marginal_land</t>
  </si>
  <si>
    <t>corn_grain</t>
  </si>
  <si>
    <t>corn_seed</t>
  </si>
  <si>
    <t>corn_stover</t>
  </si>
  <si>
    <t>etoh_catalysts</t>
  </si>
  <si>
    <t>forestry_residue</t>
  </si>
  <si>
    <t>forestry_seed</t>
  </si>
  <si>
    <t>ft_catalysts</t>
  </si>
  <si>
    <t>grass_seed</t>
  </si>
  <si>
    <t>lime_hydrated</t>
  </si>
  <si>
    <t>phosphoric_acid</t>
  </si>
  <si>
    <t>sodium_hydroxide</t>
  </si>
  <si>
    <t>soybean_seed</t>
  </si>
  <si>
    <t>sulfuric_acid</t>
  </si>
  <si>
    <t>water_saline</t>
  </si>
  <si>
    <t>woody_biomass</t>
  </si>
  <si>
    <t>electricity_grid</t>
  </si>
  <si>
    <t>natural_gas</t>
  </si>
  <si>
    <t>propane_input</t>
  </si>
  <si>
    <t>co_emissions</t>
  </si>
  <si>
    <t>luc_emissions</t>
  </si>
  <si>
    <t>nox_emissions</t>
  </si>
  <si>
    <t>algal_oil</t>
  </si>
  <si>
    <t>msw_co-products</t>
  </si>
  <si>
    <t>nitrogen_gas</t>
  </si>
  <si>
    <t>soybean_meal</t>
  </si>
  <si>
    <t>soybean_oil</t>
  </si>
  <si>
    <t>wastewater_gasification</t>
  </si>
  <si>
    <t>wog_delivered</t>
  </si>
  <si>
    <t>biodiesel_produced</t>
  </si>
  <si>
    <t>diesel_produced</t>
  </si>
  <si>
    <t>electricity_generated</t>
  </si>
  <si>
    <t>gasoline_produced</t>
  </si>
  <si>
    <t>hydrogen_produced</t>
  </si>
  <si>
    <t>jet_a-1</t>
  </si>
  <si>
    <t>jet_a</t>
  </si>
  <si>
    <t>lpg_produced</t>
  </si>
  <si>
    <t>propane_produced</t>
  </si>
  <si>
    <t>nitrogen_in_fertilizer</t>
  </si>
  <si>
    <t>phosphorus_in_fertilizer</t>
  </si>
  <si>
    <t>potassium_in_fertilizer</t>
  </si>
  <si>
    <t>water_rain_blue</t>
  </si>
  <si>
    <t>corn_steep_liquor</t>
  </si>
  <si>
    <t>algal_biomass_whole</t>
  </si>
  <si>
    <t>corn_stover_collected</t>
  </si>
  <si>
    <t>corn_stover_left</t>
  </si>
  <si>
    <t>refused_derived_fuel</t>
  </si>
  <si>
    <t>wog_raw</t>
  </si>
  <si>
    <t>co2_emissions</t>
  </si>
  <si>
    <t>co2_atmospheric</t>
  </si>
  <si>
    <t>co2_commercial</t>
  </si>
  <si>
    <t>ch4_emissions</t>
  </si>
  <si>
    <t>n2o_emissions</t>
  </si>
  <si>
    <t>water_process</t>
  </si>
  <si>
    <t>algal_biomass_lea_meal</t>
  </si>
  <si>
    <t>water_output</t>
  </si>
  <si>
    <t>co2_from_algae_ponds</t>
  </si>
  <si>
    <t>Syncrude</t>
  </si>
  <si>
    <t>syncrude</t>
  </si>
  <si>
    <t>jp5</t>
  </si>
  <si>
    <t>jp8</t>
  </si>
  <si>
    <t>hexane_loss</t>
  </si>
  <si>
    <t>electricity_pv</t>
  </si>
  <si>
    <t>Biochar (kg/yr)</t>
  </si>
  <si>
    <t>biochar</t>
  </si>
  <si>
    <t>ag_lime</t>
  </si>
  <si>
    <t>Ammonium Sulfate</t>
  </si>
  <si>
    <t>ammonium_sulfate</t>
  </si>
  <si>
    <t>biocrude</t>
  </si>
  <si>
    <t>Calcium Chloride</t>
  </si>
  <si>
    <t>calcium_chloride</t>
  </si>
  <si>
    <t>Corn Beer</t>
  </si>
  <si>
    <t>corn_beer</t>
  </si>
  <si>
    <t>Corn Oil</t>
  </si>
  <si>
    <t>corn_oil</t>
  </si>
  <si>
    <t>diammonium_phosphate</t>
  </si>
  <si>
    <t>fertilizer_n2o</t>
  </si>
  <si>
    <t>land_area</t>
  </si>
  <si>
    <t>miscanthus</t>
  </si>
  <si>
    <t>rain_water_blue_water</t>
  </si>
  <si>
    <t>rhizome_plugs</t>
  </si>
  <si>
    <t>sulfur_dioxide</t>
  </si>
  <si>
    <t>Wastewater</t>
  </si>
  <si>
    <t>wastewater</t>
  </si>
  <si>
    <t>Greenhouse Gas Impact</t>
  </si>
  <si>
    <t>ghg_i</t>
  </si>
  <si>
    <t>liquefied petroleum gas, import | liquefied petroleum gas | Cutoff, S - CH</t>
  </si>
  <si>
    <t>natural gas production | ethane | Cutoff, U -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</si>
</sst>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#,##0.000"/>
    <numFmt numFmtId="167" formatCode="0.0E+00"/>
    <numFmt numFmtId="168" formatCode="0.0"/>
    <numFmt numFmtId="169" formatCode="0.0000"/>
  </numFmts>
  <fonts count="3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33D6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AB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24CFF"/>
        <bgColor indexed="64"/>
      </patternFill>
    </fill>
    <fill>
      <patternFill patternType="solid">
        <fgColor rgb="FF33D6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3">
    <xf numFmtId="0" fontId="0" fillId="0" borderId="0"/>
    <xf numFmtId="44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0" borderId="0"/>
    <xf numFmtId="0" fontId="11" fillId="0" borderId="0"/>
    <xf numFmtId="0" fontId="13" fillId="21" borderId="3" applyNumberFormat="0" applyAlignment="0" applyProtection="0"/>
    <xf numFmtId="0" fontId="14" fillId="2" borderId="0" applyNumberFormat="0" applyBorder="0" applyAlignment="0" applyProtection="0"/>
    <xf numFmtId="0" fontId="15" fillId="22" borderId="4" applyNumberFormat="0" applyAlignment="0" applyProtection="0"/>
    <xf numFmtId="0" fontId="16" fillId="19" borderId="0" applyNumberFormat="0" applyBorder="0" applyAlignment="0" applyProtection="0"/>
    <xf numFmtId="44" fontId="11" fillId="0" borderId="0" applyFont="0" applyFill="0" applyBorder="0" applyAlignment="0" applyProtection="0"/>
    <xf numFmtId="0" fontId="17" fillId="20" borderId="0" applyNumberFormat="0" applyBorder="0" applyAlignment="0" applyProtection="0"/>
    <xf numFmtId="9" fontId="11" fillId="0" borderId="0" applyFont="0" applyFill="0" applyBorder="0" applyAlignment="0" applyProtection="0"/>
    <xf numFmtId="0" fontId="17" fillId="20" borderId="0" applyNumberFormat="0" applyBorder="0" applyAlignment="0" applyProtection="0"/>
  </cellStyleXfs>
  <cellXfs count="279">
    <xf numFmtId="0" fontId="0" fillId="0" borderId="0" xfId="0"/>
    <xf numFmtId="0" fontId="5" fillId="0" borderId="0" xfId="0" applyFont="1"/>
    <xf numFmtId="0" fontId="6" fillId="3" borderId="1" xfId="0" applyFont="1" applyFill="1" applyBorder="1"/>
    <xf numFmtId="1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2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0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4" fontId="0" fillId="5" borderId="1" xfId="0" applyNumberFormat="1" applyFill="1" applyBorder="1" applyAlignment="1">
      <alignment horizontal="center"/>
    </xf>
    <xf numFmtId="3" fontId="0" fillId="5" borderId="1" xfId="0" applyNumberFormat="1" applyFont="1" applyFill="1" applyBorder="1" applyAlignment="1">
      <alignment horizontal="center"/>
    </xf>
    <xf numFmtId="166" fontId="0" fillId="6" borderId="1" xfId="0" applyNumberFormat="1" applyFill="1" applyBorder="1"/>
    <xf numFmtId="166" fontId="0" fillId="6" borderId="1" xfId="0" applyNumberFormat="1" applyFill="1" applyBorder="1" applyAlignment="1">
      <alignment horizontal="center"/>
    </xf>
    <xf numFmtId="166" fontId="0" fillId="0" borderId="0" xfId="0" applyNumberFormat="1"/>
    <xf numFmtId="164" fontId="0" fillId="6" borderId="1" xfId="0" applyNumberFormat="1" applyFill="1" applyBorder="1" applyAlignment="1">
      <alignment horizontal="center"/>
    </xf>
    <xf numFmtId="166" fontId="6" fillId="14" borderId="1" xfId="0" applyNumberFormat="1" applyFont="1" applyFill="1" applyBorder="1" applyAlignment="1">
      <alignment horizontal="left"/>
    </xf>
    <xf numFmtId="164" fontId="0" fillId="14" borderId="1" xfId="0" applyNumberForma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0" fillId="16" borderId="1" xfId="0" applyFill="1" applyBorder="1"/>
    <xf numFmtId="0" fontId="7" fillId="16" borderId="1" xfId="0" applyFont="1" applyFill="1" applyBorder="1" applyAlignment="1">
      <alignment horizontal="center"/>
    </xf>
    <xf numFmtId="165" fontId="6" fillId="17" borderId="1" xfId="0" applyNumberFormat="1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0" fillId="17" borderId="1" xfId="0" applyFill="1" applyBorder="1"/>
    <xf numFmtId="165" fontId="0" fillId="17" borderId="1" xfId="0" applyNumberFormat="1" applyFill="1" applyBorder="1" applyAlignment="1">
      <alignment horizontal="center"/>
    </xf>
    <xf numFmtId="0" fontId="0" fillId="18" borderId="0" xfId="0" applyFont="1" applyFill="1" applyAlignment="1">
      <alignment horizontal="center" vertical="center"/>
    </xf>
    <xf numFmtId="164" fontId="0" fillId="18" borderId="0" xfId="0" applyNumberFormat="1" applyFont="1" applyFill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/>
    </xf>
    <xf numFmtId="0" fontId="0" fillId="7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16" borderId="0" xfId="0" applyFill="1"/>
    <xf numFmtId="0" fontId="0" fillId="11" borderId="0" xfId="0" applyFill="1"/>
    <xf numFmtId="0" fontId="0" fillId="12" borderId="0" xfId="0" applyFill="1"/>
    <xf numFmtId="0" fontId="5" fillId="4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7" fontId="0" fillId="7" borderId="1" xfId="0" applyNumberFormat="1" applyFill="1" applyBorder="1"/>
    <xf numFmtId="167" fontId="0" fillId="9" borderId="1" xfId="0" applyNumberFormat="1" applyFill="1" applyBorder="1"/>
    <xf numFmtId="0" fontId="6" fillId="9" borderId="1" xfId="0" applyFont="1" applyFill="1" applyBorder="1"/>
    <xf numFmtId="0" fontId="6" fillId="3" borderId="1" xfId="0" applyFont="1" applyFill="1" applyBorder="1" applyAlignment="1">
      <alignment horizontal="center"/>
    </xf>
    <xf numFmtId="4" fontId="6" fillId="3" borderId="1" xfId="0" applyNumberFormat="1" applyFont="1" applyFill="1" applyBorder="1" applyAlignment="1">
      <alignment horizontal="center"/>
    </xf>
    <xf numFmtId="0" fontId="10" fillId="0" borderId="0" xfId="0" applyFont="1"/>
    <xf numFmtId="0" fontId="0" fillId="6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10" fillId="3" borderId="0" xfId="0" applyFont="1" applyFill="1"/>
    <xf numFmtId="0" fontId="0" fillId="3" borderId="0" xfId="0" applyFill="1" applyAlignment="1">
      <alignment horizontal="right"/>
    </xf>
    <xf numFmtId="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23" borderId="0" xfId="0" applyFill="1"/>
    <xf numFmtId="0" fontId="3" fillId="0" borderId="0" xfId="3"/>
    <xf numFmtId="4" fontId="3" fillId="0" borderId="0" xfId="3" applyNumberFormat="1"/>
    <xf numFmtId="0" fontId="5" fillId="0" borderId="0" xfId="3" applyFont="1"/>
    <xf numFmtId="0" fontId="11" fillId="0" borderId="0" xfId="4"/>
    <xf numFmtId="0" fontId="11" fillId="0" borderId="0" xfId="4" applyAlignment="1">
      <alignment horizontal="right"/>
    </xf>
    <xf numFmtId="0" fontId="18" fillId="3" borderId="0" xfId="4" applyFont="1" applyFill="1"/>
    <xf numFmtId="0" fontId="0" fillId="25" borderId="0" xfId="0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/>
    <xf numFmtId="11" fontId="0" fillId="0" borderId="0" xfId="0" applyNumberFormat="1"/>
    <xf numFmtId="0" fontId="6" fillId="4" borderId="0" xfId="0" applyFont="1" applyFill="1"/>
    <xf numFmtId="0" fontId="8" fillId="8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5" fillId="8" borderId="1" xfId="0" applyFont="1" applyFill="1" applyBorder="1" applyAlignment="1">
      <alignment horizontal="center"/>
    </xf>
    <xf numFmtId="0" fontId="0" fillId="8" borderId="2" xfId="0" applyFill="1" applyBorder="1"/>
    <xf numFmtId="0" fontId="0" fillId="8" borderId="2" xfId="0" applyFont="1" applyFill="1" applyBorder="1" applyAlignment="1">
      <alignment horizontal="center"/>
    </xf>
    <xf numFmtId="0" fontId="8" fillId="0" borderId="1" xfId="4" applyFont="1" applyBorder="1" applyAlignment="1">
      <alignment horizontal="right"/>
    </xf>
    <xf numFmtId="0" fontId="8" fillId="0" borderId="1" xfId="4" applyFont="1" applyBorder="1" applyAlignment="1">
      <alignment horizontal="center"/>
    </xf>
    <xf numFmtId="0" fontId="8" fillId="0" borderId="1" xfId="4" applyFont="1" applyBorder="1" applyAlignment="1">
      <alignment horizontal="left"/>
    </xf>
    <xf numFmtId="0" fontId="8" fillId="0" borderId="1" xfId="4" applyFont="1" applyBorder="1"/>
    <xf numFmtId="0" fontId="11" fillId="4" borderId="1" xfId="4" applyFill="1" applyBorder="1" applyAlignment="1">
      <alignment horizontal="right"/>
    </xf>
    <xf numFmtId="0" fontId="10" fillId="0" borderId="1" xfId="4" applyFont="1" applyBorder="1"/>
    <xf numFmtId="0" fontId="11" fillId="0" borderId="1" xfId="4" applyBorder="1"/>
    <xf numFmtId="0" fontId="11" fillId="5" borderId="1" xfId="4" applyFill="1" applyBorder="1" applyAlignment="1">
      <alignment horizontal="right"/>
    </xf>
    <xf numFmtId="0" fontId="11" fillId="6" borderId="1" xfId="4" applyFill="1" applyBorder="1" applyAlignment="1">
      <alignment horizontal="right"/>
    </xf>
    <xf numFmtId="0" fontId="11" fillId="26" borderId="1" xfId="4" applyFill="1" applyBorder="1" applyAlignment="1">
      <alignment horizontal="right"/>
    </xf>
    <xf numFmtId="0" fontId="8" fillId="0" borderId="6" xfId="4" applyFont="1" applyBorder="1" applyAlignment="1">
      <alignment horizontal="right"/>
    </xf>
    <xf numFmtId="0" fontId="8" fillId="0" borderId="2" xfId="4" applyFont="1" applyBorder="1"/>
    <xf numFmtId="0" fontId="11" fillId="0" borderId="1" xfId="4" applyBorder="1" applyAlignment="1">
      <alignment horizontal="right"/>
    </xf>
    <xf numFmtId="1" fontId="11" fillId="0" borderId="1" xfId="4" applyNumberFormat="1" applyBorder="1"/>
    <xf numFmtId="2" fontId="11" fillId="0" borderId="1" xfId="4" applyNumberFormat="1" applyBorder="1"/>
    <xf numFmtId="168" fontId="11" fillId="0" borderId="1" xfId="4" applyNumberFormat="1" applyBorder="1"/>
    <xf numFmtId="0" fontId="10" fillId="0" borderId="1" xfId="4" applyFont="1" applyBorder="1" applyAlignment="1">
      <alignment horizontal="right"/>
    </xf>
    <xf numFmtId="4" fontId="11" fillId="0" borderId="1" xfId="4" applyNumberFormat="1" applyBorder="1"/>
    <xf numFmtId="0" fontId="10" fillId="0" borderId="0" xfId="4" applyFont="1"/>
    <xf numFmtId="0" fontId="12" fillId="24" borderId="0" xfId="4" applyFont="1" applyFill="1" applyAlignment="1">
      <alignment horizontal="center" vertical="center"/>
    </xf>
    <xf numFmtId="0" fontId="11" fillId="0" borderId="0" xfId="4" applyBorder="1"/>
    <xf numFmtId="0" fontId="6" fillId="10" borderId="2" xfId="0" applyFon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8" borderId="1" xfId="0" applyNumberFormat="1" applyFill="1" applyBorder="1" applyAlignment="1">
      <alignment horizontal="center"/>
    </xf>
    <xf numFmtId="0" fontId="10" fillId="28" borderId="1" xfId="4" applyFont="1" applyFill="1" applyBorder="1"/>
    <xf numFmtId="0" fontId="11" fillId="28" borderId="1" xfId="4" applyFill="1" applyBorder="1" applyAlignment="1">
      <alignment horizontal="left"/>
    </xf>
    <xf numFmtId="0" fontId="10" fillId="0" borderId="1" xfId="4" applyFont="1" applyFill="1" applyBorder="1"/>
    <xf numFmtId="0" fontId="11" fillId="0" borderId="1" xfId="4" applyFill="1" applyBorder="1" applyAlignment="1">
      <alignment horizontal="left"/>
    </xf>
    <xf numFmtId="0" fontId="11" fillId="0" borderId="1" xfId="4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11" fillId="28" borderId="1" xfId="4" applyFill="1" applyBorder="1"/>
    <xf numFmtId="1" fontId="0" fillId="4" borderId="1" xfId="0" applyNumberForma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8" fillId="3" borderId="0" xfId="4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0" fontId="11" fillId="6" borderId="5" xfId="4" applyFill="1" applyBorder="1" applyAlignment="1">
      <alignment horizontal="right"/>
    </xf>
    <xf numFmtId="0" fontId="10" fillId="20" borderId="1" xfId="12" applyFont="1" applyBorder="1"/>
    <xf numFmtId="0" fontId="18" fillId="3" borderId="0" xfId="4" applyFont="1" applyFill="1" applyAlignment="1">
      <alignment horizontal="left"/>
    </xf>
    <xf numFmtId="0" fontId="10" fillId="0" borderId="1" xfId="0" applyFont="1" applyBorder="1"/>
    <xf numFmtId="168" fontId="10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10" fillId="0" borderId="1" xfId="0" applyFont="1" applyBorder="1" applyAlignment="1">
      <alignment horizontal="right"/>
    </xf>
    <xf numFmtId="2" fontId="23" fillId="4" borderId="1" xfId="0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wrapText="1"/>
    </xf>
    <xf numFmtId="0" fontId="24" fillId="0" borderId="6" xfId="0" applyFont="1" applyFill="1" applyBorder="1" applyAlignment="1">
      <alignment wrapText="1"/>
    </xf>
    <xf numFmtId="0" fontId="24" fillId="0" borderId="8" xfId="0" applyFont="1" applyFill="1" applyBorder="1" applyAlignment="1">
      <alignment wrapText="1"/>
    </xf>
    <xf numFmtId="0" fontId="24" fillId="0" borderId="9" xfId="0" applyFont="1" applyFill="1" applyBorder="1" applyAlignment="1">
      <alignment wrapText="1"/>
    </xf>
    <xf numFmtId="0" fontId="25" fillId="0" borderId="6" xfId="0" applyFont="1" applyFill="1" applyBorder="1" applyAlignment="1">
      <alignment wrapText="1"/>
    </xf>
    <xf numFmtId="0" fontId="25" fillId="0" borderId="9" xfId="0" applyFont="1" applyFill="1" applyBorder="1" applyAlignment="1">
      <alignment wrapText="1"/>
    </xf>
    <xf numFmtId="9" fontId="25" fillId="0" borderId="9" xfId="0" applyNumberFormat="1" applyFont="1" applyFill="1" applyBorder="1" applyAlignment="1">
      <alignment wrapText="1"/>
    </xf>
    <xf numFmtId="0" fontId="0" fillId="0" borderId="1" xfId="0" applyBorder="1"/>
    <xf numFmtId="0" fontId="24" fillId="0" borderId="0" xfId="0" applyFont="1" applyFill="1" applyBorder="1" applyAlignment="1">
      <alignment wrapText="1"/>
    </xf>
    <xf numFmtId="0" fontId="24" fillId="0" borderId="10" xfId="0" applyFont="1" applyFill="1" applyBorder="1" applyAlignment="1">
      <alignment wrapText="1"/>
    </xf>
    <xf numFmtId="2" fontId="25" fillId="0" borderId="10" xfId="0" applyNumberFormat="1" applyFont="1" applyFill="1" applyBorder="1" applyAlignment="1">
      <alignment wrapText="1"/>
    </xf>
    <xf numFmtId="2" fontId="10" fillId="0" borderId="10" xfId="0" applyNumberFormat="1" applyFont="1" applyBorder="1"/>
    <xf numFmtId="0" fontId="24" fillId="0" borderId="5" xfId="0" applyFont="1" applyFill="1" applyBorder="1" applyAlignment="1">
      <alignment wrapText="1"/>
    </xf>
    <xf numFmtId="0" fontId="24" fillId="0" borderId="11" xfId="0" applyFont="1" applyFill="1" applyBorder="1" applyAlignment="1">
      <alignment wrapText="1"/>
    </xf>
    <xf numFmtId="0" fontId="26" fillId="0" borderId="6" xfId="0" applyFont="1" applyFill="1" applyBorder="1" applyAlignment="1">
      <alignment wrapText="1"/>
    </xf>
    <xf numFmtId="0" fontId="25" fillId="0" borderId="0" xfId="0" applyFont="1" applyFill="1" applyBorder="1" applyAlignment="1">
      <alignment wrapText="1"/>
    </xf>
    <xf numFmtId="0" fontId="24" fillId="0" borderId="7" xfId="0" applyFont="1" applyFill="1" applyBorder="1" applyAlignment="1">
      <alignment wrapText="1"/>
    </xf>
    <xf numFmtId="0" fontId="24" fillId="0" borderId="1" xfId="0" applyFont="1" applyFill="1" applyBorder="1" applyAlignment="1">
      <alignment horizontal="right" wrapText="1"/>
    </xf>
    <xf numFmtId="0" fontId="28" fillId="30" borderId="1" xfId="0" applyFont="1" applyFill="1" applyBorder="1" applyAlignment="1">
      <alignment wrapText="1"/>
    </xf>
    <xf numFmtId="0" fontId="28" fillId="30" borderId="6" xfId="0" applyFont="1" applyFill="1" applyBorder="1" applyAlignment="1">
      <alignment wrapText="1"/>
    </xf>
    <xf numFmtId="0" fontId="26" fillId="0" borderId="9" xfId="0" applyFont="1" applyFill="1" applyBorder="1" applyAlignment="1">
      <alignment wrapText="1"/>
    </xf>
    <xf numFmtId="0" fontId="26" fillId="0" borderId="7" xfId="0" applyFont="1" applyFill="1" applyBorder="1" applyAlignment="1">
      <alignment wrapText="1"/>
    </xf>
    <xf numFmtId="0" fontId="24" fillId="31" borderId="8" xfId="0" applyFont="1" applyFill="1" applyBorder="1" applyAlignment="1">
      <alignment horizontal="right" wrapText="1"/>
    </xf>
    <xf numFmtId="0" fontId="26" fillId="0" borderId="9" xfId="0" applyFont="1" applyFill="1" applyBorder="1" applyAlignment="1">
      <alignment horizontal="right" wrapText="1"/>
    </xf>
    <xf numFmtId="0" fontId="24" fillId="32" borderId="8" xfId="0" applyFont="1" applyFill="1" applyBorder="1" applyAlignment="1">
      <alignment horizontal="right" wrapText="1"/>
    </xf>
    <xf numFmtId="2" fontId="10" fillId="0" borderId="0" xfId="0" applyNumberFormat="1" applyFont="1" applyBorder="1"/>
    <xf numFmtId="0" fontId="24" fillId="0" borderId="14" xfId="0" applyFont="1" applyFill="1" applyBorder="1" applyAlignment="1">
      <alignment wrapText="1"/>
    </xf>
    <xf numFmtId="2" fontId="10" fillId="0" borderId="14" xfId="0" applyNumberFormat="1" applyFont="1" applyBorder="1"/>
    <xf numFmtId="0" fontId="9" fillId="11" borderId="8" xfId="4" applyFont="1" applyFill="1" applyBorder="1" applyAlignment="1">
      <alignment vertical="center"/>
    </xf>
    <xf numFmtId="0" fontId="24" fillId="0" borderId="10" xfId="0" applyFont="1" applyFill="1" applyBorder="1" applyAlignment="1">
      <alignment horizontal="right" wrapText="1"/>
    </xf>
    <xf numFmtId="0" fontId="25" fillId="0" borderId="10" xfId="0" applyFont="1" applyFill="1" applyBorder="1" applyAlignment="1">
      <alignment wrapText="1"/>
    </xf>
    <xf numFmtId="0" fontId="10" fillId="0" borderId="10" xfId="0" applyFont="1" applyBorder="1"/>
    <xf numFmtId="0" fontId="8" fillId="0" borderId="12" xfId="4" applyFont="1" applyBorder="1" applyAlignment="1">
      <alignment horizontal="right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0" fontId="10" fillId="0" borderId="14" xfId="0" applyFont="1" applyBorder="1"/>
    <xf numFmtId="0" fontId="29" fillId="0" borderId="10" xfId="0" applyFont="1" applyBorder="1"/>
    <xf numFmtId="0" fontId="20" fillId="28" borderId="1" xfId="0" applyFont="1" applyFill="1" applyBorder="1" applyAlignment="1">
      <alignment horizontal="center"/>
    </xf>
    <xf numFmtId="4" fontId="0" fillId="28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2" fontId="0" fillId="28" borderId="1" xfId="0" applyNumberFormat="1" applyFill="1" applyBorder="1" applyAlignment="1">
      <alignment horizontal="center"/>
    </xf>
    <xf numFmtId="4" fontId="5" fillId="28" borderId="1" xfId="0" applyNumberFormat="1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0" fontId="11" fillId="0" borderId="1" xfId="4" applyFill="1" applyBorder="1" applyAlignment="1">
      <alignment horizontal="right"/>
    </xf>
    <xf numFmtId="0" fontId="11" fillId="0" borderId="1" xfId="4" applyFill="1" applyBorder="1"/>
    <xf numFmtId="0" fontId="9" fillId="24" borderId="7" xfId="4" applyFont="1" applyFill="1" applyBorder="1" applyAlignment="1">
      <alignment vertical="center"/>
    </xf>
    <xf numFmtId="2" fontId="11" fillId="0" borderId="6" xfId="4" applyNumberFormat="1" applyBorder="1"/>
    <xf numFmtId="1" fontId="11" fillId="0" borderId="6" xfId="4" applyNumberFormat="1" applyBorder="1"/>
    <xf numFmtId="0" fontId="25" fillId="0" borderId="11" xfId="0" applyFont="1" applyFill="1" applyBorder="1" applyAlignment="1">
      <alignment wrapText="1"/>
    </xf>
    <xf numFmtId="0" fontId="24" fillId="0" borderId="17" xfId="0" applyFont="1" applyFill="1" applyBorder="1" applyAlignment="1">
      <alignment wrapText="1"/>
    </xf>
    <xf numFmtId="2" fontId="25" fillId="0" borderId="17" xfId="0" applyNumberFormat="1" applyFont="1" applyFill="1" applyBorder="1" applyAlignment="1">
      <alignment wrapText="1"/>
    </xf>
    <xf numFmtId="0" fontId="27" fillId="29" borderId="0" xfId="0" applyFont="1" applyFill="1" applyBorder="1" applyAlignment="1"/>
    <xf numFmtId="0" fontId="28" fillId="30" borderId="1" xfId="0" applyFont="1" applyFill="1" applyBorder="1" applyAlignment="1"/>
    <xf numFmtId="0" fontId="28" fillId="30" borderId="6" xfId="0" applyFont="1" applyFill="1" applyBorder="1" applyAlignment="1"/>
    <xf numFmtId="0" fontId="26" fillId="0" borderId="6" xfId="0" applyFont="1" applyFill="1" applyBorder="1" applyAlignment="1">
      <alignment horizontal="right"/>
    </xf>
    <xf numFmtId="0" fontId="26" fillId="0" borderId="6" xfId="0" applyFont="1" applyFill="1" applyBorder="1" applyAlignment="1"/>
    <xf numFmtId="0" fontId="26" fillId="0" borderId="13" xfId="0" applyFont="1" applyFill="1" applyBorder="1" applyAlignment="1"/>
    <xf numFmtId="0" fontId="24" fillId="0" borderId="9" xfId="0" applyFont="1" applyFill="1" applyBorder="1" applyAlignment="1">
      <alignment horizontal="right"/>
    </xf>
    <xf numFmtId="1" fontId="24" fillId="0" borderId="9" xfId="0" applyNumberFormat="1" applyFont="1" applyFill="1" applyBorder="1" applyAlignment="1"/>
    <xf numFmtId="0" fontId="24" fillId="0" borderId="9" xfId="0" applyFont="1" applyFill="1" applyBorder="1" applyAlignment="1"/>
    <xf numFmtId="0" fontId="26" fillId="0" borderId="7" xfId="0" applyFont="1" applyFill="1" applyBorder="1" applyAlignment="1"/>
    <xf numFmtId="0" fontId="24" fillId="0" borderId="8" xfId="0" applyFont="1" applyFill="1" applyBorder="1" applyAlignment="1">
      <alignment horizontal="right"/>
    </xf>
    <xf numFmtId="168" fontId="24" fillId="0" borderId="9" xfId="0" applyNumberFormat="1" applyFont="1" applyFill="1" applyBorder="1" applyAlignment="1"/>
    <xf numFmtId="0" fontId="0" fillId="0" borderId="0" xfId="0" applyAlignment="1"/>
    <xf numFmtId="0" fontId="26" fillId="0" borderId="9" xfId="0" applyFont="1" applyFill="1" applyBorder="1" applyAlignment="1">
      <alignment horizontal="right"/>
    </xf>
    <xf numFmtId="0" fontId="26" fillId="0" borderId="9" xfId="0" applyFont="1" applyFill="1" applyBorder="1" applyAlignment="1"/>
    <xf numFmtId="0" fontId="26" fillId="0" borderId="15" xfId="0" applyFont="1" applyFill="1" applyBorder="1" applyAlignment="1">
      <alignment horizontal="right"/>
    </xf>
    <xf numFmtId="0" fontId="26" fillId="0" borderId="15" xfId="0" applyFont="1" applyFill="1" applyBorder="1" applyAlignment="1"/>
    <xf numFmtId="0" fontId="26" fillId="0" borderId="16" xfId="0" applyFont="1" applyFill="1" applyBorder="1" applyAlignment="1"/>
    <xf numFmtId="1" fontId="11" fillId="0" borderId="1" xfId="4" applyNumberFormat="1" applyFill="1" applyBorder="1"/>
    <xf numFmtId="0" fontId="2" fillId="6" borderId="1" xfId="4" applyFont="1" applyFill="1" applyBorder="1" applyAlignment="1">
      <alignment horizontal="right"/>
    </xf>
    <xf numFmtId="0" fontId="2" fillId="0" borderId="1" xfId="4" applyFont="1" applyBorder="1" applyAlignment="1">
      <alignment horizontal="right"/>
    </xf>
    <xf numFmtId="0" fontId="2" fillId="0" borderId="1" xfId="4" applyFont="1" applyBorder="1" applyAlignment="1">
      <alignment horizontal="left"/>
    </xf>
    <xf numFmtId="0" fontId="2" fillId="0" borderId="1" xfId="4" applyFont="1" applyBorder="1"/>
    <xf numFmtId="0" fontId="2" fillId="4" borderId="1" xfId="4" applyFont="1" applyFill="1" applyBorder="1" applyAlignment="1">
      <alignment horizontal="right"/>
    </xf>
    <xf numFmtId="0" fontId="2" fillId="0" borderId="0" xfId="4" applyFont="1"/>
    <xf numFmtId="0" fontId="2" fillId="0" borderId="2" xfId="4" applyFont="1" applyBorder="1"/>
    <xf numFmtId="0" fontId="2" fillId="0" borderId="0" xfId="4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" fontId="2" fillId="0" borderId="1" xfId="0" applyNumberFormat="1" applyFont="1" applyBorder="1"/>
    <xf numFmtId="2" fontId="2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0" xfId="0" applyFont="1" applyBorder="1"/>
    <xf numFmtId="0" fontId="2" fillId="0" borderId="10" xfId="0" applyFont="1" applyBorder="1" applyAlignment="1">
      <alignment horizontal="right"/>
    </xf>
    <xf numFmtId="4" fontId="2" fillId="0" borderId="10" xfId="0" applyNumberFormat="1" applyFont="1" applyBorder="1" applyAlignment="1"/>
    <xf numFmtId="0" fontId="2" fillId="0" borderId="10" xfId="0" applyFont="1" applyBorder="1" applyAlignment="1"/>
    <xf numFmtId="4" fontId="2" fillId="0" borderId="10" xfId="0" applyNumberFormat="1" applyFont="1" applyBorder="1"/>
    <xf numFmtId="0" fontId="2" fillId="0" borderId="14" xfId="0" applyFont="1" applyBorder="1" applyAlignment="1">
      <alignment horizontal="right"/>
    </xf>
    <xf numFmtId="0" fontId="2" fillId="0" borderId="14" xfId="0" applyFont="1" applyBorder="1"/>
    <xf numFmtId="0" fontId="2" fillId="0" borderId="1" xfId="4" applyFont="1" applyFill="1" applyBorder="1" applyAlignment="1">
      <alignment horizontal="left"/>
    </xf>
    <xf numFmtId="0" fontId="2" fillId="0" borderId="1" xfId="0" applyFont="1" applyFill="1" applyBorder="1" applyAlignment="1">
      <alignment horizontal="right"/>
    </xf>
    <xf numFmtId="1" fontId="2" fillId="0" borderId="0" xfId="0" applyNumberFormat="1" applyFont="1"/>
    <xf numFmtId="0" fontId="2" fillId="0" borderId="1" xfId="0" applyFont="1" applyFill="1" applyBorder="1"/>
    <xf numFmtId="0" fontId="2" fillId="0" borderId="12" xfId="0" applyFont="1" applyBorder="1"/>
    <xf numFmtId="0" fontId="2" fillId="0" borderId="15" xfId="0" applyFont="1" applyBorder="1"/>
    <xf numFmtId="0" fontId="2" fillId="0" borderId="17" xfId="0" applyFont="1" applyBorder="1"/>
    <xf numFmtId="0" fontId="2" fillId="0" borderId="0" xfId="0" applyFont="1" applyBorder="1"/>
    <xf numFmtId="0" fontId="2" fillId="5" borderId="1" xfId="4" applyFont="1" applyFill="1" applyBorder="1" applyAlignment="1">
      <alignment horizontal="right"/>
    </xf>
    <xf numFmtId="2" fontId="2" fillId="0" borderId="6" xfId="4" applyNumberFormat="1" applyFont="1" applyBorder="1"/>
    <xf numFmtId="2" fontId="2" fillId="0" borderId="1" xfId="4" applyNumberFormat="1" applyFont="1" applyBorder="1"/>
    <xf numFmtId="0" fontId="2" fillId="0" borderId="1" xfId="4" applyFont="1" applyBorder="1" applyAlignment="1">
      <alignment horizontal="center"/>
    </xf>
    <xf numFmtId="1" fontId="25" fillId="0" borderId="10" xfId="0" applyNumberFormat="1" applyFont="1" applyFill="1" applyBorder="1" applyAlignment="1">
      <alignment wrapText="1"/>
    </xf>
    <xf numFmtId="0" fontId="0" fillId="0" borderId="10" xfId="0" applyBorder="1"/>
    <xf numFmtId="0" fontId="0" fillId="0" borderId="12" xfId="0" applyBorder="1"/>
    <xf numFmtId="1" fontId="2" fillId="0" borderId="12" xfId="0" applyNumberFormat="1" applyFont="1" applyBorder="1"/>
    <xf numFmtId="169" fontId="25" fillId="0" borderId="10" xfId="0" applyNumberFormat="1" applyFont="1" applyFill="1" applyBorder="1" applyAlignment="1">
      <alignment wrapText="1"/>
    </xf>
    <xf numFmtId="0" fontId="24" fillId="0" borderId="0" xfId="0" applyFont="1" applyFill="1" applyBorder="1" applyAlignment="1"/>
    <xf numFmtId="0" fontId="32" fillId="33" borderId="0" xfId="0" applyFont="1" applyFill="1" applyBorder="1" applyAlignment="1"/>
    <xf numFmtId="0" fontId="32" fillId="0" borderId="0" xfId="0" applyFont="1" applyFill="1" applyBorder="1" applyAlignment="1"/>
    <xf numFmtId="11" fontId="32" fillId="0" borderId="0" xfId="0" applyNumberFormat="1" applyFont="1" applyFill="1" applyBorder="1" applyAlignment="1"/>
    <xf numFmtId="0" fontId="32" fillId="34" borderId="0" xfId="0" applyFont="1" applyFill="1" applyBorder="1" applyAlignment="1"/>
    <xf numFmtId="0" fontId="9" fillId="27" borderId="1" xfId="4" applyFont="1" applyFill="1" applyBorder="1" applyAlignment="1">
      <alignment horizontal="center"/>
    </xf>
    <xf numFmtId="0" fontId="1" fillId="5" borderId="1" xfId="4" applyFont="1" applyFill="1" applyBorder="1" applyAlignment="1">
      <alignment horizontal="right"/>
    </xf>
    <xf numFmtId="0" fontId="1" fillId="6" borderId="1" xfId="4" applyFont="1" applyFill="1" applyBorder="1" applyAlignment="1">
      <alignment horizontal="right"/>
    </xf>
    <xf numFmtId="0" fontId="1" fillId="4" borderId="1" xfId="4" applyFont="1" applyFill="1" applyBorder="1" applyAlignment="1">
      <alignment horizontal="right"/>
    </xf>
    <xf numFmtId="0" fontId="23" fillId="0" borderId="0" xfId="0" applyFont="1"/>
    <xf numFmtId="0" fontId="23" fillId="35" borderId="0" xfId="0" applyFont="1" applyFill="1"/>
    <xf numFmtId="0" fontId="9" fillId="11" borderId="1" xfId="4" applyFont="1" applyFill="1" applyBorder="1" applyAlignment="1">
      <alignment horizontal="center" vertical="center"/>
    </xf>
    <xf numFmtId="0" fontId="12" fillId="11" borderId="0" xfId="4" applyFont="1" applyFill="1" applyAlignment="1">
      <alignment horizontal="center" vertical="center"/>
    </xf>
    <xf numFmtId="0" fontId="9" fillId="27" borderId="1" xfId="4" applyFont="1" applyFill="1" applyBorder="1" applyAlignment="1">
      <alignment horizontal="center"/>
    </xf>
    <xf numFmtId="0" fontId="12" fillId="12" borderId="0" xfId="4" applyFont="1" applyFill="1" applyAlignment="1">
      <alignment horizontal="center" vertical="center"/>
    </xf>
  </cellXfs>
  <cellStyles count="13">
    <cellStyle name="Bad 2" xfId="8" xr:uid="{C8F8442B-28BC-494F-A25C-DA8BF8500E90}"/>
    <cellStyle name="Currency" xfId="1" builtinId="4"/>
    <cellStyle name="Currency 2" xfId="9" xr:uid="{5814E5C6-0315-904A-9292-D428C4AC8E56}"/>
    <cellStyle name="Good" xfId="2" builtinId="26"/>
    <cellStyle name="Good 2" xfId="6" xr:uid="{8C27C315-BEA7-5F46-8303-51815ECB3A48}"/>
    <cellStyle name="Input 2" xfId="5" xr:uid="{16AD8D85-23C8-F249-896E-A4B5FBEEEDDA}"/>
    <cellStyle name="Neutral" xfId="12" builtinId="28"/>
    <cellStyle name="Neutral 2" xfId="10" xr:uid="{B7FD55EE-C3B1-D74F-BEF1-B68C9232F18C}"/>
    <cellStyle name="Normal" xfId="0" builtinId="0"/>
    <cellStyle name="Normal 2" xfId="4" xr:uid="{956B814D-038A-3F49-8E44-E525DF0AED49}"/>
    <cellStyle name="Normal 3" xfId="3" xr:uid="{F46D151A-D996-EB49-8D95-25A4361FCFC6}"/>
    <cellStyle name="Output 2" xfId="7" xr:uid="{E3F27B21-66E9-AD45-A584-BECF09237F65}"/>
    <cellStyle name="Percent 2" xfId="11" xr:uid="{0BDD1AEB-79AC-9E4E-B1A4-665F6A0DCA9E}"/>
  </cellStyles>
  <dxfs count="0"/>
  <tableStyles count="0" defaultTableStyle="TableStyleMedium2" defaultPivotStyle="PivotStyleLight16"/>
  <colors>
    <mruColors>
      <color rgb="FFB24CFF"/>
      <color rgb="FFAC4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2398103</xdr:colOff>
      <xdr:row>31</xdr:row>
      <xdr:rowOff>145561</xdr:rowOff>
    </xdr:from>
    <xdr:to>
      <xdr:col>8</xdr:col>
      <xdr:colOff>486508</xdr:colOff>
      <xdr:row>55</xdr:row>
      <xdr:rowOff>112742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BE328B-8725-514A-887E-F74DA6785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3653" y="6089161"/>
          <a:ext cx="5568705" cy="45391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456102</xdr:colOff>
      <xdr:row>32</xdr:row>
      <xdr:rowOff>114482</xdr:rowOff>
    </xdr:from>
    <xdr:to>
      <xdr:col>19</xdr:col>
      <xdr:colOff>588962</xdr:colOff>
      <xdr:row>61</xdr:row>
      <xdr:rowOff>2889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C53F39-DCD3-420D-95BF-38E8766CE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0602" y="6448607"/>
          <a:ext cx="9300673" cy="54129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1008184</xdr:colOff>
      <xdr:row>0</xdr:row>
      <xdr:rowOff>234463</xdr:rowOff>
    </xdr:from>
    <xdr:to>
      <xdr:col>9</xdr:col>
      <xdr:colOff>559044</xdr:colOff>
      <xdr:row>12</xdr:row>
      <xdr:rowOff>30041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1B81F4-7E96-5541-B4A0-72ABE9F04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2646" y="234463"/>
          <a:ext cx="3141052" cy="22134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1460792</xdr:colOff>
      <xdr:row>14</xdr:row>
      <xdr:rowOff>40297</xdr:rowOff>
    </xdr:from>
    <xdr:to>
      <xdr:col>3</xdr:col>
      <xdr:colOff>1003790</xdr:colOff>
      <xdr:row>35</xdr:row>
      <xdr:rowOff>7570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A0C405-82E9-934F-971D-FE2E7F426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792" y="2597393"/>
          <a:ext cx="3587460" cy="41216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s074/Documents/Process%20Models/2%20-%20Corn%20Grain%20Ethanol/zModel%20Files/Corn%20Ethanol%20(Grain)%20-%20Draft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dependent%20Variable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cess%20Mode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version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colinmbeal\Desktop\CSU%20BETO\Modeling\Soy%20Biodiesel%20Simplified%2006112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colinmbeal\Desktop\CSU%20BETO\Modeling\Soy%20Biodiesel%20-%20Draft%204%20(version%201)%20-%20Editable%20CMB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s074/Documents/Excel%20Process%20Models/Soy%20Biodiesel/Soy%20Biodiesel%20-%206_1_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puts"/>
      <sheetName val="Outputs"/>
      <sheetName val="Process Model"/>
      <sheetName val="LCA"/>
      <sheetName val="TEA"/>
      <sheetName val="Sensitivity Analysis"/>
      <sheetName val="Avg CE Plants"/>
      <sheetName val="Conversions Page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pendent Variable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 Model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s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pendent_Variables"/>
      <sheetName val="Summary"/>
      <sheetName val="Material Inputs"/>
      <sheetName val="Outputs"/>
      <sheetName val="Process Model"/>
      <sheetName val="LCA"/>
      <sheetName val="TEA"/>
      <sheetName val="Conversions Page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lin Beal" id="{960C1D14-9340-4B85-B789-DF79CFFE21F8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6-22T15:08:24.25" personId="{960C1D14-9340-4B85-B789-DF79CFFE21F8}" id="{7D6506A7-190D-4CA2-ADA5-40D7FD624C82}">
    <text>Colin Beal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B001-5F9E-4841-B30A-3603BCCDE0C1}">
  <sheetPr codeName="Sheet2"/>
  <dimension ref="A1:B24"/>
  <sheetViews>
    <sheetView workbookViewId="0">
      <selection activeCell="B5" sqref="B5"/>
    </sheetView>
  </sheetViews>
  <sheetFormatPr defaultColWidth="11" defaultRowHeight="15.75" x14ac:dyDescent="0.25"/>
  <cols>
    <col min="1" max="1" width="15.625" bestFit="1" customWidth="1"/>
    <col min="2" max="2" width="18.875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 t="s">
        <v>2</v>
      </c>
      <c r="B3" t="s">
        <v>3</v>
      </c>
    </row>
    <row r="4" spans="1:2" x14ac:dyDescent="0.25">
      <c r="B4" t="s">
        <v>4</v>
      </c>
    </row>
    <row r="5" spans="1:2" x14ac:dyDescent="0.25">
      <c r="B5" t="s">
        <v>5</v>
      </c>
    </row>
    <row r="7" spans="1:2" x14ac:dyDescent="0.25">
      <c r="A7" t="s">
        <v>6</v>
      </c>
      <c r="B7" t="s">
        <v>7</v>
      </c>
    </row>
    <row r="8" spans="1:2" x14ac:dyDescent="0.25">
      <c r="B8" t="s">
        <v>8</v>
      </c>
    </row>
    <row r="9" spans="1:2" x14ac:dyDescent="0.25">
      <c r="A9" s="91"/>
      <c r="B9" t="s">
        <v>9</v>
      </c>
    </row>
    <row r="11" spans="1:2" x14ac:dyDescent="0.25">
      <c r="A11" t="s">
        <v>10</v>
      </c>
    </row>
    <row r="12" spans="1:2" x14ac:dyDescent="0.25">
      <c r="A12" s="1" t="s">
        <v>11</v>
      </c>
      <c r="B12" t="s">
        <v>12</v>
      </c>
    </row>
    <row r="13" spans="1:2" x14ac:dyDescent="0.25">
      <c r="A13" t="s">
        <v>13</v>
      </c>
      <c r="B13" t="s">
        <v>14</v>
      </c>
    </row>
    <row r="15" spans="1:2" x14ac:dyDescent="0.25">
      <c r="A15" t="s">
        <v>15</v>
      </c>
    </row>
    <row r="16" spans="1:2" x14ac:dyDescent="0.25">
      <c r="A16" t="s">
        <v>16</v>
      </c>
      <c r="B16" t="s">
        <v>17</v>
      </c>
    </row>
    <row r="17" spans="1:2" x14ac:dyDescent="0.25">
      <c r="A17" t="s">
        <v>18</v>
      </c>
      <c r="B17" t="s">
        <v>19</v>
      </c>
    </row>
    <row r="18" spans="1:2" x14ac:dyDescent="0.25">
      <c r="A18" t="s">
        <v>20</v>
      </c>
      <c r="B18" t="s">
        <v>21</v>
      </c>
    </row>
    <row r="19" spans="1:2" x14ac:dyDescent="0.25">
      <c r="A19" t="s">
        <v>22</v>
      </c>
      <c r="B19" t="s">
        <v>23</v>
      </c>
    </row>
    <row r="20" spans="1:2" x14ac:dyDescent="0.25">
      <c r="A20" t="s">
        <v>24</v>
      </c>
      <c r="B20" t="s">
        <v>25</v>
      </c>
    </row>
    <row r="21" spans="1:2" x14ac:dyDescent="0.25">
      <c r="A21" t="s">
        <v>26</v>
      </c>
      <c r="B21" t="s">
        <v>27</v>
      </c>
    </row>
    <row r="22" spans="1:2" x14ac:dyDescent="0.25">
      <c r="A22" t="s">
        <v>28</v>
      </c>
      <c r="B22" t="s">
        <v>29</v>
      </c>
    </row>
    <row r="23" spans="1:2" x14ac:dyDescent="0.25">
      <c r="A23" t="s">
        <v>30</v>
      </c>
      <c r="B23" t="s">
        <v>31</v>
      </c>
    </row>
    <row r="24" spans="1:2" x14ac:dyDescent="0.25">
      <c r="A24" t="s">
        <v>32</v>
      </c>
      <c r="B24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5434-C5AE-8F49-98DA-332E559EC16E}">
  <sheetPr codeName="Sheet10"/>
  <dimension ref="A1:AJ247"/>
  <sheetViews>
    <sheetView zoomScale="160" zoomScaleNormal="160" workbookViewId="0">
      <pane xSplit="1" ySplit="3" topLeftCell="B28" activePane="bottomRight" state="frozen"/>
      <selection pane="topRight" activeCell="B1" sqref="B1"/>
      <selection pane="bottomLeft" activeCell="A3" sqref="A3"/>
      <selection pane="bottomRight" activeCell="B36" sqref="B36"/>
    </sheetView>
  </sheetViews>
  <sheetFormatPr defaultColWidth="11" defaultRowHeight="15.75" x14ac:dyDescent="0.25"/>
  <cols>
    <col min="1" max="1" width="34.125" bestFit="1" customWidth="1"/>
    <col min="2" max="2" width="22.875" style="7" customWidth="1"/>
    <col min="3" max="3" width="16.875" style="7" customWidth="1"/>
    <col min="4" max="4" width="14.5" style="7" bestFit="1" customWidth="1"/>
    <col min="5" max="5" width="15.125" style="7" bestFit="1" customWidth="1"/>
    <col min="6" max="6" width="17.75" style="7" bestFit="1" customWidth="1"/>
    <col min="7" max="7" width="13" style="7" customWidth="1"/>
    <col min="8" max="8" width="13.875" style="7" bestFit="1" customWidth="1"/>
    <col min="9" max="9" width="16.625" style="7" customWidth="1"/>
    <col min="10" max="12" width="13" style="7" customWidth="1"/>
    <col min="14" max="14" width="22.5" style="46" bestFit="1" customWidth="1"/>
    <col min="15" max="15" width="13.5" customWidth="1"/>
    <col min="21" max="21" width="14.625" customWidth="1"/>
    <col min="26" max="26" width="18.625" customWidth="1"/>
    <col min="27" max="27" width="12.125" bestFit="1" customWidth="1"/>
  </cols>
  <sheetData>
    <row r="1" spans="1:36" ht="18.75" x14ac:dyDescent="0.3">
      <c r="A1" s="90" t="s">
        <v>73</v>
      </c>
      <c r="B1" s="90" t="s">
        <v>1</v>
      </c>
      <c r="E1"/>
      <c r="F1"/>
      <c r="G1"/>
      <c r="H1"/>
      <c r="I1"/>
      <c r="J1"/>
      <c r="K1"/>
      <c r="L1"/>
      <c r="N1"/>
    </row>
    <row r="2" spans="1:36" x14ac:dyDescent="0.25">
      <c r="A2" s="96" t="s">
        <v>360</v>
      </c>
      <c r="B2" s="13" t="str">
        <f>General!B1</f>
        <v>Soy Biodiesel</v>
      </c>
      <c r="C2" s="13" t="str">
        <f>General!C1</f>
        <v>Soy Jet</v>
      </c>
      <c r="D2" s="13" t="str">
        <f>General!D1</f>
        <v>Corn Grain EtOH</v>
      </c>
      <c r="E2" s="13" t="str">
        <f>General!E1</f>
        <v>Corn Stover EtOH</v>
      </c>
      <c r="F2" s="13" t="str">
        <f>General!F1</f>
        <v>Corn Stover Pyrol Jet</v>
      </c>
      <c r="G2" s="13" t="str">
        <f>General!G1</f>
        <v>Poplar Jet</v>
      </c>
      <c r="H2" s="13" t="str">
        <f>General!H1</f>
        <v>Switchgrass Jet</v>
      </c>
      <c r="I2" s="13" t="str">
        <f>General!I1</f>
        <v>Algae HEFA</v>
      </c>
      <c r="J2" s="13" t="str">
        <f>General!J1</f>
        <v>Algae HTL</v>
      </c>
      <c r="K2" s="13" t="str">
        <f>General!K1</f>
        <v>Forestry Residue</v>
      </c>
      <c r="L2" s="13" t="str">
        <f>General!M1</f>
        <v>Carinata</v>
      </c>
      <c r="N2" s="44" t="s">
        <v>361</v>
      </c>
      <c r="O2" s="40" t="str">
        <f>General!B1</f>
        <v>Soy Biodiesel</v>
      </c>
      <c r="P2" s="40" t="str">
        <f>General!C1</f>
        <v>Soy Jet</v>
      </c>
      <c r="Q2" s="40" t="str">
        <f>General!D1</f>
        <v>Corn Grain EtOH</v>
      </c>
      <c r="R2" s="40" t="str">
        <f>General!E1</f>
        <v>Corn Stover EtOH</v>
      </c>
      <c r="S2" s="40" t="str">
        <f>General!G1</f>
        <v>Poplar Jet</v>
      </c>
      <c r="T2" s="40" t="str">
        <f>General!H1</f>
        <v>Switchgrass Jet</v>
      </c>
      <c r="U2" s="40" t="str">
        <f>General!I1</f>
        <v>Algae HEFA</v>
      </c>
      <c r="V2" s="40" t="str">
        <f>General!J1</f>
        <v>Algae HTL</v>
      </c>
      <c r="W2" s="40" t="str">
        <f>General!K1</f>
        <v>Forestry Residue</v>
      </c>
      <c r="X2" s="40" t="str">
        <f>General!M1</f>
        <v>Carinata</v>
      </c>
      <c r="Z2" s="41" t="s">
        <v>362</v>
      </c>
      <c r="AA2" s="41" t="str">
        <f>General!B1</f>
        <v>Soy Biodiesel</v>
      </c>
      <c r="AB2" s="41" t="str">
        <f>General!C1</f>
        <v>Soy Jet</v>
      </c>
      <c r="AC2" s="41" t="str">
        <f>General!D1</f>
        <v>Corn Grain EtOH</v>
      </c>
      <c r="AD2" s="41" t="str">
        <f>General!E1</f>
        <v>Corn Stover EtOH</v>
      </c>
      <c r="AE2" s="41" t="str">
        <f>General!G1</f>
        <v>Poplar Jet</v>
      </c>
      <c r="AF2" s="41" t="str">
        <f>General!H1</f>
        <v>Switchgrass Jet</v>
      </c>
      <c r="AG2" s="41" t="str">
        <f>General!I1</f>
        <v>Algae HEFA</v>
      </c>
      <c r="AH2" s="41" t="str">
        <f>General!J1</f>
        <v>Algae HTL</v>
      </c>
      <c r="AI2" s="41" t="str">
        <f>General!K1</f>
        <v>Forestry Residue</v>
      </c>
      <c r="AJ2" s="41" t="str">
        <f>General!M1</f>
        <v>Carinata</v>
      </c>
    </row>
    <row r="3" spans="1:36" x14ac:dyDescent="0.25">
      <c r="A3" s="63"/>
      <c r="B3" s="38" t="s">
        <v>363</v>
      </c>
      <c r="C3" s="38" t="s">
        <v>363</v>
      </c>
      <c r="D3" s="38" t="s">
        <v>363</v>
      </c>
      <c r="E3" s="38" t="s">
        <v>363</v>
      </c>
      <c r="F3" s="38" t="s">
        <v>363</v>
      </c>
      <c r="G3" s="38" t="s">
        <v>363</v>
      </c>
      <c r="H3" s="38" t="s">
        <v>363</v>
      </c>
      <c r="I3" s="38" t="s">
        <v>363</v>
      </c>
      <c r="J3" s="38" t="s">
        <v>363</v>
      </c>
      <c r="K3" s="38" t="s">
        <v>363</v>
      </c>
      <c r="L3" s="38" t="s">
        <v>363</v>
      </c>
      <c r="N3" s="44"/>
      <c r="O3" s="40"/>
      <c r="P3" s="40"/>
      <c r="Q3" s="40"/>
      <c r="R3" s="40"/>
      <c r="S3" s="40"/>
      <c r="T3" s="40"/>
      <c r="U3" s="40"/>
      <c r="V3" s="40"/>
      <c r="W3" s="40"/>
      <c r="X3" s="40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</row>
    <row r="4" spans="1:36" x14ac:dyDescent="0.25">
      <c r="A4" s="37" t="s">
        <v>364</v>
      </c>
      <c r="B4" s="38">
        <f>SoyCult!B2</f>
        <v>100</v>
      </c>
      <c r="C4" s="38"/>
      <c r="D4" s="38"/>
      <c r="E4" s="38"/>
      <c r="F4" s="38"/>
      <c r="G4" s="38"/>
      <c r="H4" s="38"/>
      <c r="I4" s="38">
        <f>I12</f>
        <v>121</v>
      </c>
      <c r="J4" s="38"/>
      <c r="K4" s="38"/>
      <c r="L4" s="38"/>
      <c r="N4" s="44"/>
      <c r="O4" s="40"/>
      <c r="P4" s="40"/>
      <c r="Q4" s="40"/>
      <c r="R4" s="40"/>
      <c r="S4" s="40"/>
      <c r="T4" s="40"/>
      <c r="U4" s="40"/>
      <c r="V4" s="40"/>
      <c r="W4" s="40"/>
      <c r="X4" s="40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</row>
    <row r="5" spans="1:36" x14ac:dyDescent="0.25">
      <c r="A5" s="36" t="s">
        <v>365</v>
      </c>
      <c r="B5" s="13"/>
      <c r="C5" s="13"/>
      <c r="D5" s="13"/>
      <c r="E5" s="13"/>
      <c r="F5" s="13"/>
      <c r="G5" s="13"/>
      <c r="H5" s="13"/>
      <c r="I5" s="38">
        <f>AlgaeCult!B4</f>
        <v>328.5</v>
      </c>
      <c r="J5" s="13"/>
      <c r="K5" s="13"/>
      <c r="L5" s="13"/>
      <c r="N5" s="44"/>
      <c r="O5" s="40"/>
      <c r="P5" s="40"/>
      <c r="Q5" s="40"/>
      <c r="R5" s="40"/>
      <c r="S5" s="40"/>
      <c r="T5" s="40"/>
      <c r="U5" s="40"/>
      <c r="V5" s="40"/>
      <c r="W5" s="40"/>
      <c r="X5" s="40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</row>
    <row r="6" spans="1:36" x14ac:dyDescent="0.25">
      <c r="A6" s="35" t="s">
        <v>366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N6" s="44"/>
      <c r="O6" s="40"/>
      <c r="P6" s="40"/>
      <c r="Q6" s="40"/>
      <c r="R6" s="40"/>
      <c r="S6" s="40"/>
      <c r="T6" s="40"/>
      <c r="U6" s="40"/>
      <c r="V6" s="40"/>
      <c r="W6" s="40"/>
      <c r="X6" s="40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</row>
    <row r="7" spans="1:36" x14ac:dyDescent="0.25">
      <c r="A7" s="125" t="s">
        <v>367</v>
      </c>
      <c r="B7" s="138">
        <v>1</v>
      </c>
      <c r="C7" s="138">
        <v>1</v>
      </c>
      <c r="D7" s="193">
        <v>1</v>
      </c>
      <c r="E7" s="193">
        <v>1</v>
      </c>
      <c r="F7" s="138"/>
      <c r="G7" s="138"/>
      <c r="H7" s="138"/>
      <c r="I7" s="138">
        <v>1</v>
      </c>
      <c r="J7" s="138"/>
      <c r="K7" s="138"/>
      <c r="L7" s="138"/>
      <c r="N7" s="44"/>
      <c r="O7" s="40"/>
      <c r="P7" s="40"/>
      <c r="Q7" s="40"/>
      <c r="R7" s="40"/>
      <c r="S7" s="40"/>
      <c r="T7" s="40"/>
      <c r="U7" s="40"/>
      <c r="V7" s="40"/>
      <c r="W7" s="40"/>
      <c r="X7" s="40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</row>
    <row r="8" spans="1:36" x14ac:dyDescent="0.25">
      <c r="A8" s="37" t="str">
        <f>LCI!A2</f>
        <v>Land Cost ($)</v>
      </c>
      <c r="B8" s="126">
        <f>SoyCult!$O19*B$7</f>
        <v>1654900</v>
      </c>
      <c r="C8" s="126">
        <f>SoyCult!$O19*C$7</f>
        <v>1654900</v>
      </c>
      <c r="D8" s="194">
        <f>CornCult!$K$19*$D$7</f>
        <v>1654900</v>
      </c>
      <c r="E8" s="194">
        <f>CornCult!$K$19*$D$7</f>
        <v>1654900</v>
      </c>
      <c r="F8" s="13"/>
      <c r="G8" s="13"/>
      <c r="H8" s="13"/>
      <c r="I8" s="69">
        <f>508079*I$7</f>
        <v>508079</v>
      </c>
      <c r="J8" s="13"/>
      <c r="K8" s="13"/>
      <c r="L8" s="13"/>
      <c r="N8" s="44"/>
      <c r="O8" s="40"/>
      <c r="P8" s="40"/>
      <c r="Q8" s="40"/>
      <c r="R8" s="40"/>
      <c r="S8" s="40"/>
      <c r="T8" s="40"/>
      <c r="U8" s="40"/>
      <c r="V8" s="40"/>
      <c r="W8" s="40"/>
      <c r="X8" s="40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</row>
    <row r="9" spans="1:36" x14ac:dyDescent="0.25">
      <c r="A9" s="37" t="str">
        <f>LCI!A3</f>
        <v>Capital Cost ($)</v>
      </c>
      <c r="B9" s="126">
        <f>SoyCult!$O18*B$7</f>
        <v>681700</v>
      </c>
      <c r="C9" s="126">
        <f>SoyCult!$O18*C$7</f>
        <v>681700</v>
      </c>
      <c r="D9" s="194">
        <f>CornCult!$K$18*$D$7</f>
        <v>597740</v>
      </c>
      <c r="E9" s="194">
        <f>CornCult!$K$18*$D$7</f>
        <v>597740</v>
      </c>
      <c r="F9" s="13"/>
      <c r="G9" s="13"/>
      <c r="H9" s="13"/>
      <c r="I9" s="69">
        <f>43500000*I$7</f>
        <v>43500000</v>
      </c>
      <c r="J9" s="13"/>
      <c r="K9" s="13"/>
      <c r="L9" s="13"/>
      <c r="N9" s="44"/>
      <c r="O9" s="40"/>
      <c r="P9" s="40"/>
      <c r="Q9" s="40"/>
      <c r="R9" s="40"/>
      <c r="S9" s="40"/>
      <c r="T9" s="40"/>
      <c r="U9" s="40"/>
      <c r="V9" s="40"/>
      <c r="W9" s="40"/>
      <c r="X9" s="40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</row>
    <row r="10" spans="1:36" x14ac:dyDescent="0.25">
      <c r="A10" s="37" t="str">
        <f>LCI!A4</f>
        <v>Labor ($/yr)</v>
      </c>
      <c r="B10" s="126">
        <f>SoyCult!$O20*B$7</f>
        <v>6175.0000000000009</v>
      </c>
      <c r="C10" s="126">
        <f>SoyCult!$O20*C$7</f>
        <v>6175.0000000000009</v>
      </c>
      <c r="D10" s="194">
        <f>CornCult!$K$20*$D$7</f>
        <v>8148.5300000000007</v>
      </c>
      <c r="E10" s="194">
        <f>CornCult!$K$20*$D$7</f>
        <v>8148.5300000000007</v>
      </c>
      <c r="F10" s="13"/>
      <c r="G10" s="13"/>
      <c r="H10" s="13"/>
      <c r="I10" s="69">
        <f>1328900*I$7</f>
        <v>1328900</v>
      </c>
      <c r="J10" s="13"/>
      <c r="K10" s="13"/>
      <c r="L10" s="13"/>
      <c r="N10" s="44"/>
      <c r="O10" s="40"/>
      <c r="P10" s="40"/>
      <c r="Q10" s="40"/>
      <c r="R10" s="40"/>
      <c r="S10" s="40"/>
      <c r="T10" s="40"/>
      <c r="U10" s="40"/>
      <c r="V10" s="40"/>
      <c r="W10" s="40"/>
      <c r="X10" s="40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</row>
    <row r="11" spans="1:36" x14ac:dyDescent="0.25">
      <c r="A11" s="37" t="str">
        <f>LCI!A5</f>
        <v>Arable Land (ha/yr)</v>
      </c>
      <c r="B11" s="13">
        <f>SoyCult!$B2*B$7</f>
        <v>100</v>
      </c>
      <c r="C11" s="13">
        <f>SoyCult!$B2*C$7</f>
        <v>100</v>
      </c>
      <c r="D11" s="195">
        <f>CornCult!$B$2*$D$7</f>
        <v>100</v>
      </c>
      <c r="E11" s="195">
        <f>CornCult!$B$2*$D$7</f>
        <v>100</v>
      </c>
      <c r="F11" s="13"/>
      <c r="G11" s="13"/>
      <c r="H11" s="13"/>
      <c r="I11" s="38"/>
      <c r="J11" s="13"/>
      <c r="K11" s="13"/>
      <c r="L11" s="13"/>
      <c r="N11" s="44"/>
      <c r="O11" s="40"/>
      <c r="P11" s="40"/>
      <c r="Q11" s="40"/>
      <c r="R11" s="40"/>
      <c r="S11" s="40"/>
      <c r="T11" s="40"/>
      <c r="U11" s="40"/>
      <c r="V11" s="40"/>
      <c r="W11" s="40"/>
      <c r="X11" s="40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</row>
    <row r="12" spans="1:36" x14ac:dyDescent="0.25">
      <c r="A12" s="37" t="str">
        <f>LCI!A6</f>
        <v>Marginal Land (ha/yr)</v>
      </c>
      <c r="B12" s="13"/>
      <c r="C12" s="13"/>
      <c r="D12" s="195"/>
      <c r="E12" s="195"/>
      <c r="F12" s="13"/>
      <c r="G12" s="13"/>
      <c r="H12" s="13"/>
      <c r="I12" s="38">
        <f>AlgaeCult!B3*I$7</f>
        <v>121</v>
      </c>
      <c r="J12" s="13"/>
      <c r="K12" s="13"/>
      <c r="L12" s="13"/>
      <c r="N12" s="44"/>
      <c r="O12" s="40"/>
      <c r="P12" s="40"/>
      <c r="Q12" s="40"/>
      <c r="R12" s="40"/>
      <c r="S12" s="40"/>
      <c r="T12" s="40"/>
      <c r="U12" s="40"/>
      <c r="V12" s="40"/>
      <c r="W12" s="40"/>
      <c r="X12" s="40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</row>
    <row r="13" spans="1:36" x14ac:dyDescent="0.25">
      <c r="A13" s="37" t="str">
        <f>LCI!A28</f>
        <v>Lime, Ag (kg/yr)</v>
      </c>
      <c r="B13" s="126">
        <f>SoyCult!$O9*B$7</f>
        <v>0</v>
      </c>
      <c r="C13" s="126">
        <f>SoyCult!$O9*C$7</f>
        <v>0</v>
      </c>
      <c r="D13" s="194">
        <f>CornCult!$K$9*$D$7</f>
        <v>52900</v>
      </c>
      <c r="E13" s="194">
        <f>CornCult!$K$9*$D$7</f>
        <v>52900</v>
      </c>
      <c r="F13" s="13"/>
      <c r="G13" s="13"/>
      <c r="H13" s="13"/>
      <c r="I13" s="69"/>
      <c r="J13" s="13"/>
      <c r="K13" s="13"/>
      <c r="L13" s="13"/>
      <c r="N13" s="44"/>
      <c r="O13" s="40"/>
      <c r="P13" s="40"/>
      <c r="Q13" s="40"/>
      <c r="R13" s="40"/>
      <c r="S13" s="40"/>
      <c r="T13" s="40"/>
      <c r="U13" s="40"/>
      <c r="V13" s="40"/>
      <c r="W13" s="40"/>
      <c r="X13" s="40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</row>
    <row r="14" spans="1:36" x14ac:dyDescent="0.25">
      <c r="A14" s="37" t="str">
        <f>LCI!A10</f>
        <v>CO2, Atmospheric (kg/yr)</v>
      </c>
      <c r="B14" s="13">
        <f>SoyCult!$O4*B$7</f>
        <v>508889.75932080013</v>
      </c>
      <c r="C14" s="13">
        <f>SoyCult!$O4*C$7</f>
        <v>508889.75932080013</v>
      </c>
      <c r="D14" s="196">
        <f>CornCult!$K$4*$D$7</f>
        <v>2456328.71</v>
      </c>
      <c r="E14" s="196">
        <f>CornCult!$K$4*$D$7</f>
        <v>2456328.71</v>
      </c>
      <c r="F14" s="13"/>
      <c r="G14" s="13"/>
      <c r="H14" s="13"/>
      <c r="I14" s="69">
        <f>9951907.5*I$7</f>
        <v>9951907.5</v>
      </c>
      <c r="J14" s="13"/>
      <c r="K14" s="13"/>
      <c r="L14" s="13"/>
      <c r="N14" s="44"/>
      <c r="O14" s="40"/>
      <c r="P14" s="40"/>
      <c r="Q14" s="40"/>
      <c r="R14" s="40"/>
      <c r="S14" s="40"/>
      <c r="T14" s="40"/>
      <c r="U14" s="40"/>
      <c r="V14" s="40"/>
      <c r="W14" s="40"/>
      <c r="X14" s="40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</row>
    <row r="15" spans="1:36" x14ac:dyDescent="0.25">
      <c r="A15" s="37" t="str">
        <f>LCI!A11</f>
        <v>CO2, Commercial (kg/yr)</v>
      </c>
      <c r="B15" s="13"/>
      <c r="C15" s="13"/>
      <c r="D15" s="195"/>
      <c r="E15" s="195"/>
      <c r="F15" s="13"/>
      <c r="G15" s="13"/>
      <c r="H15" s="13"/>
      <c r="I15" s="69"/>
      <c r="J15" s="13"/>
      <c r="K15" s="13"/>
      <c r="L15" s="13"/>
      <c r="N15" s="44"/>
      <c r="O15" s="40"/>
      <c r="P15" s="40"/>
      <c r="Q15" s="40"/>
      <c r="R15" s="40"/>
      <c r="S15" s="40"/>
      <c r="T15" s="40"/>
      <c r="U15" s="40"/>
      <c r="V15" s="40"/>
      <c r="W15" s="40"/>
      <c r="X15" s="40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</row>
    <row r="16" spans="1:36" x14ac:dyDescent="0.25">
      <c r="A16" s="37" t="str">
        <f>LCI!A13</f>
        <v>Corn Seed (kg/yr)</v>
      </c>
      <c r="B16" s="13"/>
      <c r="C16" s="13"/>
      <c r="D16" s="194">
        <f>CornCult!$K$5*$D$7</f>
        <v>1769.4594832116632</v>
      </c>
      <c r="E16" s="194">
        <f>CornCult!$K$5*$D$7</f>
        <v>1769.4594832116632</v>
      </c>
      <c r="F16" s="13"/>
      <c r="G16" s="13"/>
      <c r="H16" s="13"/>
      <c r="I16" s="69"/>
      <c r="J16" s="13"/>
      <c r="K16" s="13"/>
      <c r="L16" s="13"/>
      <c r="N16" s="44"/>
      <c r="O16" s="40"/>
      <c r="P16" s="40"/>
      <c r="Q16" s="40"/>
      <c r="R16" s="40"/>
      <c r="S16" s="40"/>
      <c r="T16" s="40"/>
      <c r="U16" s="40"/>
      <c r="V16" s="40"/>
      <c r="W16" s="40"/>
      <c r="X16" s="40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</row>
    <row r="17" spans="1:36" x14ac:dyDescent="0.25">
      <c r="A17" s="37" t="str">
        <f>LCI!A18</f>
        <v>Forestry Residue (kg/yr)</v>
      </c>
      <c r="B17" s="13"/>
      <c r="C17" s="13"/>
      <c r="D17" s="194"/>
      <c r="E17" s="194"/>
      <c r="F17" s="13"/>
      <c r="G17" s="13"/>
      <c r="H17" s="13"/>
      <c r="I17" s="69"/>
      <c r="J17" s="13"/>
      <c r="K17" s="13"/>
      <c r="L17" s="13"/>
      <c r="N17" s="44"/>
      <c r="O17" s="40"/>
      <c r="P17" s="40"/>
      <c r="Q17" s="40"/>
      <c r="R17" s="40"/>
      <c r="S17" s="40"/>
      <c r="T17" s="40"/>
      <c r="U17" s="40"/>
      <c r="V17" s="40"/>
      <c r="W17" s="40"/>
      <c r="X17" s="40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</row>
    <row r="18" spans="1:36" x14ac:dyDescent="0.25">
      <c r="A18" s="37" t="str">
        <f>LCI!A19</f>
        <v>Forestry Seed (cuttings/yr)</v>
      </c>
      <c r="B18" s="13"/>
      <c r="C18" s="13"/>
      <c r="D18" s="194"/>
      <c r="E18" s="194"/>
      <c r="F18" s="13"/>
      <c r="G18" s="13"/>
      <c r="H18" s="13"/>
      <c r="I18" s="69"/>
      <c r="J18" s="13"/>
      <c r="K18" s="13"/>
      <c r="L18" s="13"/>
      <c r="N18" s="44"/>
      <c r="O18" s="40"/>
      <c r="P18" s="40"/>
      <c r="Q18" s="40"/>
      <c r="R18" s="40"/>
      <c r="S18" s="40"/>
      <c r="T18" s="40"/>
      <c r="U18" s="40"/>
      <c r="V18" s="40"/>
      <c r="W18" s="40"/>
      <c r="X18" s="40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</row>
    <row r="19" spans="1:36" x14ac:dyDescent="0.25">
      <c r="A19" s="37" t="str">
        <f>LCI!A24</f>
        <v>Grass Seed (kg/yr)</v>
      </c>
      <c r="B19" s="13"/>
      <c r="C19" s="13"/>
      <c r="D19" s="194"/>
      <c r="E19" s="194"/>
      <c r="F19" s="13"/>
      <c r="G19" s="13"/>
      <c r="H19" s="13"/>
      <c r="I19" s="69"/>
      <c r="J19" s="13"/>
      <c r="K19" s="13"/>
      <c r="L19" s="13"/>
      <c r="N19" s="44"/>
      <c r="O19" s="40"/>
      <c r="P19" s="40"/>
      <c r="Q19" s="40"/>
      <c r="R19" s="40"/>
      <c r="S19" s="40"/>
      <c r="T19" s="40"/>
      <c r="U19" s="40"/>
      <c r="V19" s="40"/>
      <c r="W19" s="40"/>
      <c r="X19" s="40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</row>
    <row r="20" spans="1:36" x14ac:dyDescent="0.25">
      <c r="A20" s="37" t="str">
        <f>LCI!A25</f>
        <v>Herbicide (kg/yr)</v>
      </c>
      <c r="B20" s="126">
        <f>SoyCult!$O10*B$7</f>
        <v>241.37063683200009</v>
      </c>
      <c r="C20" s="126">
        <f>SoyCult!$O10*C$7</f>
        <v>241.37063683200009</v>
      </c>
      <c r="D20" s="194">
        <f>CornCult!$K$10*$D$7</f>
        <v>121.30000000000001</v>
      </c>
      <c r="E20" s="194">
        <f>CornCult!$K$10*$D$7</f>
        <v>121.30000000000001</v>
      </c>
      <c r="F20" s="13"/>
      <c r="G20" s="13"/>
      <c r="H20" s="13"/>
      <c r="I20" s="69"/>
      <c r="J20" s="13"/>
      <c r="K20" s="13"/>
      <c r="L20" s="13"/>
      <c r="N20" s="44"/>
      <c r="O20" s="40"/>
      <c r="P20" s="40"/>
      <c r="Q20" s="40"/>
      <c r="R20" s="40"/>
      <c r="S20" s="40"/>
      <c r="T20" s="40"/>
      <c r="U20" s="40"/>
      <c r="V20" s="40"/>
      <c r="W20" s="40"/>
      <c r="X20" s="40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</row>
    <row r="21" spans="1:36" x14ac:dyDescent="0.25">
      <c r="A21" s="37" t="str">
        <f>LCI!A27</f>
        <v>Insecticide (kg/yr)</v>
      </c>
      <c r="B21" s="126">
        <f>SoyCult!$O11*B$7</f>
        <v>6.0342659208000029</v>
      </c>
      <c r="C21" s="126">
        <f>SoyCult!$O11*C$7</f>
        <v>6.0342659208000029</v>
      </c>
      <c r="D21" s="194">
        <f>CornCult!$K$11*$D$7</f>
        <v>0</v>
      </c>
      <c r="E21" s="194">
        <f>CornCult!$K$11*$D$7</f>
        <v>0</v>
      </c>
      <c r="F21" s="13"/>
      <c r="G21" s="13"/>
      <c r="H21" s="13"/>
      <c r="I21" s="69"/>
      <c r="J21" s="13"/>
      <c r="K21" s="13"/>
      <c r="L21" s="13"/>
      <c r="N21" s="44"/>
      <c r="O21" s="40"/>
      <c r="P21" s="40"/>
      <c r="Q21" s="40"/>
      <c r="R21" s="40"/>
      <c r="S21" s="40"/>
      <c r="T21" s="40"/>
      <c r="U21" s="40"/>
      <c r="V21" s="40"/>
      <c r="W21" s="40"/>
      <c r="X21" s="40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</row>
    <row r="22" spans="1:36" x14ac:dyDescent="0.25">
      <c r="A22" s="37" t="str">
        <f>LCI!A31</f>
        <v>MSW (kg/yr)</v>
      </c>
      <c r="B22" s="13"/>
      <c r="C22" s="13"/>
      <c r="D22" s="194"/>
      <c r="E22" s="194"/>
      <c r="F22" s="13"/>
      <c r="G22" s="13"/>
      <c r="H22" s="13"/>
      <c r="I22" s="69"/>
      <c r="J22" s="13"/>
      <c r="K22" s="13"/>
      <c r="L22" s="13"/>
      <c r="N22" s="44"/>
      <c r="O22" s="40"/>
      <c r="P22" s="40"/>
      <c r="Q22" s="40"/>
      <c r="R22" s="40"/>
      <c r="S22" s="40"/>
      <c r="T22" s="40"/>
      <c r="U22" s="40"/>
      <c r="V22" s="40"/>
      <c r="W22" s="40"/>
      <c r="X22" s="40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</row>
    <row r="23" spans="1:36" x14ac:dyDescent="0.25">
      <c r="A23" s="37" t="str">
        <f>LCI!A32</f>
        <v>Nitrogen in Fertilizer (kg/yr)</v>
      </c>
      <c r="B23" s="126">
        <f>SoyCult!$O6*B$7</f>
        <v>603.4265920800002</v>
      </c>
      <c r="C23" s="126">
        <f>SoyCult!$O6*C$7</f>
        <v>603.4265920800002</v>
      </c>
      <c r="D23" s="194">
        <f>CornCult!$K$6*$D$7</f>
        <v>18460</v>
      </c>
      <c r="E23" s="194">
        <f>CornCult!$K$6*$D$7</f>
        <v>18460</v>
      </c>
      <c r="F23" s="13"/>
      <c r="G23" s="13"/>
      <c r="H23" s="13"/>
      <c r="I23" s="69">
        <f>293554.17*I$7</f>
        <v>293554.17</v>
      </c>
      <c r="J23" s="13"/>
      <c r="K23" s="13"/>
      <c r="L23" s="13"/>
      <c r="N23" s="44"/>
      <c r="O23" s="40"/>
      <c r="P23" s="40"/>
      <c r="Q23" s="40"/>
      <c r="R23" s="40"/>
      <c r="S23" s="40"/>
      <c r="T23" s="40"/>
      <c r="U23" s="40"/>
      <c r="V23" s="40"/>
      <c r="W23" s="40"/>
      <c r="X23" s="40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</row>
    <row r="24" spans="1:36" x14ac:dyDescent="0.25">
      <c r="A24" s="37" t="str">
        <f>LCI!A34</f>
        <v>Phosphorus in Fertilizer (kg/yr)</v>
      </c>
      <c r="B24" s="126">
        <f>SoyCult!$O7*B$7</f>
        <v>1074.2693132241131</v>
      </c>
      <c r="C24" s="126">
        <f>SoyCult!$O7*C$7</f>
        <v>1074.2693132241131</v>
      </c>
      <c r="D24" s="194">
        <f>CornCult!$K$7*$D$7</f>
        <v>6300</v>
      </c>
      <c r="E24" s="194">
        <f>CornCult!$K$7*$D$7</f>
        <v>6300</v>
      </c>
      <c r="F24" s="13"/>
      <c r="G24" s="13"/>
      <c r="H24" s="13"/>
      <c r="I24" s="69">
        <f>27288.495*I$7</f>
        <v>27288.494999999999</v>
      </c>
      <c r="J24" s="13"/>
      <c r="K24" s="13"/>
      <c r="L24" s="13"/>
      <c r="N24" s="44"/>
      <c r="O24" s="40"/>
      <c r="P24" s="40"/>
      <c r="Q24" s="40"/>
      <c r="R24" s="40"/>
      <c r="S24" s="40"/>
      <c r="T24" s="40"/>
      <c r="U24" s="40"/>
      <c r="V24" s="40"/>
      <c r="W24" s="40"/>
      <c r="X24" s="40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</row>
    <row r="25" spans="1:36" x14ac:dyDescent="0.25">
      <c r="A25" s="37" t="str">
        <f>LCI!A35</f>
        <v>Plastic (kg/yr)</v>
      </c>
      <c r="B25" s="13"/>
      <c r="C25" s="13"/>
      <c r="D25" s="194"/>
      <c r="E25" s="194"/>
      <c r="F25" s="13"/>
      <c r="G25" s="13"/>
      <c r="H25" s="13"/>
      <c r="I25" s="69">
        <f>139543.216722*I$7</f>
        <v>139543.21672200001</v>
      </c>
      <c r="J25" s="13"/>
      <c r="K25" s="13"/>
      <c r="L25" s="13"/>
      <c r="N25" s="44"/>
      <c r="O25" s="40"/>
      <c r="P25" s="40"/>
      <c r="Q25" s="40"/>
      <c r="R25" s="40"/>
      <c r="S25" s="40"/>
      <c r="T25" s="40"/>
      <c r="U25" s="40"/>
      <c r="V25" s="40"/>
      <c r="W25" s="40"/>
      <c r="X25" s="40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</row>
    <row r="26" spans="1:36" x14ac:dyDescent="0.25">
      <c r="A26" s="37" t="str">
        <f>LCI!A36</f>
        <v>Potassium in Fertilizer (kg/yr)</v>
      </c>
      <c r="B26" s="126">
        <f>SoyCult!$O8*B$7</f>
        <v>3379.8308588310647</v>
      </c>
      <c r="C26" s="126">
        <f>SoyCult!$O8*C$7</f>
        <v>3379.8308588310647</v>
      </c>
      <c r="D26" s="194">
        <f>CornCult!$K$8*$D$7</f>
        <v>9550</v>
      </c>
      <c r="E26" s="194">
        <f>CornCult!$K$8*$D$7</f>
        <v>9550</v>
      </c>
      <c r="F26" s="13"/>
      <c r="G26" s="13"/>
      <c r="H26" s="13"/>
      <c r="I26" s="69"/>
      <c r="J26" s="13"/>
      <c r="K26" s="13"/>
      <c r="L26" s="13"/>
      <c r="N26" s="44"/>
      <c r="O26" s="40"/>
      <c r="P26" s="40"/>
      <c r="Q26" s="40"/>
      <c r="R26" s="40"/>
      <c r="S26" s="40"/>
      <c r="T26" s="40"/>
      <c r="U26" s="40"/>
      <c r="V26" s="40"/>
      <c r="W26" s="40"/>
      <c r="X26" s="40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x14ac:dyDescent="0.25">
      <c r="A27" s="37" t="str">
        <f>LCI!A38</f>
        <v>Soybean Seed (kg/yr)</v>
      </c>
      <c r="B27" s="13">
        <f>SoyCult!$O5*B$7</f>
        <v>23351.399999999998</v>
      </c>
      <c r="C27" s="13">
        <f>SoyCult!$O5*C$7</f>
        <v>23351.399999999998</v>
      </c>
      <c r="D27" s="194"/>
      <c r="E27" s="194"/>
      <c r="F27" s="13"/>
      <c r="G27" s="13"/>
      <c r="H27" s="13"/>
      <c r="I27" s="69"/>
      <c r="J27" s="13"/>
      <c r="K27" s="13"/>
      <c r="L27" s="13"/>
      <c r="N27" s="44"/>
      <c r="O27" s="40"/>
      <c r="P27" s="40"/>
      <c r="Q27" s="40"/>
      <c r="R27" s="40"/>
      <c r="S27" s="40"/>
      <c r="T27" s="40"/>
      <c r="U27" s="40"/>
      <c r="V27" s="40"/>
      <c r="W27" s="40"/>
      <c r="X27" s="40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x14ac:dyDescent="0.25">
      <c r="A28" s="37" t="str">
        <f>LCI!A43</f>
        <v>Water, Rain, Blue (m3/yr)</v>
      </c>
      <c r="B28" s="13">
        <f>SoyCult!$O12*B$7</f>
        <v>575000</v>
      </c>
      <c r="C28" s="13">
        <f>SoyCult!$O12*C$7</f>
        <v>575000</v>
      </c>
      <c r="D28" s="194">
        <f>CornCult!$K$12*$D$7</f>
        <v>650000</v>
      </c>
      <c r="E28" s="194">
        <f>CornCult!$K$12*$D$7</f>
        <v>650000</v>
      </c>
      <c r="F28" s="13"/>
      <c r="G28" s="13"/>
      <c r="H28" s="13"/>
      <c r="I28" s="69"/>
      <c r="J28" s="13"/>
      <c r="K28" s="13"/>
      <c r="L28" s="13"/>
      <c r="N28" s="44"/>
      <c r="O28" s="40"/>
      <c r="P28" s="40"/>
      <c r="Q28" s="40"/>
      <c r="R28" s="40"/>
      <c r="S28" s="40"/>
      <c r="T28" s="40"/>
      <c r="U28" s="40"/>
      <c r="V28" s="40"/>
      <c r="W28" s="40"/>
      <c r="X28" s="40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x14ac:dyDescent="0.25">
      <c r="A29" s="37" t="str">
        <f>LCI!A44</f>
        <v>Water, Saline (m3/yr)</v>
      </c>
      <c r="B29" s="13"/>
      <c r="C29" s="13"/>
      <c r="D29" s="194"/>
      <c r="E29" s="194"/>
      <c r="F29" s="13"/>
      <c r="G29" s="13"/>
      <c r="H29" s="13"/>
      <c r="I29" s="69">
        <f>10301103*I$7</f>
        <v>10301103</v>
      </c>
      <c r="J29" s="13"/>
      <c r="K29" s="13"/>
      <c r="L29" s="13"/>
      <c r="N29" s="44"/>
      <c r="O29" s="40"/>
      <c r="P29" s="40"/>
      <c r="Q29" s="40"/>
      <c r="R29" s="40"/>
      <c r="S29" s="40"/>
      <c r="T29" s="40"/>
      <c r="U29" s="40"/>
      <c r="V29" s="40"/>
      <c r="W29" s="40"/>
      <c r="X29" s="40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x14ac:dyDescent="0.25">
      <c r="A30" s="37" t="str">
        <f>LCI!A46</f>
        <v>WOG, raw (kg/yr)</v>
      </c>
      <c r="B30" s="13"/>
      <c r="C30" s="13"/>
      <c r="D30" s="194"/>
      <c r="E30" s="194"/>
      <c r="F30" s="13"/>
      <c r="G30" s="13"/>
      <c r="H30" s="13"/>
      <c r="I30" s="69"/>
      <c r="J30" s="13"/>
      <c r="K30" s="13"/>
      <c r="L30" s="13"/>
      <c r="N30" s="44"/>
      <c r="O30" s="40"/>
      <c r="P30" s="40"/>
      <c r="Q30" s="40"/>
      <c r="R30" s="40"/>
      <c r="S30" s="40"/>
      <c r="T30" s="40"/>
      <c r="U30" s="40"/>
      <c r="V30" s="40"/>
      <c r="W30" s="40"/>
      <c r="X30" s="40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x14ac:dyDescent="0.25">
      <c r="A31" s="37" t="str">
        <f>LCI!A48</f>
        <v>Diesel (kg/yr)</v>
      </c>
      <c r="B31" s="126">
        <f>SoyCult!$O13*B$7</f>
        <v>4676.5560886200019</v>
      </c>
      <c r="C31" s="126">
        <f>SoyCult!$O13*C$7</f>
        <v>4676.5560886200019</v>
      </c>
      <c r="D31" s="194">
        <f>CornCult!$K$13*$D$7</f>
        <v>128108.6</v>
      </c>
      <c r="E31" s="194">
        <f>CornCult!$K$13*$D$7</f>
        <v>128108.6</v>
      </c>
      <c r="F31" s="13"/>
      <c r="G31" s="13"/>
      <c r="H31" s="13"/>
      <c r="I31" s="69"/>
      <c r="J31" s="13"/>
      <c r="K31" s="13"/>
      <c r="L31" s="13"/>
      <c r="N31" s="44"/>
      <c r="O31" s="40"/>
      <c r="P31" s="40"/>
      <c r="Q31" s="40"/>
      <c r="R31" s="40"/>
      <c r="S31" s="40"/>
      <c r="T31" s="40"/>
      <c r="U31" s="40"/>
      <c r="V31" s="40"/>
      <c r="W31" s="40"/>
      <c r="X31" s="40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x14ac:dyDescent="0.25">
      <c r="A32" s="37" t="str">
        <f>LCI!A49</f>
        <v>Electricity, Grid (MJ/yr)</v>
      </c>
      <c r="B32" s="126">
        <f>SoyCult!$O17*B$7</f>
        <v>10740.993339024004</v>
      </c>
      <c r="C32" s="126">
        <f>SoyCult!$O17*C$7</f>
        <v>10740.993339024004</v>
      </c>
      <c r="D32" s="194">
        <f>CornCult!$K$17*$D$7</f>
        <v>145379.79999999999</v>
      </c>
      <c r="E32" s="194">
        <f>CornCult!$K$17*$D$7</f>
        <v>145379.79999999999</v>
      </c>
      <c r="F32" s="13"/>
      <c r="G32" s="13"/>
      <c r="H32" s="13"/>
      <c r="I32" s="69">
        <f>51757474.5*I$7</f>
        <v>51757474.5</v>
      </c>
      <c r="J32" s="13"/>
      <c r="K32" s="13"/>
      <c r="L32" s="13"/>
      <c r="N32" s="44"/>
      <c r="O32" s="40"/>
      <c r="P32" s="40"/>
      <c r="Q32" s="40"/>
      <c r="R32" s="40"/>
      <c r="S32" s="40"/>
      <c r="T32" s="40"/>
      <c r="U32" s="40"/>
      <c r="V32" s="40"/>
      <c r="W32" s="40"/>
      <c r="X32" s="40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x14ac:dyDescent="0.25">
      <c r="A33" s="37" t="str">
        <f>LCI!A51</f>
        <v>Gasoline (kg/yr)</v>
      </c>
      <c r="B33" s="126">
        <f>SoyCult!$O14*B$7</f>
        <v>1055.9965361400004</v>
      </c>
      <c r="C33" s="126">
        <f>SoyCult!$O14*C$7</f>
        <v>1055.9965361400004</v>
      </c>
      <c r="D33" s="194">
        <f>CornCult!$K$14*$D$7</f>
        <v>0</v>
      </c>
      <c r="E33" s="194">
        <f>CornCult!$K$14*$D$7</f>
        <v>0</v>
      </c>
      <c r="F33" s="13"/>
      <c r="G33" s="13"/>
      <c r="H33" s="13"/>
      <c r="I33" s="69"/>
      <c r="J33" s="13"/>
      <c r="K33" s="13"/>
      <c r="L33" s="13"/>
      <c r="N33" s="44"/>
      <c r="O33" s="40"/>
      <c r="P33" s="40"/>
      <c r="Q33" s="40"/>
      <c r="R33" s="40"/>
      <c r="S33" s="40"/>
      <c r="T33" s="40"/>
      <c r="U33" s="40"/>
      <c r="V33" s="40"/>
      <c r="W33" s="40"/>
      <c r="X33" s="40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x14ac:dyDescent="0.25">
      <c r="A34" s="37" t="str">
        <f>LCI!A54</f>
        <v>Heat (MJ/yr)</v>
      </c>
      <c r="B34" s="13"/>
      <c r="C34" s="13"/>
      <c r="D34" s="197" t="s">
        <v>368</v>
      </c>
      <c r="E34" s="194"/>
      <c r="F34" s="13"/>
      <c r="G34" s="13"/>
      <c r="H34" s="13"/>
      <c r="I34" s="69">
        <f>1760103*I$7</f>
        <v>1760103</v>
      </c>
      <c r="J34" s="13"/>
      <c r="K34" s="13"/>
      <c r="L34" s="13"/>
      <c r="N34" s="44"/>
      <c r="O34" s="40"/>
      <c r="P34" s="40"/>
      <c r="Q34" s="40"/>
      <c r="R34" s="40"/>
      <c r="S34" s="40"/>
      <c r="T34" s="40"/>
      <c r="U34" s="40"/>
      <c r="V34" s="40"/>
      <c r="W34" s="40"/>
      <c r="X34" s="40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x14ac:dyDescent="0.25">
      <c r="A35" s="37" t="str">
        <f>LCI!A53</f>
        <v>LPG (kg/yr)</v>
      </c>
      <c r="B35" s="126">
        <f>SoyCult!$O15*B$7</f>
        <v>205.76846789928007</v>
      </c>
      <c r="C35" s="126">
        <f>SoyCult!$O15*C$7</f>
        <v>205.76846789928007</v>
      </c>
      <c r="D35" s="194">
        <f>CornCult!$K$15*$D$7</f>
        <v>0</v>
      </c>
      <c r="E35" s="194">
        <f>CornCult!$K$15*$D$7</f>
        <v>0</v>
      </c>
      <c r="F35" s="13"/>
      <c r="G35" s="13"/>
      <c r="H35" s="13"/>
      <c r="I35" s="69"/>
      <c r="J35" s="13"/>
      <c r="K35" s="13"/>
      <c r="L35" s="13"/>
      <c r="N35" s="44"/>
      <c r="O35" s="40"/>
      <c r="P35" s="40"/>
      <c r="Q35" s="40"/>
      <c r="R35" s="40"/>
      <c r="S35" s="40"/>
      <c r="T35" s="40"/>
      <c r="U35" s="40"/>
      <c r="V35" s="40"/>
      <c r="W35" s="40"/>
      <c r="X35" s="40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</row>
    <row r="36" spans="1:36" x14ac:dyDescent="0.25">
      <c r="A36" s="37" t="str">
        <f>LCI!A56</f>
        <v>Natural Gas (kg/yr)</v>
      </c>
      <c r="B36" s="126">
        <f>SoyCult!$O16*B$7</f>
        <v>264.90427392312006</v>
      </c>
      <c r="C36" s="126">
        <f>SoyCult!$O16*C$7</f>
        <v>264.90427392312006</v>
      </c>
      <c r="D36" s="198" t="s">
        <v>369</v>
      </c>
      <c r="E36" s="198" t="s">
        <v>369</v>
      </c>
      <c r="F36" s="13"/>
      <c r="G36" s="13"/>
      <c r="H36" s="13"/>
      <c r="I36" s="69"/>
      <c r="J36" s="13"/>
      <c r="K36" s="13"/>
      <c r="L36" s="13"/>
      <c r="N36" s="44"/>
      <c r="O36" s="40"/>
      <c r="P36" s="40"/>
      <c r="Q36" s="40"/>
      <c r="R36" s="40"/>
      <c r="S36" s="40"/>
      <c r="T36" s="40"/>
      <c r="U36" s="40"/>
      <c r="V36" s="40"/>
      <c r="W36" s="40"/>
      <c r="X36" s="40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spans="1:36" x14ac:dyDescent="0.25">
      <c r="A37" s="37"/>
      <c r="B37" s="13"/>
      <c r="C37" s="13"/>
      <c r="D37" s="195"/>
      <c r="E37" s="195"/>
      <c r="F37" s="13"/>
      <c r="G37" s="13"/>
      <c r="H37" s="13"/>
      <c r="I37" s="13"/>
      <c r="J37" s="13"/>
      <c r="K37" s="13"/>
      <c r="L37" s="13"/>
      <c r="N37" s="44"/>
      <c r="O37" s="40"/>
      <c r="P37" s="40"/>
      <c r="Q37" s="40"/>
      <c r="R37" s="40"/>
      <c r="S37" s="40"/>
      <c r="T37" s="40"/>
      <c r="U37" s="40"/>
      <c r="V37" s="40"/>
      <c r="W37" s="40"/>
      <c r="X37" s="40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</row>
    <row r="38" spans="1:36" x14ac:dyDescent="0.25">
      <c r="A38" s="37"/>
      <c r="B38" s="13"/>
      <c r="C38" s="13"/>
      <c r="D38" s="195"/>
      <c r="E38" s="195"/>
      <c r="F38" s="13"/>
      <c r="G38" s="13"/>
      <c r="H38" s="13"/>
      <c r="I38" s="13"/>
      <c r="J38" s="13"/>
      <c r="K38" s="13"/>
      <c r="L38" s="13"/>
      <c r="N38" s="44"/>
      <c r="O38" s="40"/>
      <c r="P38" s="40"/>
      <c r="Q38" s="40"/>
      <c r="R38" s="40"/>
      <c r="S38" s="40"/>
      <c r="T38" s="40"/>
      <c r="U38" s="40"/>
      <c r="V38" s="40"/>
      <c r="W38" s="40"/>
      <c r="X38" s="40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</row>
    <row r="39" spans="1:36" x14ac:dyDescent="0.25">
      <c r="A39" s="125" t="s">
        <v>370</v>
      </c>
      <c r="B39" s="138">
        <v>1</v>
      </c>
      <c r="C39" s="138">
        <v>1</v>
      </c>
      <c r="D39" s="193">
        <v>1</v>
      </c>
      <c r="E39" s="193">
        <v>1</v>
      </c>
      <c r="F39" s="138"/>
      <c r="G39" s="138"/>
      <c r="H39" s="138"/>
      <c r="I39" s="138">
        <v>1</v>
      </c>
      <c r="J39" s="138"/>
      <c r="K39" s="138"/>
      <c r="L39" s="138"/>
      <c r="N39" s="44"/>
      <c r="O39" s="40"/>
      <c r="P39" s="40"/>
      <c r="Q39" s="40"/>
      <c r="R39" s="40"/>
      <c r="S39" s="40"/>
      <c r="T39" s="40"/>
      <c r="U39" s="40"/>
      <c r="V39" s="40"/>
      <c r="W39" s="40"/>
      <c r="X39" s="40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</row>
    <row r="40" spans="1:36" x14ac:dyDescent="0.25">
      <c r="A40" s="37" t="str">
        <f>LCI!A3</f>
        <v>Capital Cost ($)</v>
      </c>
      <c r="B40" s="133">
        <f>HexExt!$L10*B$39</f>
        <v>166250.16312406166</v>
      </c>
      <c r="C40" s="133">
        <f>HexExt!$L10*C$39</f>
        <v>166250.16312406166</v>
      </c>
      <c r="D40" s="194">
        <f>StarchFerm!K18*D39</f>
        <v>2928960.6</v>
      </c>
      <c r="E40" s="13"/>
      <c r="F40" s="13"/>
      <c r="G40" s="13"/>
      <c r="H40" s="13"/>
      <c r="I40" s="155">
        <f>HexExt!Q10*I$39</f>
        <v>0</v>
      </c>
      <c r="J40" s="13"/>
      <c r="K40" s="13"/>
      <c r="L40" s="13"/>
      <c r="N40" s="44"/>
      <c r="O40" s="40"/>
      <c r="P40" s="40"/>
      <c r="Q40" s="40"/>
      <c r="R40" s="40"/>
      <c r="S40" s="40"/>
      <c r="T40" s="40"/>
      <c r="U40" s="40"/>
      <c r="V40" s="40"/>
      <c r="W40" s="40"/>
      <c r="X40" s="40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</row>
    <row r="41" spans="1:36" x14ac:dyDescent="0.25">
      <c r="A41" s="37" t="str">
        <f>LCI!A4</f>
        <v>Labor ($/yr)</v>
      </c>
      <c r="B41" s="133">
        <f>HexExt!$L11*B$39</f>
        <v>1260.0012363086778</v>
      </c>
      <c r="C41" s="133">
        <f>HexExt!$L11*C$39</f>
        <v>1260.0012363086778</v>
      </c>
      <c r="D41" s="194">
        <f>StarchFerm!K20*D39</f>
        <v>28148.309999999998</v>
      </c>
      <c r="E41" s="13"/>
      <c r="F41" s="13"/>
      <c r="G41" s="13"/>
      <c r="H41" s="13"/>
      <c r="I41" s="69">
        <f>41100*I$39</f>
        <v>41100</v>
      </c>
      <c r="J41" s="13"/>
      <c r="K41" s="13"/>
      <c r="L41" s="13"/>
      <c r="N41" s="44"/>
      <c r="O41" s="40"/>
      <c r="P41" s="40"/>
      <c r="Q41" s="40"/>
      <c r="R41" s="40"/>
      <c r="S41" s="40"/>
      <c r="T41" s="40"/>
      <c r="U41" s="40"/>
      <c r="V41" s="40"/>
      <c r="W41" s="40"/>
      <c r="X41" s="40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</row>
    <row r="42" spans="1:36" x14ac:dyDescent="0.25">
      <c r="A42" s="37" t="str">
        <f>LCI!A7</f>
        <v>Air (kg/yr)</v>
      </c>
      <c r="B42" s="13"/>
      <c r="C42" s="13"/>
      <c r="D42" s="194"/>
      <c r="E42" s="13"/>
      <c r="F42" s="13"/>
      <c r="G42" s="13"/>
      <c r="H42" s="13"/>
      <c r="I42" s="69"/>
      <c r="J42" s="13"/>
      <c r="K42" s="13"/>
      <c r="L42" s="13"/>
      <c r="N42" s="44"/>
      <c r="O42" s="40"/>
      <c r="P42" s="40"/>
      <c r="Q42" s="40"/>
      <c r="R42" s="40"/>
      <c r="S42" s="40"/>
      <c r="T42" s="40"/>
      <c r="U42" s="40"/>
      <c r="V42" s="40"/>
      <c r="W42" s="40"/>
      <c r="X42" s="40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</row>
    <row r="43" spans="1:36" x14ac:dyDescent="0.25">
      <c r="A43" s="37" t="str">
        <f>LCI!A64</f>
        <v>Algal Biomass, Whole (kg/yr)</v>
      </c>
      <c r="B43" s="13"/>
      <c r="C43" s="13"/>
      <c r="D43" s="194"/>
      <c r="E43" s="13"/>
      <c r="F43" s="13"/>
      <c r="G43" s="13"/>
      <c r="H43" s="13"/>
      <c r="I43" s="69">
        <f>4928157*I$39</f>
        <v>4928157</v>
      </c>
      <c r="J43" s="13"/>
      <c r="K43" s="13"/>
      <c r="L43" s="13"/>
      <c r="N43" s="44"/>
      <c r="O43" s="40"/>
      <c r="P43" s="40"/>
      <c r="Q43" s="40"/>
      <c r="R43" s="40"/>
      <c r="S43" s="40"/>
      <c r="T43" s="40"/>
      <c r="U43" s="40"/>
      <c r="V43" s="40"/>
      <c r="W43" s="40"/>
      <c r="X43" s="40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</row>
    <row r="44" spans="1:36" x14ac:dyDescent="0.25">
      <c r="A44" s="37" t="str">
        <f>LCI!A8</f>
        <v>Alpha-Amylase (kg/yr)</v>
      </c>
      <c r="B44" s="13"/>
      <c r="C44" s="13"/>
      <c r="D44" s="194"/>
      <c r="E44" s="13"/>
      <c r="F44" s="13"/>
      <c r="G44" s="13"/>
      <c r="H44" s="13"/>
      <c r="I44" s="69"/>
      <c r="J44" s="13"/>
      <c r="K44" s="13"/>
      <c r="L44" s="13"/>
      <c r="N44" s="44"/>
      <c r="O44" s="40"/>
      <c r="P44" s="40"/>
      <c r="Q44" s="40"/>
      <c r="R44" s="40"/>
      <c r="S44" s="40"/>
      <c r="T44" s="40"/>
      <c r="U44" s="40"/>
      <c r="V44" s="40"/>
      <c r="W44" s="40"/>
      <c r="X44" s="40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</row>
    <row r="45" spans="1:36" x14ac:dyDescent="0.25">
      <c r="A45" s="37" t="str">
        <f>LCI!A9</f>
        <v>Ammonia (kg/yr)</v>
      </c>
      <c r="B45" s="13"/>
      <c r="C45" s="13"/>
      <c r="D45" s="194"/>
      <c r="E45" s="13"/>
      <c r="F45" s="13"/>
      <c r="G45" s="13"/>
      <c r="H45" s="13"/>
      <c r="I45" s="69"/>
      <c r="J45" s="13"/>
      <c r="K45" s="13"/>
      <c r="L45" s="13"/>
      <c r="N45" s="44"/>
      <c r="O45" s="40"/>
      <c r="P45" s="40"/>
      <c r="Q45" s="40"/>
      <c r="R45" s="40"/>
      <c r="S45" s="40"/>
      <c r="T45" s="40"/>
      <c r="U45" s="40"/>
      <c r="V45" s="40"/>
      <c r="W45" s="40"/>
      <c r="X45" s="40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</row>
    <row r="46" spans="1:36" x14ac:dyDescent="0.25">
      <c r="A46" s="37" t="str">
        <f>LCI!A69</f>
        <v>Corn Grain (kg/yr)</v>
      </c>
      <c r="B46" s="13"/>
      <c r="C46" s="13"/>
      <c r="D46" s="194">
        <f>D39*StarchFerm!K4</f>
        <v>1097400</v>
      </c>
      <c r="E46" s="13"/>
      <c r="F46" s="13"/>
      <c r="G46" s="13"/>
      <c r="H46" s="13"/>
      <c r="I46" s="69"/>
      <c r="J46" s="13"/>
      <c r="K46" s="13"/>
      <c r="L46" s="13"/>
      <c r="N46" s="44"/>
      <c r="O46" s="40"/>
      <c r="P46" s="40"/>
      <c r="Q46" s="40"/>
      <c r="R46" s="40"/>
      <c r="S46" s="40"/>
      <c r="T46" s="40"/>
      <c r="U46" s="40"/>
      <c r="V46" s="40"/>
      <c r="W46" s="40"/>
      <c r="X46" s="40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</row>
    <row r="47" spans="1:36" x14ac:dyDescent="0.25">
      <c r="A47" s="37" t="str">
        <f>LCI!A70</f>
        <v>Corn Stover, Collected (kg/yr)</v>
      </c>
      <c r="B47" s="13"/>
      <c r="C47" s="13"/>
      <c r="D47" s="194"/>
      <c r="E47" s="13"/>
      <c r="F47" s="13"/>
      <c r="G47" s="13"/>
      <c r="H47" s="13"/>
      <c r="I47" s="69"/>
      <c r="J47" s="13"/>
      <c r="K47" s="13"/>
      <c r="L47" s="13"/>
      <c r="N47" s="44"/>
      <c r="O47" s="40"/>
      <c r="P47" s="40"/>
      <c r="Q47" s="40"/>
      <c r="R47" s="40"/>
      <c r="S47" s="40"/>
      <c r="T47" s="40"/>
      <c r="U47" s="40"/>
      <c r="V47" s="40"/>
      <c r="W47" s="40"/>
      <c r="X47" s="40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</row>
    <row r="48" spans="1:36" x14ac:dyDescent="0.25">
      <c r="A48" s="37" t="str">
        <f>LCI!A16</f>
        <v>Enzymes (kg/yr)</v>
      </c>
      <c r="B48" s="13"/>
      <c r="C48" s="13"/>
      <c r="D48" s="197" t="s">
        <v>371</v>
      </c>
      <c r="E48" s="13"/>
      <c r="F48" s="13"/>
      <c r="G48" s="13"/>
      <c r="H48" s="13"/>
      <c r="I48" s="69"/>
      <c r="J48" s="13"/>
      <c r="K48" s="13"/>
      <c r="L48" s="13"/>
      <c r="N48" s="44"/>
      <c r="O48" s="40"/>
      <c r="P48" s="40"/>
      <c r="Q48" s="40"/>
      <c r="R48" s="40"/>
      <c r="S48" s="40"/>
      <c r="T48" s="40"/>
      <c r="U48" s="40"/>
      <c r="V48" s="40"/>
      <c r="W48" s="40"/>
      <c r="X48" s="40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</row>
    <row r="49" spans="1:36" x14ac:dyDescent="0.25">
      <c r="A49" s="37" t="str">
        <f>LCI!A20</f>
        <v>FT Catalysts (kg/yr)</v>
      </c>
      <c r="B49" s="13"/>
      <c r="C49" s="13"/>
      <c r="D49" s="194"/>
      <c r="E49" s="13"/>
      <c r="F49" s="13"/>
      <c r="G49" s="13"/>
      <c r="H49" s="13"/>
      <c r="I49" s="69"/>
      <c r="J49" s="13"/>
      <c r="K49" s="13"/>
      <c r="L49" s="13"/>
      <c r="N49" s="44"/>
      <c r="O49" s="40"/>
      <c r="P49" s="40"/>
      <c r="Q49" s="40"/>
      <c r="R49" s="40"/>
      <c r="S49" s="40"/>
      <c r="T49" s="40"/>
      <c r="U49" s="40"/>
      <c r="V49" s="40"/>
      <c r="W49" s="40"/>
      <c r="X49" s="40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</row>
    <row r="50" spans="1:36" x14ac:dyDescent="0.25">
      <c r="A50" s="37" t="str">
        <f>LCI!A21</f>
        <v>Glucoamylase (kg/yr)</v>
      </c>
      <c r="B50" s="13"/>
      <c r="C50" s="13"/>
      <c r="D50" s="194"/>
      <c r="E50" s="13"/>
      <c r="F50" s="13"/>
      <c r="G50" s="13"/>
      <c r="H50" s="13"/>
      <c r="I50" s="69"/>
      <c r="J50" s="13"/>
      <c r="K50" s="13"/>
      <c r="L50" s="13"/>
      <c r="N50" s="44"/>
      <c r="O50" s="40"/>
      <c r="P50" s="40"/>
      <c r="Q50" s="40"/>
      <c r="R50" s="40"/>
      <c r="S50" s="40"/>
      <c r="T50" s="40"/>
      <c r="U50" s="40"/>
      <c r="V50" s="40"/>
      <c r="W50" s="40"/>
      <c r="X50" s="40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</row>
    <row r="51" spans="1:36" x14ac:dyDescent="0.25">
      <c r="A51" s="37" t="str">
        <f>LCI!A22</f>
        <v>Glucose (kg/yr)</v>
      </c>
      <c r="B51" s="13"/>
      <c r="C51" s="13"/>
      <c r="D51" s="194"/>
      <c r="E51" s="13"/>
      <c r="F51" s="13"/>
      <c r="G51" s="13"/>
      <c r="H51" s="13"/>
      <c r="I51" s="69"/>
      <c r="J51" s="13"/>
      <c r="K51" s="13"/>
      <c r="L51" s="13"/>
      <c r="N51" s="44"/>
      <c r="O51" s="40"/>
      <c r="P51" s="40"/>
      <c r="Q51" s="40"/>
      <c r="R51" s="40"/>
      <c r="S51" s="40"/>
      <c r="T51" s="40"/>
      <c r="U51" s="40"/>
      <c r="V51" s="40"/>
      <c r="W51" s="40"/>
      <c r="X51" s="40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</row>
    <row r="52" spans="1:36" x14ac:dyDescent="0.25">
      <c r="A52" s="37" t="str">
        <f>LCI!A26</f>
        <v>Hexane (kg/yr)</v>
      </c>
      <c r="B52" s="133">
        <f>HexExt!$L5*B$39</f>
        <v>238.35350387160008</v>
      </c>
      <c r="C52" s="133">
        <f>HexExt!$L5*C$39</f>
        <v>238.35350387160008</v>
      </c>
      <c r="D52" s="194"/>
      <c r="E52" s="13"/>
      <c r="F52" s="13"/>
      <c r="G52" s="13"/>
      <c r="H52" s="13"/>
      <c r="I52" s="38"/>
      <c r="J52" s="13"/>
      <c r="K52" s="13"/>
      <c r="L52" s="13"/>
      <c r="N52" s="44"/>
      <c r="O52" s="40"/>
      <c r="P52" s="40"/>
      <c r="Q52" s="40"/>
      <c r="R52" s="40"/>
      <c r="S52" s="40"/>
      <c r="T52" s="40"/>
      <c r="U52" s="40"/>
      <c r="V52" s="40"/>
      <c r="W52" s="40"/>
      <c r="X52" s="40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</row>
    <row r="53" spans="1:36" x14ac:dyDescent="0.25">
      <c r="A53" s="37" t="str">
        <f>LCI!A76</f>
        <v>Refused Derived Fuel (kg/yr)</v>
      </c>
      <c r="B53" s="13"/>
      <c r="C53" s="13"/>
      <c r="D53" s="194"/>
      <c r="E53" s="13"/>
      <c r="F53" s="13"/>
      <c r="G53" s="13"/>
      <c r="H53" s="13"/>
      <c r="I53" s="69"/>
      <c r="J53" s="13"/>
      <c r="K53" s="13"/>
      <c r="L53" s="13"/>
      <c r="N53" s="44"/>
      <c r="O53" s="40"/>
      <c r="P53" s="40"/>
      <c r="Q53" s="40"/>
      <c r="R53" s="40"/>
      <c r="S53" s="40"/>
      <c r="T53" s="40"/>
      <c r="U53" s="40"/>
      <c r="V53" s="40"/>
      <c r="W53" s="40"/>
      <c r="X53" s="40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</row>
    <row r="54" spans="1:36" x14ac:dyDescent="0.25">
      <c r="A54" s="37" t="str">
        <f>LCI!A37</f>
        <v>Sodium Hydroxide (kg/yr)</v>
      </c>
      <c r="B54" s="13"/>
      <c r="C54" s="13"/>
      <c r="D54" s="194">
        <f>D39*StarchFerm!K6</f>
        <v>5472.0314639999997</v>
      </c>
      <c r="E54" s="13"/>
      <c r="F54" s="13"/>
      <c r="G54" s="13"/>
      <c r="H54" s="13"/>
      <c r="I54" s="69"/>
      <c r="J54" s="13"/>
      <c r="K54" s="13"/>
      <c r="L54" s="13"/>
      <c r="N54" s="44"/>
      <c r="O54" s="40"/>
      <c r="P54" s="40"/>
      <c r="Q54" s="40"/>
      <c r="R54" s="40"/>
      <c r="S54" s="40"/>
      <c r="T54" s="40"/>
      <c r="U54" s="40"/>
      <c r="V54" s="40"/>
      <c r="W54" s="40"/>
      <c r="X54" s="40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</row>
    <row r="55" spans="1:36" x14ac:dyDescent="0.25">
      <c r="A55" s="37" t="str">
        <f>LCI!A80</f>
        <v>Soybeans (kg/yr)</v>
      </c>
      <c r="B55" s="13">
        <f>HexExt!$L4*B$39</f>
        <v>301713.2960400001</v>
      </c>
      <c r="C55" s="13">
        <f>HexExt!$L4*C$39</f>
        <v>301713.2960400001</v>
      </c>
      <c r="D55" s="194"/>
      <c r="E55" s="13"/>
      <c r="F55" s="13"/>
      <c r="G55" s="13"/>
      <c r="H55" s="13"/>
      <c r="I55" s="69"/>
      <c r="J55" s="13"/>
      <c r="K55" s="13"/>
      <c r="L55" s="13"/>
      <c r="N55" s="44"/>
      <c r="O55" s="40"/>
      <c r="P55" s="40"/>
      <c r="Q55" s="40"/>
      <c r="R55" s="40"/>
      <c r="S55" s="40"/>
      <c r="T55" s="40"/>
      <c r="U55" s="40"/>
      <c r="V55" s="40"/>
      <c r="W55" s="40"/>
      <c r="X55" s="40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</row>
    <row r="56" spans="1:36" x14ac:dyDescent="0.25">
      <c r="A56" s="37" t="str">
        <f>LCI!A39</f>
        <v>Steam (kg/yr)</v>
      </c>
      <c r="B56" s="13"/>
      <c r="C56" s="13"/>
      <c r="D56" s="194">
        <f>D39*StarchFerm!K14</f>
        <v>1009805.532</v>
      </c>
      <c r="E56" s="13"/>
      <c r="F56" s="13"/>
      <c r="G56" s="13"/>
      <c r="H56" s="13"/>
      <c r="I56" s="69"/>
      <c r="J56" s="13"/>
      <c r="K56" s="13"/>
      <c r="L56" s="13"/>
      <c r="N56" s="44"/>
      <c r="O56" s="40"/>
      <c r="P56" s="40"/>
      <c r="Q56" s="40"/>
      <c r="R56" s="40"/>
      <c r="S56" s="40"/>
      <c r="T56" s="40"/>
      <c r="U56" s="40"/>
      <c r="V56" s="40"/>
      <c r="W56" s="40"/>
      <c r="X56" s="40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</row>
    <row r="57" spans="1:36" x14ac:dyDescent="0.25">
      <c r="A57" s="37" t="str">
        <f>LCI!A40</f>
        <v>Sulfuric Acid (kg/yr)</v>
      </c>
      <c r="B57" s="13"/>
      <c r="C57" s="13"/>
      <c r="D57" s="194">
        <f>D39*StarchFerm!K11</f>
        <v>2176.9980578516743</v>
      </c>
      <c r="E57" s="13"/>
      <c r="F57" s="13"/>
      <c r="G57" s="13"/>
      <c r="H57" s="13"/>
      <c r="I57" s="69"/>
      <c r="J57" s="13"/>
      <c r="K57" s="13"/>
      <c r="L57" s="13"/>
      <c r="N57" s="44"/>
      <c r="O57" s="40"/>
      <c r="P57" s="40"/>
      <c r="Q57" s="40"/>
      <c r="R57" s="40"/>
      <c r="S57" s="40"/>
      <c r="T57" s="40"/>
      <c r="U57" s="40"/>
      <c r="V57" s="40"/>
      <c r="W57" s="40"/>
      <c r="X57" s="40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</row>
    <row r="58" spans="1:36" x14ac:dyDescent="0.25">
      <c r="A58" s="37" t="str">
        <f>LCI!A42</f>
        <v>Water, Process (kg/yr)</v>
      </c>
      <c r="B58" s="13">
        <f>HexExt!$L6*B$39</f>
        <v>77774.982979200024</v>
      </c>
      <c r="C58" s="13">
        <f>HexExt!$L6*C$39</f>
        <v>77774.982979200024</v>
      </c>
      <c r="D58" s="194">
        <f>D39*StarchFerm!K5</f>
        <v>2329483.9019999998</v>
      </c>
      <c r="E58" s="13"/>
      <c r="F58" s="13"/>
      <c r="G58" s="13"/>
      <c r="H58" s="13"/>
      <c r="I58" s="69"/>
      <c r="J58" s="13"/>
      <c r="K58" s="13"/>
      <c r="L58" s="13"/>
      <c r="N58" s="44"/>
      <c r="O58" s="40"/>
      <c r="P58" s="40"/>
      <c r="Q58" s="40"/>
      <c r="R58" s="40"/>
      <c r="S58" s="40"/>
      <c r="T58" s="40"/>
      <c r="U58" s="40"/>
      <c r="V58" s="40"/>
      <c r="W58" s="40"/>
      <c r="X58" s="40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</row>
    <row r="59" spans="1:36" x14ac:dyDescent="0.25">
      <c r="A59" s="37" t="str">
        <f>LCI!A86</f>
        <v>Woody Biomass (kg/yr)</v>
      </c>
      <c r="B59" s="13"/>
      <c r="C59" s="13"/>
      <c r="D59" s="194"/>
      <c r="E59" s="13"/>
      <c r="F59" s="13"/>
      <c r="G59" s="13"/>
      <c r="H59" s="13"/>
      <c r="I59" s="69"/>
      <c r="J59" s="13"/>
      <c r="K59" s="13"/>
      <c r="L59" s="13"/>
      <c r="N59" s="44"/>
      <c r="O59" s="40"/>
      <c r="P59" s="40"/>
      <c r="Q59" s="40"/>
      <c r="R59" s="40"/>
      <c r="S59" s="40"/>
      <c r="T59" s="40"/>
      <c r="U59" s="40"/>
      <c r="V59" s="40"/>
      <c r="W59" s="40"/>
      <c r="X59" s="40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</row>
    <row r="60" spans="1:36" x14ac:dyDescent="0.25">
      <c r="A60" s="37" t="str">
        <f>LCI!A47</f>
        <v>Yeast (kg/yr)</v>
      </c>
      <c r="B60" s="13"/>
      <c r="C60" s="13"/>
      <c r="D60" s="194">
        <f>D39*StarchFerm!K12</f>
        <v>205.69471420883499</v>
      </c>
      <c r="E60" s="13"/>
      <c r="F60" s="13"/>
      <c r="G60" s="13"/>
      <c r="H60" s="13"/>
      <c r="I60" s="69"/>
      <c r="J60" s="13"/>
      <c r="K60" s="13"/>
      <c r="L60" s="13"/>
      <c r="N60" s="44"/>
      <c r="O60" s="40"/>
      <c r="P60" s="40"/>
      <c r="Q60" s="40"/>
      <c r="R60" s="40"/>
      <c r="S60" s="40"/>
      <c r="T60" s="40"/>
      <c r="U60" s="40"/>
      <c r="V60" s="40"/>
      <c r="W60" s="40"/>
      <c r="X60" s="40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</row>
    <row r="61" spans="1:36" x14ac:dyDescent="0.25">
      <c r="A61" s="37" t="str">
        <f>LCI!A49</f>
        <v>Electricity, Grid (MJ/yr)</v>
      </c>
      <c r="B61" s="13">
        <f>HexExt!$L7*B$39</f>
        <v>46933.17938400001</v>
      </c>
      <c r="C61" s="13">
        <f>HexExt!$L7*C$39</f>
        <v>46933.17938400001</v>
      </c>
      <c r="D61" s="194">
        <f>D39*StarchFerm!K17</f>
        <v>337512.79500839999</v>
      </c>
      <c r="E61" s="13"/>
      <c r="F61" s="13"/>
      <c r="G61" s="13"/>
      <c r="H61" s="13"/>
      <c r="I61" s="69">
        <f>393543*I$39</f>
        <v>393543</v>
      </c>
      <c r="J61" s="13"/>
      <c r="K61" s="13"/>
      <c r="L61" s="13"/>
      <c r="N61" s="44"/>
      <c r="O61" s="40"/>
      <c r="P61" s="40"/>
      <c r="Q61" s="40"/>
      <c r="R61" s="40"/>
      <c r="S61" s="40"/>
      <c r="T61" s="40"/>
      <c r="U61" s="40"/>
      <c r="V61" s="40"/>
      <c r="W61" s="40"/>
      <c r="X61" s="40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</row>
    <row r="62" spans="1:36" x14ac:dyDescent="0.25">
      <c r="A62" s="37" t="str">
        <f>LCI!A54</f>
        <v>Heat (MJ/yr)</v>
      </c>
      <c r="B62" s="13"/>
      <c r="C62" s="13"/>
      <c r="D62" s="194"/>
      <c r="E62" s="13"/>
      <c r="F62" s="13"/>
      <c r="G62" s="13"/>
      <c r="H62" s="13"/>
      <c r="I62" s="69">
        <f>4257031.5*I$39</f>
        <v>4257031.5</v>
      </c>
      <c r="J62" s="13"/>
      <c r="K62" s="13"/>
      <c r="L62" s="13"/>
      <c r="N62" s="44"/>
      <c r="O62" s="40"/>
      <c r="P62" s="40"/>
      <c r="Q62" s="40"/>
      <c r="R62" s="40"/>
      <c r="S62" s="40"/>
      <c r="T62" s="40"/>
      <c r="U62" s="40"/>
      <c r="V62" s="40"/>
      <c r="W62" s="40"/>
      <c r="X62" s="40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</row>
    <row r="63" spans="1:36" x14ac:dyDescent="0.25">
      <c r="A63" s="37" t="str">
        <f>LCI!A56</f>
        <v>Natural Gas (kg/yr)</v>
      </c>
      <c r="B63" s="13">
        <f>HexExt!$L8*B$39</f>
        <v>8025.5736746640023</v>
      </c>
      <c r="C63" s="13">
        <f>HexExt!$L8*C$39</f>
        <v>8025.5736746640023</v>
      </c>
      <c r="D63" s="195" t="s">
        <v>130</v>
      </c>
      <c r="E63" s="13"/>
      <c r="F63" s="13"/>
      <c r="G63" s="13"/>
      <c r="H63" s="13"/>
      <c r="I63" s="69"/>
      <c r="J63" s="13"/>
      <c r="K63" s="13"/>
      <c r="L63" s="13"/>
      <c r="N63" s="44"/>
      <c r="O63" s="40"/>
      <c r="P63" s="40"/>
      <c r="Q63" s="40"/>
      <c r="R63" s="40"/>
      <c r="S63" s="40"/>
      <c r="T63" s="40"/>
      <c r="U63" s="40"/>
      <c r="V63" s="40"/>
      <c r="W63" s="40"/>
      <c r="X63" s="40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</row>
    <row r="64" spans="1:36" x14ac:dyDescent="0.25">
      <c r="A64" s="37" t="str">
        <f>LCI!A57</f>
        <v>Propane, Input (kg/yr)</v>
      </c>
      <c r="B64" s="13"/>
      <c r="C64" s="13"/>
      <c r="D64" s="13"/>
      <c r="E64" s="13"/>
      <c r="F64" s="13"/>
      <c r="G64" s="13"/>
      <c r="H64" s="13"/>
      <c r="I64" s="69"/>
      <c r="J64" s="13"/>
      <c r="K64" s="13"/>
      <c r="L64" s="13"/>
      <c r="N64" s="44"/>
      <c r="O64" s="40"/>
      <c r="P64" s="40"/>
      <c r="Q64" s="40"/>
      <c r="R64" s="40"/>
      <c r="S64" s="40"/>
      <c r="T64" s="40"/>
      <c r="U64" s="40"/>
      <c r="V64" s="40"/>
      <c r="W64" s="40"/>
      <c r="X64" s="40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</row>
    <row r="65" spans="1:36" x14ac:dyDescent="0.25">
      <c r="A65" s="37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N65" s="44"/>
      <c r="O65" s="40"/>
      <c r="P65" s="40"/>
      <c r="Q65" s="40"/>
      <c r="R65" s="40"/>
      <c r="S65" s="40"/>
      <c r="T65" s="40"/>
      <c r="U65" s="40"/>
      <c r="V65" s="40"/>
      <c r="W65" s="40"/>
      <c r="X65" s="40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</row>
    <row r="66" spans="1:36" x14ac:dyDescent="0.25">
      <c r="A66" s="37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N66" s="44"/>
      <c r="O66" s="40"/>
      <c r="P66" s="40"/>
      <c r="Q66" s="40"/>
      <c r="R66" s="40"/>
      <c r="S66" s="40"/>
      <c r="T66" s="40"/>
      <c r="U66" s="40"/>
      <c r="V66" s="40"/>
      <c r="W66" s="40"/>
      <c r="X66" s="40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</row>
    <row r="67" spans="1:36" x14ac:dyDescent="0.25">
      <c r="A67" s="125" t="s">
        <v>372</v>
      </c>
      <c r="B67" s="138">
        <v>1</v>
      </c>
      <c r="C67" s="138">
        <v>1</v>
      </c>
      <c r="D67" s="138"/>
      <c r="E67" s="138"/>
      <c r="F67" s="138"/>
      <c r="G67" s="138"/>
      <c r="H67" s="138"/>
      <c r="I67" s="138">
        <v>1</v>
      </c>
      <c r="J67" s="138"/>
      <c r="K67" s="138"/>
      <c r="L67" s="138"/>
      <c r="N67" s="44"/>
      <c r="O67" s="40"/>
      <c r="P67" s="40"/>
      <c r="Q67" s="40"/>
      <c r="R67" s="40"/>
      <c r="S67" s="40"/>
      <c r="T67" s="40"/>
      <c r="U67" s="40"/>
      <c r="V67" s="40"/>
      <c r="W67" s="40"/>
      <c r="X67" s="40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</row>
    <row r="68" spans="1:36" x14ac:dyDescent="0.25">
      <c r="A68" s="37" t="str">
        <f>LCI!A3</f>
        <v>Capital Cost ($)</v>
      </c>
      <c r="B68" s="136">
        <f>Transest!J9*B$67</f>
        <v>44410.151125314784</v>
      </c>
      <c r="C68" s="136">
        <f>HydroProc!B27</f>
        <v>19980.124937760003</v>
      </c>
      <c r="D68" s="13"/>
      <c r="E68" s="13"/>
      <c r="F68" s="13"/>
      <c r="G68" s="13"/>
      <c r="H68" s="13"/>
      <c r="I68" s="69">
        <f>296587.548855*I$67</f>
        <v>296587.548855</v>
      </c>
      <c r="J68" s="13"/>
      <c r="K68" s="13"/>
      <c r="L68" s="13"/>
      <c r="N68" s="44"/>
      <c r="O68" s="40"/>
      <c r="P68" s="40"/>
      <c r="Q68" s="40"/>
      <c r="R68" s="40"/>
      <c r="S68" s="40"/>
      <c r="T68" s="40"/>
      <c r="U68" s="40"/>
      <c r="V68" s="40"/>
      <c r="W68" s="40"/>
      <c r="X68" s="40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37" t="str">
        <f>LCI!A4</f>
        <v>Labor ($/yr)</v>
      </c>
      <c r="B69" s="136">
        <f>Transest!J10*B$67</f>
        <v>325.06590822015562</v>
      </c>
      <c r="C69" s="136">
        <f>HydroProc!B28</f>
        <v>325.06590822015562</v>
      </c>
      <c r="D69" s="13"/>
      <c r="E69" s="13"/>
      <c r="F69" s="13"/>
      <c r="G69" s="13"/>
      <c r="H69" s="13"/>
      <c r="I69" s="69">
        <f>4828.53287682312*I$67</f>
        <v>4828.5328768231202</v>
      </c>
      <c r="J69" s="13"/>
      <c r="K69" s="13"/>
      <c r="L69" s="13"/>
      <c r="N69" s="44"/>
      <c r="O69" s="40"/>
      <c r="P69" s="40"/>
      <c r="Q69" s="40"/>
      <c r="R69" s="40"/>
      <c r="S69" s="40"/>
      <c r="T69" s="40"/>
      <c r="U69" s="40"/>
      <c r="V69" s="40"/>
      <c r="W69" s="40"/>
      <c r="X69" s="40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37" t="str">
        <f>LCI!A66</f>
        <v>Algal Oil (kg/yr)</v>
      </c>
      <c r="B70" s="13"/>
      <c r="C70" s="13"/>
      <c r="D70" s="13"/>
      <c r="E70" s="13"/>
      <c r="F70" s="13"/>
      <c r="G70" s="13"/>
      <c r="H70" s="13"/>
      <c r="I70" s="69">
        <f>995026.5*I$67</f>
        <v>995026.5</v>
      </c>
      <c r="J70" s="13"/>
      <c r="K70" s="13"/>
      <c r="L70" s="13"/>
      <c r="N70" s="44"/>
      <c r="O70" s="40"/>
      <c r="P70" s="40"/>
      <c r="Q70" s="40"/>
      <c r="R70" s="40"/>
      <c r="S70" s="40"/>
      <c r="T70" s="40"/>
      <c r="U70" s="40"/>
      <c r="V70" s="40"/>
      <c r="W70" s="40"/>
      <c r="X70" s="40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37" t="str">
        <f>LCI!A17</f>
        <v>EtOH Catalysts (kg/yr)</v>
      </c>
      <c r="B71" s="13"/>
      <c r="C71" s="13"/>
      <c r="D71" s="13"/>
      <c r="E71" s="13"/>
      <c r="F71" s="13"/>
      <c r="G71" s="13"/>
      <c r="H71" s="13"/>
      <c r="I71" s="69"/>
      <c r="J71" s="13"/>
      <c r="K71" s="13"/>
      <c r="L71" s="13"/>
      <c r="N71" s="44"/>
      <c r="O71" s="40"/>
      <c r="P71" s="40"/>
      <c r="Q71" s="40"/>
      <c r="R71" s="40"/>
      <c r="S71" s="40"/>
      <c r="T71" s="40"/>
      <c r="U71" s="40"/>
      <c r="V71" s="40"/>
      <c r="W71" s="40"/>
      <c r="X71" s="40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37" t="str">
        <f>LCI!A30</f>
        <v>Methanol (kg/yr)</v>
      </c>
      <c r="B72" s="136">
        <f>Transest!J5*B$67</f>
        <v>6600.8378349680961</v>
      </c>
      <c r="C72" s="13"/>
      <c r="D72" s="13"/>
      <c r="E72" s="13"/>
      <c r="F72" s="13"/>
      <c r="G72" s="13"/>
      <c r="H72" s="13"/>
      <c r="I72" s="69"/>
      <c r="J72" s="13"/>
      <c r="K72" s="13"/>
      <c r="L72" s="13"/>
      <c r="N72" s="44"/>
      <c r="O72" s="40"/>
      <c r="P72" s="40"/>
      <c r="Q72" s="40"/>
      <c r="R72" s="40"/>
      <c r="S72" s="40"/>
      <c r="T72" s="40"/>
      <c r="U72" s="40"/>
      <c r="V72" s="40"/>
      <c r="W72" s="40"/>
      <c r="X72" s="40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37" t="str">
        <f>LCI!A79</f>
        <v>Soybean Oil (kg/yr)</v>
      </c>
      <c r="B73" s="136">
        <f>Transest!J4*B$67</f>
        <v>67047.399120000016</v>
      </c>
      <c r="C73" s="136">
        <f>HydroProc!B22</f>
        <v>67047.399120000016</v>
      </c>
      <c r="D73" s="13"/>
      <c r="E73" s="13"/>
      <c r="F73" s="13"/>
      <c r="G73" s="13"/>
      <c r="H73" s="13"/>
      <c r="I73" s="69"/>
      <c r="J73" s="13"/>
      <c r="K73" s="13"/>
      <c r="L73" s="13"/>
      <c r="N73" s="44"/>
      <c r="O73" s="40"/>
      <c r="P73" s="40"/>
      <c r="Q73" s="40"/>
      <c r="R73" s="40"/>
      <c r="S73" s="40"/>
      <c r="T73" s="40"/>
      <c r="U73" s="40"/>
      <c r="V73" s="40"/>
      <c r="W73" s="40"/>
      <c r="X73" s="40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37" t="str">
        <f>LCI!A81</f>
        <v>Syncrude (kg/yr)</v>
      </c>
      <c r="B74" s="13"/>
      <c r="C74" s="13"/>
      <c r="D74" s="13"/>
      <c r="E74" s="13"/>
      <c r="F74" s="13"/>
      <c r="G74" s="13"/>
      <c r="H74" s="13"/>
      <c r="I74" s="69"/>
      <c r="J74" s="13"/>
      <c r="K74" s="13"/>
      <c r="L74" s="13"/>
      <c r="N74" s="44"/>
      <c r="O74" s="40"/>
      <c r="P74" s="40"/>
      <c r="Q74" s="40"/>
      <c r="R74" s="40"/>
      <c r="S74" s="40"/>
      <c r="T74" s="40"/>
      <c r="U74" s="40"/>
      <c r="V74" s="40"/>
      <c r="W74" s="40"/>
      <c r="X74" s="40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37" t="str">
        <f>LCI!A42</f>
        <v>Water, Process (kg/yr)</v>
      </c>
      <c r="B75" s="136">
        <f>Transest!J8*B$67</f>
        <v>30559.434421148595</v>
      </c>
      <c r="C75" s="136">
        <f>HydroProc!B26</f>
        <v>60342.659208000019</v>
      </c>
      <c r="D75" s="13"/>
      <c r="E75" s="13"/>
      <c r="F75" s="13"/>
      <c r="G75" s="13"/>
      <c r="H75" s="13"/>
      <c r="I75" s="69">
        <f>895523.85*I$67</f>
        <v>895523.85</v>
      </c>
      <c r="J75" s="13"/>
      <c r="K75" s="13"/>
      <c r="L75" s="13"/>
      <c r="N75" s="44"/>
      <c r="O75" s="40"/>
      <c r="P75" s="40"/>
      <c r="Q75" s="40"/>
      <c r="R75" s="40"/>
      <c r="S75" s="40"/>
      <c r="T75" s="40"/>
      <c r="U75" s="40"/>
      <c r="V75" s="40"/>
      <c r="W75" s="40"/>
      <c r="X75" s="40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37" t="str">
        <f>LCI!A85</f>
        <v>WOG, Delivered (kg/yr)</v>
      </c>
      <c r="B76" s="13"/>
      <c r="C76" s="13"/>
      <c r="D76" s="13"/>
      <c r="E76" s="13"/>
      <c r="F76" s="13"/>
      <c r="G76" s="13"/>
      <c r="H76" s="13"/>
      <c r="I76" s="69"/>
      <c r="J76" s="13"/>
      <c r="K76" s="13"/>
      <c r="L76" s="13"/>
      <c r="N76" s="44"/>
      <c r="O76" s="40"/>
      <c r="P76" s="40"/>
      <c r="Q76" s="40"/>
      <c r="R76" s="40"/>
      <c r="S76" s="40"/>
      <c r="T76" s="40"/>
      <c r="U76" s="40"/>
      <c r="V76" s="40"/>
      <c r="W76" s="40"/>
      <c r="X76" s="40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A77" s="37" t="str">
        <f>LCI!A49</f>
        <v>Electricity, Grid (MJ/yr)</v>
      </c>
      <c r="B77" s="136">
        <f>Transest!J7*B$67</f>
        <v>8984.4737198176863</v>
      </c>
      <c r="C77" s="136">
        <f>HydroProc!B25</f>
        <v>14750.427806400005</v>
      </c>
      <c r="D77" s="13"/>
      <c r="E77" s="13"/>
      <c r="F77" s="13"/>
      <c r="G77" s="13"/>
      <c r="H77" s="13"/>
      <c r="I77" s="69">
        <f>218905.83*I$67</f>
        <v>218905.83</v>
      </c>
      <c r="J77" s="13"/>
      <c r="K77" s="13"/>
      <c r="L77" s="13"/>
      <c r="N77" s="44"/>
      <c r="O77" s="40"/>
      <c r="P77" s="40"/>
      <c r="Q77" s="40"/>
      <c r="R77" s="40"/>
      <c r="S77" s="40"/>
      <c r="T77" s="40"/>
      <c r="U77" s="40"/>
      <c r="V77" s="40"/>
      <c r="W77" s="40"/>
      <c r="X77" s="40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</row>
    <row r="78" spans="1:36" x14ac:dyDescent="0.25">
      <c r="A78" s="37" t="str">
        <f>LCI!A90</f>
        <v>Ethanol (kg/yr)</v>
      </c>
      <c r="B78" s="13"/>
      <c r="C78" s="13"/>
      <c r="D78" s="13"/>
      <c r="E78" s="13"/>
      <c r="F78" s="13"/>
      <c r="G78" s="13"/>
      <c r="H78" s="13"/>
      <c r="I78" s="69"/>
      <c r="J78" s="13"/>
      <c r="K78" s="13"/>
      <c r="L78" s="13"/>
      <c r="N78" s="44"/>
      <c r="O78" s="40"/>
      <c r="P78" s="40"/>
      <c r="Q78" s="40"/>
      <c r="R78" s="40"/>
      <c r="S78" s="40"/>
      <c r="T78" s="40"/>
      <c r="U78" s="40"/>
      <c r="V78" s="40"/>
      <c r="W78" s="40"/>
      <c r="X78" s="40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</row>
    <row r="79" spans="1:36" x14ac:dyDescent="0.25">
      <c r="A79" s="37" t="str">
        <f>LCI!A54</f>
        <v>Heat (MJ/yr)</v>
      </c>
      <c r="B79" s="13"/>
      <c r="C79" s="13"/>
      <c r="D79" s="13"/>
      <c r="E79" s="13"/>
      <c r="F79" s="13"/>
      <c r="G79" s="13"/>
      <c r="H79" s="13"/>
      <c r="I79" s="69">
        <f>7442798.22*I$67</f>
        <v>7442798.2199999997</v>
      </c>
      <c r="J79" s="13"/>
      <c r="K79" s="13"/>
      <c r="L79" s="13"/>
      <c r="N79" s="44"/>
      <c r="O79" s="40"/>
      <c r="P79" s="40"/>
      <c r="Q79" s="40"/>
      <c r="R79" s="40"/>
      <c r="S79" s="40"/>
      <c r="T79" s="40"/>
      <c r="U79" s="40"/>
      <c r="V79" s="40"/>
      <c r="W79" s="40"/>
      <c r="X79" s="40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</row>
    <row r="80" spans="1:36" x14ac:dyDescent="0.25">
      <c r="A80" s="37" t="str">
        <f>LCI!A55</f>
        <v>Hydrogen (kg/yr)</v>
      </c>
      <c r="B80" s="13"/>
      <c r="C80" s="136">
        <f>HydroProc!B23</f>
        <v>2681.8959648000009</v>
      </c>
      <c r="D80" s="13"/>
      <c r="E80" s="13"/>
      <c r="F80" s="13"/>
      <c r="G80" s="13"/>
      <c r="H80" s="13"/>
      <c r="I80" s="69">
        <f>39801.06*I$67</f>
        <v>39801.06</v>
      </c>
      <c r="J80" s="13"/>
      <c r="K80" s="13"/>
      <c r="L80" s="13"/>
      <c r="N80" s="44"/>
      <c r="O80" s="40"/>
      <c r="P80" s="40"/>
      <c r="Q80" s="40"/>
      <c r="R80" s="40"/>
      <c r="S80" s="40"/>
      <c r="T80" s="40"/>
      <c r="U80" s="40"/>
      <c r="V80" s="40"/>
      <c r="W80" s="40"/>
      <c r="X80" s="40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</row>
    <row r="81" spans="1:36" x14ac:dyDescent="0.25">
      <c r="A81" s="37" t="str">
        <f>LCI!A56</f>
        <v>Natural Gas (kg/yr)</v>
      </c>
      <c r="B81" s="136">
        <f>Transest!J6*B$67</f>
        <v>1442.4053046782137</v>
      </c>
      <c r="C81" s="136">
        <f>HydroProc!B24</f>
        <v>10030.290908352003</v>
      </c>
      <c r="D81" s="13"/>
      <c r="E81" s="13"/>
      <c r="F81" s="13"/>
      <c r="G81" s="13"/>
      <c r="H81" s="13"/>
      <c r="I81" s="69"/>
      <c r="J81" s="13"/>
      <c r="K81" s="13"/>
      <c r="L81" s="13"/>
      <c r="N81" s="44"/>
      <c r="O81" s="40"/>
      <c r="P81" s="40"/>
      <c r="Q81" s="40"/>
      <c r="R81" s="40"/>
      <c r="S81" s="40"/>
      <c r="T81" s="40"/>
      <c r="U81" s="40"/>
      <c r="V81" s="40"/>
      <c r="W81" s="40"/>
      <c r="X81" s="40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</row>
    <row r="82" spans="1:36" x14ac:dyDescent="0.25">
      <c r="A82" s="37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N82" s="44"/>
      <c r="O82" s="40"/>
      <c r="P82" s="40"/>
      <c r="Q82" s="40"/>
      <c r="R82" s="40"/>
      <c r="S82" s="40"/>
      <c r="T82" s="40"/>
      <c r="U82" s="40"/>
      <c r="V82" s="40"/>
      <c r="W82" s="40"/>
      <c r="X82" s="40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</row>
    <row r="83" spans="1:36" x14ac:dyDescent="0.25">
      <c r="A83" s="37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N83" s="44"/>
      <c r="O83" s="40"/>
      <c r="P83" s="40"/>
      <c r="Q83" s="40"/>
      <c r="R83" s="40"/>
      <c r="S83" s="40"/>
      <c r="T83" s="40"/>
      <c r="U83" s="40"/>
      <c r="V83" s="40"/>
      <c r="W83" s="40"/>
      <c r="X83" s="40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</row>
    <row r="84" spans="1:36" x14ac:dyDescent="0.25">
      <c r="A84" s="125" t="s">
        <v>373</v>
      </c>
      <c r="B84" s="138">
        <v>0</v>
      </c>
      <c r="C84" s="138">
        <v>0</v>
      </c>
      <c r="D84" s="138">
        <v>0</v>
      </c>
      <c r="E84" s="138">
        <v>0</v>
      </c>
      <c r="F84" s="138"/>
      <c r="G84" s="138">
        <v>0</v>
      </c>
      <c r="H84" s="138">
        <v>0</v>
      </c>
      <c r="I84" s="138">
        <v>0</v>
      </c>
      <c r="J84" s="138">
        <v>0</v>
      </c>
      <c r="K84" s="138">
        <v>0</v>
      </c>
      <c r="L84" s="138">
        <v>0</v>
      </c>
      <c r="N84" s="44"/>
      <c r="O84" s="40"/>
      <c r="P84" s="40"/>
      <c r="Q84" s="40"/>
      <c r="R84" s="40"/>
      <c r="S84" s="40"/>
      <c r="T84" s="40"/>
      <c r="U84" s="40"/>
      <c r="V84" s="40"/>
      <c r="W84" s="40"/>
      <c r="X84" s="40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</row>
    <row r="85" spans="1:36" x14ac:dyDescent="0.25">
      <c r="A85" s="37" t="s">
        <v>350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N85" s="44"/>
      <c r="O85" s="40"/>
      <c r="P85" s="40"/>
      <c r="Q85" s="40"/>
      <c r="R85" s="40"/>
      <c r="S85" s="40"/>
      <c r="T85" s="40"/>
      <c r="U85" s="40"/>
      <c r="V85" s="40"/>
      <c r="W85" s="40"/>
      <c r="X85" s="40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</row>
    <row r="86" spans="1:36" x14ac:dyDescent="0.25">
      <c r="A86" s="37" t="s">
        <v>352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N86" s="44"/>
      <c r="O86" s="40"/>
      <c r="P86" s="40"/>
      <c r="Q86" s="40"/>
      <c r="R86" s="40"/>
      <c r="S86" s="40"/>
      <c r="T86" s="40"/>
      <c r="U86" s="40"/>
      <c r="V86" s="40"/>
      <c r="W86" s="40"/>
      <c r="X86" s="40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</row>
    <row r="87" spans="1:36" x14ac:dyDescent="0.25">
      <c r="A87" s="37" t="s">
        <v>348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N87" s="44"/>
      <c r="O87" s="40"/>
      <c r="P87" s="40"/>
      <c r="Q87" s="40"/>
      <c r="R87" s="40"/>
      <c r="S87" s="40"/>
      <c r="T87" s="40"/>
      <c r="U87" s="40"/>
      <c r="V87" s="40"/>
      <c r="W87" s="40"/>
      <c r="X87" s="40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</row>
    <row r="88" spans="1:36" x14ac:dyDescent="0.25">
      <c r="A88" s="37" t="s">
        <v>346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N88" s="44"/>
      <c r="O88" s="40"/>
      <c r="P88" s="40"/>
      <c r="Q88" s="40"/>
      <c r="R88" s="40"/>
      <c r="S88" s="40"/>
      <c r="T88" s="40"/>
      <c r="U88" s="40"/>
      <c r="V88" s="40"/>
      <c r="W88" s="40"/>
      <c r="X88" s="40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</row>
    <row r="89" spans="1:36" x14ac:dyDescent="0.25">
      <c r="A89" s="37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N89" s="44"/>
      <c r="O89" s="40"/>
      <c r="P89" s="40"/>
      <c r="Q89" s="40"/>
      <c r="R89" s="40"/>
      <c r="S89" s="40"/>
      <c r="T89" s="40"/>
      <c r="U89" s="40"/>
      <c r="V89" s="40"/>
      <c r="W89" s="40"/>
      <c r="X89" s="40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</row>
    <row r="90" spans="1:36" x14ac:dyDescent="0.25">
      <c r="A90" s="37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N90" s="44"/>
      <c r="O90" s="40"/>
      <c r="P90" s="40"/>
      <c r="Q90" s="40"/>
      <c r="R90" s="40"/>
      <c r="S90" s="40"/>
      <c r="T90" s="40"/>
      <c r="U90" s="40"/>
      <c r="V90" s="40"/>
      <c r="W90" s="40"/>
      <c r="X90" s="40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</row>
    <row r="91" spans="1:36" x14ac:dyDescent="0.25">
      <c r="A91" s="97" t="s">
        <v>374</v>
      </c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N91" s="44"/>
      <c r="O91" s="40"/>
      <c r="P91" s="40"/>
      <c r="Q91" s="40"/>
      <c r="R91" s="40"/>
      <c r="S91" s="40"/>
      <c r="T91" s="40"/>
      <c r="U91" s="40"/>
      <c r="V91" s="40"/>
      <c r="W91" s="40"/>
      <c r="X91" s="40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</row>
    <row r="92" spans="1:36" x14ac:dyDescent="0.25">
      <c r="A92" s="137" t="str">
        <f t="shared" ref="A92:H92" si="0">A7</f>
        <v>Feedstock Production (ON=1/OFF=0?)</v>
      </c>
      <c r="B92" s="137">
        <f t="shared" si="0"/>
        <v>1</v>
      </c>
      <c r="C92" s="137">
        <f t="shared" si="0"/>
        <v>1</v>
      </c>
      <c r="D92" s="137">
        <f t="shared" si="0"/>
        <v>1</v>
      </c>
      <c r="E92" s="137">
        <f t="shared" si="0"/>
        <v>1</v>
      </c>
      <c r="F92" s="137"/>
      <c r="G92" s="137">
        <f t="shared" si="0"/>
        <v>0</v>
      </c>
      <c r="H92" s="137">
        <f t="shared" si="0"/>
        <v>0</v>
      </c>
      <c r="I92" s="137">
        <f t="shared" ref="I92:L92" si="1">I7</f>
        <v>1</v>
      </c>
      <c r="J92" s="137">
        <f t="shared" si="1"/>
        <v>0</v>
      </c>
      <c r="K92" s="137">
        <f t="shared" si="1"/>
        <v>0</v>
      </c>
      <c r="L92" s="137">
        <f t="shared" si="1"/>
        <v>0</v>
      </c>
      <c r="N92" s="44"/>
      <c r="O92" s="40"/>
      <c r="P92" s="40"/>
      <c r="Q92" s="40"/>
      <c r="R92" s="40"/>
      <c r="S92" s="40"/>
      <c r="T92" s="40"/>
      <c r="U92" s="40"/>
      <c r="V92" s="40"/>
      <c r="W92" s="40"/>
      <c r="X92" s="4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100" t="str">
        <f>LCI!A58</f>
        <v>CH4 Emissions (kg/yr)</v>
      </c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N93" s="44"/>
      <c r="O93" s="40"/>
      <c r="P93" s="40"/>
      <c r="Q93" s="40"/>
      <c r="R93" s="40"/>
      <c r="S93" s="40"/>
      <c r="T93" s="40"/>
      <c r="U93" s="40"/>
      <c r="V93" s="40"/>
      <c r="W93" s="40"/>
      <c r="X93" s="4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100" t="str">
        <f>LCI!A59</f>
        <v>CO2 Emissions (kg/yr)</v>
      </c>
      <c r="B94" s="98"/>
      <c r="C94" s="98"/>
      <c r="D94" s="98"/>
      <c r="E94" s="98"/>
      <c r="F94" s="98"/>
      <c r="G94" s="98"/>
      <c r="H94" s="98"/>
      <c r="I94" s="101">
        <v>2089900.5749999997</v>
      </c>
      <c r="J94" s="98"/>
      <c r="K94" s="98"/>
      <c r="L94" s="98"/>
      <c r="N94" s="44"/>
      <c r="O94" s="40"/>
      <c r="P94" s="40"/>
      <c r="Q94" s="40"/>
      <c r="R94" s="40"/>
      <c r="S94" s="40"/>
      <c r="T94" s="40"/>
      <c r="U94" s="40"/>
      <c r="V94" s="40"/>
      <c r="W94" s="40"/>
      <c r="X94" s="4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102" t="str">
        <f>LCI!A61</f>
        <v>LUC Emissions (kg CO2e/yr)</v>
      </c>
      <c r="B95" s="98"/>
      <c r="C95" s="98"/>
      <c r="D95" s="98"/>
      <c r="E95" s="98"/>
      <c r="F95" s="98"/>
      <c r="G95" s="98"/>
      <c r="H95" s="98"/>
      <c r="I95" s="101">
        <v>0</v>
      </c>
      <c r="J95" s="98"/>
      <c r="K95" s="98"/>
      <c r="L95" s="98"/>
      <c r="N95" s="44"/>
      <c r="O95" s="40"/>
      <c r="P95" s="40"/>
      <c r="Q95" s="40"/>
      <c r="R95" s="40"/>
      <c r="S95" s="40"/>
      <c r="T95" s="40"/>
      <c r="U95" s="40"/>
      <c r="V95" s="40"/>
      <c r="W95" s="40"/>
      <c r="X95" s="4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102" t="str">
        <f>LCI!A62</f>
        <v>N2O Emissions (kg/yr)</v>
      </c>
      <c r="B96" s="127">
        <f>SoyCult!$O25*B$92</f>
        <v>7.9954023450600022</v>
      </c>
      <c r="C96" s="127">
        <f>SoyCult!$O25*C$92</f>
        <v>7.9954023450600022</v>
      </c>
      <c r="D96" s="98"/>
      <c r="E96" s="98"/>
      <c r="F96" s="98"/>
      <c r="G96" s="98"/>
      <c r="H96" s="98"/>
      <c r="I96" s="101">
        <v>0</v>
      </c>
      <c r="J96" s="98"/>
      <c r="K96" s="98"/>
      <c r="L96" s="98"/>
      <c r="N96" s="44"/>
      <c r="O96" s="40"/>
      <c r="P96" s="40"/>
      <c r="Q96" s="40"/>
      <c r="R96" s="40"/>
      <c r="S96" s="40"/>
      <c r="T96" s="40"/>
      <c r="U96" s="40"/>
      <c r="V96" s="40"/>
      <c r="W96" s="40"/>
      <c r="X96" s="4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102" t="str">
        <f>LCI!A64</f>
        <v>Algal Biomass, Whole (kg/yr)</v>
      </c>
      <c r="B97" s="98"/>
      <c r="C97" s="98"/>
      <c r="D97" s="98"/>
      <c r="E97" s="98"/>
      <c r="F97" s="98"/>
      <c r="G97" s="98"/>
      <c r="H97" s="98"/>
      <c r="I97" s="101">
        <v>4928157</v>
      </c>
      <c r="J97" s="98"/>
      <c r="K97" s="98"/>
      <c r="L97" s="98"/>
      <c r="N97" s="44"/>
      <c r="O97" s="40"/>
      <c r="P97" s="40"/>
      <c r="Q97" s="40"/>
      <c r="R97" s="40"/>
      <c r="S97" s="40"/>
      <c r="T97" s="40"/>
      <c r="U97" s="40"/>
      <c r="V97" s="40"/>
      <c r="W97" s="40"/>
      <c r="X97" s="4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102" t="str">
        <f>LCI!A69</f>
        <v>Corn Grain (kg/yr)</v>
      </c>
      <c r="B98" s="98"/>
      <c r="C98" s="98"/>
      <c r="D98" s="98"/>
      <c r="E98" s="98"/>
      <c r="F98" s="98"/>
      <c r="G98" s="98"/>
      <c r="H98" s="98"/>
      <c r="I98" s="101">
        <v>0</v>
      </c>
      <c r="J98" s="98"/>
      <c r="K98" s="98"/>
      <c r="L98" s="98"/>
      <c r="N98" s="44"/>
      <c r="O98" s="40"/>
      <c r="P98" s="40"/>
      <c r="Q98" s="40"/>
      <c r="R98" s="40"/>
      <c r="S98" s="40"/>
      <c r="T98" s="40"/>
      <c r="U98" s="40"/>
      <c r="V98" s="40"/>
      <c r="W98" s="40"/>
      <c r="X98" s="4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102" t="str">
        <f>LCI!A70</f>
        <v>Corn Stover, Collected (kg/yr)</v>
      </c>
      <c r="B99" s="98"/>
      <c r="C99" s="98"/>
      <c r="D99" s="98"/>
      <c r="E99" s="98"/>
      <c r="F99" s="98"/>
      <c r="G99" s="98"/>
      <c r="H99" s="98"/>
      <c r="I99" s="101">
        <v>0</v>
      </c>
      <c r="J99" s="98"/>
      <c r="K99" s="98"/>
      <c r="L99" s="98"/>
      <c r="N99" s="44"/>
      <c r="O99" s="40"/>
      <c r="P99" s="40"/>
      <c r="Q99" s="40"/>
      <c r="R99" s="40"/>
      <c r="S99" s="40"/>
      <c r="T99" s="40"/>
      <c r="U99" s="40"/>
      <c r="V99" s="40"/>
      <c r="W99" s="40"/>
      <c r="X99" s="4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102" t="str">
        <f>LCI!A71</f>
        <v>Corn Stover, Left (kg/yr)</v>
      </c>
      <c r="B100" s="98"/>
      <c r="C100" s="98"/>
      <c r="D100" s="98"/>
      <c r="E100" s="98"/>
      <c r="F100" s="98"/>
      <c r="G100" s="98"/>
      <c r="H100" s="98"/>
      <c r="I100" s="101"/>
      <c r="J100" s="98"/>
      <c r="K100" s="98"/>
      <c r="L100" s="98"/>
      <c r="N100" s="44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102" t="str">
        <f>LCI!A74</f>
        <v>MSW Co-Products (kg/yr)</v>
      </c>
      <c r="B101" s="98"/>
      <c r="C101" s="98"/>
      <c r="D101" s="98"/>
      <c r="E101" s="98"/>
      <c r="F101" s="98"/>
      <c r="G101" s="98"/>
      <c r="H101" s="98"/>
      <c r="I101" s="101"/>
      <c r="J101" s="98"/>
      <c r="K101" s="98"/>
      <c r="L101" s="98"/>
      <c r="N101" s="44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102" t="str">
        <f>LCI!A76</f>
        <v>Refused Derived Fuel (kg/yr)</v>
      </c>
      <c r="B102" s="98"/>
      <c r="C102" s="98"/>
      <c r="D102" s="98"/>
      <c r="E102" s="98"/>
      <c r="F102" s="98"/>
      <c r="G102" s="98"/>
      <c r="H102" s="98"/>
      <c r="I102" s="101">
        <v>0</v>
      </c>
      <c r="J102" s="98"/>
      <c r="K102" s="98"/>
      <c r="L102" s="98"/>
      <c r="N102" s="44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102" t="str">
        <f>LCI!A80</f>
        <v>Soybeans (kg/yr)</v>
      </c>
      <c r="B103" s="98">
        <f>SoyCult!$O24*B$92</f>
        <v>301713.2960400001</v>
      </c>
      <c r="C103" s="98">
        <f>SoyCult!$O24*C$92</f>
        <v>301713.2960400001</v>
      </c>
      <c r="D103" s="98"/>
      <c r="E103" s="98"/>
      <c r="F103" s="98"/>
      <c r="G103" s="98"/>
      <c r="H103" s="98"/>
      <c r="I103" s="101">
        <v>0</v>
      </c>
      <c r="J103" s="98"/>
      <c r="K103" s="98"/>
      <c r="L103" s="98"/>
      <c r="N103" s="44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102" t="str">
        <f>LCI!A85</f>
        <v>WOG, Delivered (kg/yr)</v>
      </c>
      <c r="B104" s="98"/>
      <c r="C104" s="98"/>
      <c r="D104" s="98"/>
      <c r="E104" s="98"/>
      <c r="F104" s="98"/>
      <c r="G104" s="98"/>
      <c r="H104" s="98"/>
      <c r="I104" s="101">
        <v>0</v>
      </c>
      <c r="J104" s="98"/>
      <c r="K104" s="98"/>
      <c r="L104" s="98"/>
      <c r="N104" s="44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102" t="str">
        <f>LCI!A86</f>
        <v>Woody Biomass (kg/yr)</v>
      </c>
      <c r="B105" s="98"/>
      <c r="C105" s="98"/>
      <c r="D105" s="98"/>
      <c r="E105" s="98"/>
      <c r="F105" s="98"/>
      <c r="G105" s="98"/>
      <c r="H105" s="98"/>
      <c r="I105" s="101">
        <v>0</v>
      </c>
      <c r="J105" s="98"/>
      <c r="K105" s="98"/>
      <c r="L105" s="98"/>
      <c r="N105" s="44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102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N106" s="44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102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N107" s="44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137" t="str">
        <f t="shared" ref="A108:H108" si="2">A39</f>
        <v>Extraction/Conversion (ON=1/OFF=0?)</v>
      </c>
      <c r="B108" s="137">
        <f t="shared" si="2"/>
        <v>1</v>
      </c>
      <c r="C108" s="137">
        <f t="shared" si="2"/>
        <v>1</v>
      </c>
      <c r="D108" s="137">
        <f t="shared" si="2"/>
        <v>1</v>
      </c>
      <c r="E108" s="137">
        <f t="shared" si="2"/>
        <v>1</v>
      </c>
      <c r="F108" s="137"/>
      <c r="G108" s="137">
        <f t="shared" si="2"/>
        <v>0</v>
      </c>
      <c r="H108" s="137">
        <f t="shared" si="2"/>
        <v>0</v>
      </c>
      <c r="I108" s="137">
        <f t="shared" ref="I108:J108" si="3">I39</f>
        <v>1</v>
      </c>
      <c r="J108" s="137">
        <f t="shared" si="3"/>
        <v>0</v>
      </c>
      <c r="K108" s="137">
        <f>K39</f>
        <v>0</v>
      </c>
      <c r="L108" s="137">
        <f>L39</f>
        <v>0</v>
      </c>
      <c r="N108" s="44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102" t="str">
        <f>LCI!A59</f>
        <v>CO2 Emissions (kg/yr)</v>
      </c>
      <c r="B109" s="98"/>
      <c r="C109" s="98"/>
      <c r="D109" s="98"/>
      <c r="E109" s="98"/>
      <c r="F109" s="98"/>
      <c r="G109" s="98"/>
      <c r="H109" s="98"/>
      <c r="I109" s="101"/>
      <c r="J109" s="98"/>
      <c r="K109" s="98"/>
      <c r="L109" s="98"/>
      <c r="N109" s="44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102" t="str">
        <f>LCI!A65</f>
        <v>Algal Biomass, LEA Meal (kg/yr)</v>
      </c>
      <c r="B110" s="98"/>
      <c r="C110" s="98"/>
      <c r="D110" s="98"/>
      <c r="E110" s="98"/>
      <c r="F110" s="98"/>
      <c r="G110" s="98"/>
      <c r="H110" s="98"/>
      <c r="I110" s="101">
        <v>3933130.5</v>
      </c>
      <c r="J110" s="98"/>
      <c r="K110" s="98"/>
      <c r="L110" s="98"/>
      <c r="N110" s="44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102" t="str">
        <f>LCI!A66</f>
        <v>Algal Oil (kg/yr)</v>
      </c>
      <c r="B111" s="98"/>
      <c r="C111" s="98"/>
      <c r="D111" s="98"/>
      <c r="E111" s="98"/>
      <c r="F111" s="98"/>
      <c r="G111" s="98"/>
      <c r="H111" s="98"/>
      <c r="I111" s="101">
        <v>995026.5</v>
      </c>
      <c r="J111" s="98"/>
      <c r="K111" s="98"/>
      <c r="L111" s="98"/>
      <c r="N111" s="44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102" t="str">
        <f>LCI!A72</f>
        <v>DDGS (kg/yr)</v>
      </c>
      <c r="B112" s="98"/>
      <c r="C112" s="98"/>
      <c r="D112" s="98"/>
      <c r="E112" s="98"/>
      <c r="F112" s="98"/>
      <c r="G112" s="98"/>
      <c r="H112" s="98"/>
      <c r="I112" s="101"/>
      <c r="J112" s="98"/>
      <c r="K112" s="98"/>
      <c r="L112" s="98"/>
      <c r="N112" s="44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102" t="str">
        <f>LCI!A89</f>
        <v>Electricity, Generated (MJ/yr)</v>
      </c>
      <c r="B113" s="98"/>
      <c r="C113" s="98"/>
      <c r="D113" s="98"/>
      <c r="E113" s="98"/>
      <c r="F113" s="98"/>
      <c r="G113" s="98"/>
      <c r="H113" s="98"/>
      <c r="I113" s="101"/>
      <c r="J113" s="98"/>
      <c r="K113" s="98"/>
      <c r="L113" s="98"/>
      <c r="N113" s="44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102" t="str">
        <f>LCI!A90</f>
        <v>Ethanol (kg/yr)</v>
      </c>
      <c r="B114" s="98"/>
      <c r="C114" s="98"/>
      <c r="D114" s="98"/>
      <c r="E114" s="98"/>
      <c r="F114" s="98"/>
      <c r="G114" s="98"/>
      <c r="H114" s="98"/>
      <c r="I114" s="101">
        <v>0</v>
      </c>
      <c r="J114" s="98"/>
      <c r="K114" s="98"/>
      <c r="L114" s="98"/>
      <c r="N114" s="44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102" t="str">
        <f>LCI!A92</f>
        <v>Hydrogen, Produced (kg/yr)</v>
      </c>
      <c r="B115" s="98"/>
      <c r="C115" s="98"/>
      <c r="D115" s="98"/>
      <c r="E115" s="98"/>
      <c r="F115" s="98"/>
      <c r="G115" s="98"/>
      <c r="H115" s="98"/>
      <c r="I115" s="101"/>
      <c r="J115" s="98"/>
      <c r="K115" s="98"/>
      <c r="L115" s="98"/>
      <c r="N115" s="44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102" t="str">
        <f>LCI!A75</f>
        <v>Nitrogen Gas (kg/yr)</v>
      </c>
      <c r="B116" s="98"/>
      <c r="C116" s="98"/>
      <c r="D116" s="98"/>
      <c r="E116" s="98"/>
      <c r="F116" s="98"/>
      <c r="G116" s="98"/>
      <c r="H116" s="98"/>
      <c r="I116" s="101"/>
      <c r="J116" s="98"/>
      <c r="K116" s="98"/>
      <c r="L116" s="98"/>
      <c r="N116" s="44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102" t="str">
        <f>LCI!A77</f>
        <v>Slag (kg/yr)</v>
      </c>
      <c r="B117" s="98"/>
      <c r="C117" s="98"/>
      <c r="D117" s="98"/>
      <c r="E117" s="98"/>
      <c r="F117" s="98"/>
      <c r="G117" s="98"/>
      <c r="H117" s="98"/>
      <c r="I117" s="101"/>
      <c r="J117" s="98"/>
      <c r="K117" s="98"/>
      <c r="L117" s="98"/>
      <c r="N117" s="44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100" t="str">
        <f>LCI!A78</f>
        <v>Soybean Meal (kg/yr)</v>
      </c>
      <c r="B118" s="134">
        <f>HexExt!$L16*B$108</f>
        <v>234665.89692000009</v>
      </c>
      <c r="C118" s="134">
        <f>HexExt!$L16*C$108</f>
        <v>234665.89692000009</v>
      </c>
      <c r="D118" s="98"/>
      <c r="E118" s="98"/>
      <c r="F118" s="98"/>
      <c r="G118" s="98"/>
      <c r="H118" s="98"/>
      <c r="I118" s="101">
        <v>0</v>
      </c>
      <c r="J118" s="98"/>
      <c r="K118" s="98"/>
      <c r="L118" s="98"/>
      <c r="N118" s="44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102" t="str">
        <f>LCI!A79</f>
        <v>Soybean Oil (kg/yr)</v>
      </c>
      <c r="B119" s="134">
        <f>HexExt!$L15*B$108</f>
        <v>67047.399120000016</v>
      </c>
      <c r="C119" s="134">
        <f>HexExt!$L15*C$108</f>
        <v>67047.399120000016</v>
      </c>
      <c r="D119" s="98"/>
      <c r="E119" s="98"/>
      <c r="F119" s="98"/>
      <c r="G119" s="98"/>
      <c r="H119" s="98"/>
      <c r="I119" s="101">
        <v>0</v>
      </c>
      <c r="J119" s="98"/>
      <c r="K119" s="98"/>
      <c r="L119" s="98"/>
      <c r="N119" s="44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102" t="str">
        <f>LCI!A81</f>
        <v>Syncrude (kg/yr)</v>
      </c>
      <c r="B120" s="98"/>
      <c r="C120" s="98"/>
      <c r="D120" s="98"/>
      <c r="E120" s="98"/>
      <c r="F120" s="98"/>
      <c r="G120" s="98"/>
      <c r="H120" s="98"/>
      <c r="I120" s="101">
        <v>0</v>
      </c>
      <c r="J120" s="98"/>
      <c r="K120" s="98"/>
      <c r="L120" s="98"/>
      <c r="N120" s="44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102" t="str">
        <f>LCI!A82</f>
        <v>Wastewater, Gasification (kg/yr)</v>
      </c>
      <c r="B121" s="98"/>
      <c r="C121" s="98"/>
      <c r="D121" s="98"/>
      <c r="E121" s="98"/>
      <c r="F121" s="98"/>
      <c r="G121" s="98"/>
      <c r="H121" s="98"/>
      <c r="I121" s="101"/>
      <c r="J121" s="98"/>
      <c r="K121" s="98"/>
      <c r="L121" s="98"/>
      <c r="N121" s="44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102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N122" s="44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102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N123" s="44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137" t="str">
        <f t="shared" ref="A124:H124" si="4">A67</f>
        <v>Upgrading (ON=1/OFF=0?)</v>
      </c>
      <c r="B124" s="137">
        <f t="shared" si="4"/>
        <v>1</v>
      </c>
      <c r="C124" s="137">
        <f t="shared" si="4"/>
        <v>1</v>
      </c>
      <c r="D124" s="137">
        <f t="shared" si="4"/>
        <v>0</v>
      </c>
      <c r="E124" s="137">
        <f t="shared" si="4"/>
        <v>0</v>
      </c>
      <c r="F124" s="137"/>
      <c r="G124" s="137">
        <f t="shared" si="4"/>
        <v>0</v>
      </c>
      <c r="H124" s="137">
        <f t="shared" si="4"/>
        <v>0</v>
      </c>
      <c r="I124" s="137">
        <f t="shared" ref="I124:K124" si="5">I67</f>
        <v>1</v>
      </c>
      <c r="J124" s="137">
        <f t="shared" si="5"/>
        <v>0</v>
      </c>
      <c r="K124" s="137">
        <f t="shared" si="5"/>
        <v>0</v>
      </c>
      <c r="L124" s="137">
        <f>L67</f>
        <v>0</v>
      </c>
      <c r="N124" s="44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  <row r="125" spans="1:36" x14ac:dyDescent="0.25">
      <c r="A125" s="102" t="str">
        <f>LCI!A60</f>
        <v>CO Emissions (kg/yr)</v>
      </c>
      <c r="B125" s="98"/>
      <c r="C125" s="98"/>
      <c r="D125" s="98"/>
      <c r="E125" s="98"/>
      <c r="F125" s="98"/>
      <c r="G125" s="98"/>
      <c r="H125" s="98"/>
      <c r="I125" s="101"/>
      <c r="J125" s="98"/>
      <c r="K125" s="98"/>
      <c r="L125" s="98"/>
      <c r="N125" s="44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</row>
    <row r="126" spans="1:36" x14ac:dyDescent="0.25">
      <c r="A126" s="102" t="str">
        <f>LCI!A59</f>
        <v>CO2 Emissions (kg/yr)</v>
      </c>
      <c r="B126" s="98"/>
      <c r="C126" s="98">
        <f>HydroProc!B34</f>
        <v>3620.559552480001</v>
      </c>
      <c r="D126" s="98"/>
      <c r="E126" s="98"/>
      <c r="F126" s="98"/>
      <c r="G126" s="98"/>
      <c r="H126" s="98"/>
      <c r="I126" s="101">
        <v>53731.430999999997</v>
      </c>
      <c r="J126" s="98"/>
      <c r="K126" s="98"/>
      <c r="L126" s="98"/>
      <c r="N126" s="44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</row>
    <row r="127" spans="1:36" x14ac:dyDescent="0.25">
      <c r="A127" s="102" t="str">
        <f>LCI!A63</f>
        <v>NOx Emissions (kg/yr)</v>
      </c>
      <c r="B127" s="98"/>
      <c r="C127" s="98"/>
      <c r="D127" s="98"/>
      <c r="E127" s="98"/>
      <c r="F127" s="98"/>
      <c r="G127" s="98"/>
      <c r="H127" s="98"/>
      <c r="I127" s="101"/>
      <c r="J127" s="98"/>
      <c r="K127" s="98"/>
      <c r="L127" s="98"/>
      <c r="N127" s="44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</row>
    <row r="128" spans="1:36" x14ac:dyDescent="0.25">
      <c r="A128" s="100" t="str">
        <f>LCI!A87</f>
        <v>Biodiesel, Produced (kg/yr)</v>
      </c>
      <c r="B128" s="98">
        <f>Transest!J14*B$124</f>
        <v>61118.86884229719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N128" s="44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</row>
    <row r="129" spans="1:36" x14ac:dyDescent="0.25">
      <c r="A129" s="102" t="str">
        <f>LCI!A88</f>
        <v>Diesel, Produced (kg/yr)</v>
      </c>
      <c r="B129" s="98"/>
      <c r="C129" s="98">
        <f>HydroProc!B37</f>
        <v>15622.043994960004</v>
      </c>
      <c r="D129" s="98"/>
      <c r="E129" s="98"/>
      <c r="F129" s="98"/>
      <c r="G129" s="98"/>
      <c r="H129" s="98"/>
      <c r="I129" s="101">
        <v>231841.17450000002</v>
      </c>
      <c r="J129" s="98"/>
      <c r="K129" s="98"/>
      <c r="L129" s="98"/>
      <c r="N129" s="44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</row>
    <row r="130" spans="1:36" x14ac:dyDescent="0.25">
      <c r="A130" s="102" t="str">
        <f>LCI!A91</f>
        <v>Gasoline, Produced (kg/yr)</v>
      </c>
      <c r="B130" s="98"/>
      <c r="C130" s="98">
        <f>HydroProc!B38</f>
        <v>4693.3179384000014</v>
      </c>
      <c r="D130" s="98"/>
      <c r="E130" s="98"/>
      <c r="F130" s="98"/>
      <c r="G130" s="98"/>
      <c r="H130" s="98"/>
      <c r="I130" s="101">
        <v>57114.521100000005</v>
      </c>
      <c r="J130" s="98"/>
      <c r="K130" s="98"/>
      <c r="L130" s="98"/>
      <c r="N130" s="44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</row>
    <row r="131" spans="1:36" x14ac:dyDescent="0.25">
      <c r="A131" s="102" t="str">
        <f>LCI!A73</f>
        <v>Glycerin (kg/yr)</v>
      </c>
      <c r="B131" s="139">
        <f>Transest!J15*B$124</f>
        <v>5928.5302777028282</v>
      </c>
      <c r="C131" s="98"/>
      <c r="D131" s="98"/>
      <c r="E131" s="98"/>
      <c r="F131" s="98"/>
      <c r="G131" s="98"/>
      <c r="H131" s="98"/>
      <c r="I131" s="101"/>
      <c r="J131" s="98"/>
      <c r="K131" s="98"/>
      <c r="L131" s="98"/>
      <c r="N131" s="44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</row>
    <row r="132" spans="1:36" x14ac:dyDescent="0.25">
      <c r="A132" s="102" t="str">
        <f>LCI!A94</f>
        <v>Jet-A (kg/yr)</v>
      </c>
      <c r="B132" s="98"/>
      <c r="C132" s="98">
        <f>HydroProc!B32</f>
        <v>33121.415165280006</v>
      </c>
      <c r="D132" s="98"/>
      <c r="E132" s="98"/>
      <c r="F132" s="98"/>
      <c r="G132" s="98"/>
      <c r="H132" s="98"/>
      <c r="I132" s="101">
        <v>491543.09100000001</v>
      </c>
      <c r="J132" s="98"/>
      <c r="K132" s="98"/>
      <c r="L132" s="98"/>
      <c r="N132" s="44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</row>
    <row r="133" spans="1:36" x14ac:dyDescent="0.25">
      <c r="A133" s="102" t="str">
        <f>LCI!A97</f>
        <v>LPG, Produced (kg/yr)</v>
      </c>
      <c r="B133" s="98"/>
      <c r="C133" s="98">
        <f>HydroProc!B36</f>
        <v>4022.8439472000009</v>
      </c>
      <c r="D133" s="98"/>
      <c r="E133" s="98"/>
      <c r="F133" s="98"/>
      <c r="G133" s="98"/>
      <c r="H133" s="98"/>
      <c r="I133" s="101">
        <v>59701.59</v>
      </c>
      <c r="J133" s="98"/>
      <c r="K133" s="98"/>
      <c r="L133" s="98"/>
      <c r="N133" s="44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</row>
    <row r="134" spans="1:36" x14ac:dyDescent="0.25">
      <c r="A134" s="102" t="str">
        <f>LCI!A98</f>
        <v>Naptha (kg/yr)</v>
      </c>
      <c r="B134" s="98"/>
      <c r="C134" s="98"/>
      <c r="D134" s="98"/>
      <c r="E134" s="98"/>
      <c r="F134" s="98"/>
      <c r="G134" s="98"/>
      <c r="H134" s="98"/>
      <c r="I134" s="101">
        <v>0</v>
      </c>
      <c r="J134" s="98"/>
      <c r="K134" s="98"/>
      <c r="L134" s="98"/>
      <c r="N134" s="44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</row>
    <row r="135" spans="1:36" x14ac:dyDescent="0.25">
      <c r="A135" s="102" t="str">
        <f>LCI!A99</f>
        <v>Propane, Produced (kg/yr)</v>
      </c>
      <c r="B135" s="98"/>
      <c r="C135" s="98">
        <f>HydroProc!B35</f>
        <v>2815.9907630400007</v>
      </c>
      <c r="D135" s="98"/>
      <c r="E135" s="98"/>
      <c r="F135" s="98"/>
      <c r="G135" s="98"/>
      <c r="H135" s="98"/>
      <c r="I135" s="101">
        <v>41791.113000000005</v>
      </c>
      <c r="J135" s="98"/>
      <c r="K135" s="98"/>
      <c r="L135" s="98"/>
      <c r="N135" s="44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</row>
    <row r="136" spans="1:36" x14ac:dyDescent="0.25">
      <c r="A136" s="102" t="str">
        <f>LCI!A83</f>
        <v>Water, Output (kg/yr)</v>
      </c>
      <c r="B136" s="98"/>
      <c r="C136" s="98">
        <f>HydroProc!B33</f>
        <v>5833.1237234400014</v>
      </c>
      <c r="D136" s="98"/>
      <c r="E136" s="98"/>
      <c r="F136" s="98"/>
      <c r="G136" s="98"/>
      <c r="H136" s="98"/>
      <c r="I136" s="101">
        <v>86567.305499999988</v>
      </c>
      <c r="J136" s="98"/>
      <c r="K136" s="98"/>
      <c r="L136" s="98"/>
      <c r="N136" s="44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</row>
    <row r="137" spans="1:36" x14ac:dyDescent="0.25">
      <c r="A137" s="102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N137" s="44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</row>
    <row r="138" spans="1:36" x14ac:dyDescent="0.25">
      <c r="A138" s="103" t="s">
        <v>375</v>
      </c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N138" s="44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</row>
    <row r="139" spans="1:36" x14ac:dyDescent="0.25">
      <c r="A139" s="99" t="s">
        <v>376</v>
      </c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N139" s="44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</row>
    <row r="140" spans="1:36" x14ac:dyDescent="0.25">
      <c r="A140" s="102" t="s">
        <v>377</v>
      </c>
      <c r="B140" s="98"/>
      <c r="C140" s="98"/>
      <c r="D140" s="98"/>
      <c r="E140" s="98"/>
      <c r="F140" s="98"/>
      <c r="G140" s="98"/>
      <c r="H140" s="98"/>
      <c r="I140" s="101">
        <v>1603659.3343874998</v>
      </c>
      <c r="J140" s="98"/>
      <c r="K140" s="98"/>
      <c r="L140" s="98"/>
      <c r="N140" s="44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</row>
    <row r="141" spans="1:36" x14ac:dyDescent="0.25">
      <c r="A141" s="102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N141" s="44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</row>
    <row r="142" spans="1:36" x14ac:dyDescent="0.25">
      <c r="A142" s="99" t="s">
        <v>378</v>
      </c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N142" s="44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</row>
    <row r="143" spans="1:36" x14ac:dyDescent="0.25">
      <c r="A143" s="102" t="s">
        <v>379</v>
      </c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N143" s="44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</row>
    <row r="144" spans="1:36" x14ac:dyDescent="0.25">
      <c r="A144" s="102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N144" s="44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</row>
    <row r="145" spans="1:36" x14ac:dyDescent="0.25">
      <c r="A145" s="102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N145" s="44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</row>
    <row r="146" spans="1:36" x14ac:dyDescent="0.25">
      <c r="A146" s="39" t="s">
        <v>74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N146" s="44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</row>
    <row r="147" spans="1:36" x14ac:dyDescent="0.25">
      <c r="A147" s="16" t="s">
        <v>366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N147" s="44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</row>
    <row r="148" spans="1:36" x14ac:dyDescent="0.25">
      <c r="A148" s="14" t="str">
        <f>LCI!A2</f>
        <v>Land Cost ($)</v>
      </c>
      <c r="B148" s="42">
        <f t="shared" ref="B148:L148" si="6">SUM(B8)</f>
        <v>1654900</v>
      </c>
      <c r="C148" s="42">
        <f t="shared" si="6"/>
        <v>1654900</v>
      </c>
      <c r="D148" s="42">
        <f t="shared" si="6"/>
        <v>1654900</v>
      </c>
      <c r="E148" s="42">
        <f t="shared" si="6"/>
        <v>1654900</v>
      </c>
      <c r="F148" s="42"/>
      <c r="G148" s="42">
        <f t="shared" si="6"/>
        <v>0</v>
      </c>
      <c r="H148" s="42">
        <f t="shared" si="6"/>
        <v>0</v>
      </c>
      <c r="I148" s="42">
        <f t="shared" si="6"/>
        <v>508079</v>
      </c>
      <c r="J148" s="42">
        <f t="shared" si="6"/>
        <v>0</v>
      </c>
      <c r="K148" s="42">
        <f t="shared" si="6"/>
        <v>0</v>
      </c>
      <c r="L148" s="42">
        <f t="shared" si="6"/>
        <v>0</v>
      </c>
      <c r="N148" s="45">
        <f>IF(EXACT(A148,LCI!A2),LCI!G2,-1*10^6)</f>
        <v>1</v>
      </c>
      <c r="O148" s="47">
        <f>B148*$N148</f>
        <v>1654900</v>
      </c>
      <c r="P148" s="47">
        <f>C148*$N148</f>
        <v>1654900</v>
      </c>
      <c r="Q148" s="47">
        <f>D148*$N148</f>
        <v>1654900</v>
      </c>
      <c r="R148" s="47">
        <f>E148*$N148</f>
        <v>1654900</v>
      </c>
      <c r="S148" s="47">
        <f>G148*$N148</f>
        <v>0</v>
      </c>
      <c r="T148" s="47">
        <f>H148*$N148</f>
        <v>0</v>
      </c>
      <c r="U148" s="47">
        <f>I148*$N148</f>
        <v>508079</v>
      </c>
      <c r="V148" s="47">
        <f t="shared" ref="V148" si="7">J148*$N148</f>
        <v>0</v>
      </c>
      <c r="W148" s="47">
        <f t="shared" ref="W148" si="8">K148*$N148</f>
        <v>0</v>
      </c>
      <c r="X148" s="47">
        <f t="shared" ref="X148" si="9">L148*$N148</f>
        <v>0</v>
      </c>
      <c r="Z148" s="41">
        <f>IF(EXACT(A148,LCI!A2),LCI!H2,-1*10^6)</f>
        <v>0</v>
      </c>
      <c r="AA148" s="71">
        <f t="shared" ref="AA148:AA195" si="10">I148*$Z148</f>
        <v>0</v>
      </c>
      <c r="AB148" s="71">
        <f t="shared" ref="AB148:AB164" si="11">C148*$Z148</f>
        <v>0</v>
      </c>
      <c r="AC148" s="71">
        <f t="shared" ref="AC148:AC164" si="12">D148*$Z148</f>
        <v>0</v>
      </c>
      <c r="AD148" s="71">
        <f t="shared" ref="AD148:AD164" si="13">E148*$Z148</f>
        <v>0</v>
      </c>
      <c r="AE148" s="71">
        <f t="shared" ref="AE148:AE164" si="14">G148*$Z148</f>
        <v>0</v>
      </c>
      <c r="AF148" s="71">
        <f t="shared" ref="AF148:AF164" si="15">H148*$Z148</f>
        <v>0</v>
      </c>
      <c r="AG148" s="71" t="e">
        <f>#REF!*$Z148</f>
        <v>#REF!</v>
      </c>
      <c r="AH148" s="71">
        <f t="shared" ref="AH148:AH164" si="16">J148*$Z148</f>
        <v>0</v>
      </c>
      <c r="AI148" s="71">
        <f t="shared" ref="AI148:AI164" si="17">K148*$Z148</f>
        <v>0</v>
      </c>
      <c r="AJ148" s="71">
        <f t="shared" ref="AJ148:AJ164" si="18">L148*$Z148</f>
        <v>0</v>
      </c>
    </row>
    <row r="149" spans="1:36" x14ac:dyDescent="0.25">
      <c r="A149" s="14" t="str">
        <f>LCI!A3</f>
        <v>Capital Cost ($)</v>
      </c>
      <c r="B149" s="42">
        <f t="shared" ref="B149:E150" si="19">SUM(B9,B40,B68)</f>
        <v>892360.31424937642</v>
      </c>
      <c r="C149" s="42">
        <f t="shared" si="19"/>
        <v>867930.2880618216</v>
      </c>
      <c r="D149" s="42">
        <f t="shared" si="19"/>
        <v>3526700.6</v>
      </c>
      <c r="E149" s="42">
        <f t="shared" si="19"/>
        <v>597740</v>
      </c>
      <c r="F149" s="42"/>
      <c r="G149" s="42">
        <f t="shared" ref="G149:L150" si="20">SUM(G9,G40,G68)</f>
        <v>0</v>
      </c>
      <c r="H149" s="42">
        <f t="shared" si="20"/>
        <v>0</v>
      </c>
      <c r="I149" s="42">
        <f t="shared" si="20"/>
        <v>43796587.548854999</v>
      </c>
      <c r="J149" s="42">
        <f t="shared" si="20"/>
        <v>0</v>
      </c>
      <c r="K149" s="42">
        <f t="shared" si="20"/>
        <v>0</v>
      </c>
      <c r="L149" s="42">
        <f t="shared" si="20"/>
        <v>0</v>
      </c>
      <c r="N149" s="45">
        <f>IF(EXACT(A149,LCI!A3),LCI!G3,-1*10^6)</f>
        <v>1</v>
      </c>
      <c r="O149" s="47">
        <f t="shared" ref="O149:O195" si="21">B149*$N149</f>
        <v>892360.31424937642</v>
      </c>
      <c r="P149" s="47">
        <f t="shared" ref="P149:P195" si="22">C149*$N149</f>
        <v>867930.2880618216</v>
      </c>
      <c r="Q149" s="47">
        <f t="shared" ref="Q149:Q195" si="23">D149*$N149</f>
        <v>3526700.6</v>
      </c>
      <c r="R149" s="47">
        <f t="shared" ref="R149:R195" si="24">E149*$N149</f>
        <v>597740</v>
      </c>
      <c r="S149" s="47">
        <f t="shared" ref="S149:S195" si="25">G149*$N149</f>
        <v>0</v>
      </c>
      <c r="T149" s="47">
        <f t="shared" ref="T149:T195" si="26">H149*$N149</f>
        <v>0</v>
      </c>
      <c r="U149" s="47">
        <f t="shared" ref="U149:U195" si="27">I149*$N149</f>
        <v>43796587.548854999</v>
      </c>
      <c r="V149" s="47">
        <f t="shared" ref="V149:V195" si="28">J149*$N149</f>
        <v>0</v>
      </c>
      <c r="W149" s="47">
        <f t="shared" ref="W149:W195" si="29">K149*$N149</f>
        <v>0</v>
      </c>
      <c r="X149" s="47">
        <f t="shared" ref="X149:X195" si="30">L149*$N149</f>
        <v>0</v>
      </c>
      <c r="Z149" s="41">
        <f>IF(EXACT(A149,LCI!A3),LCI!H3,-1*10^6)</f>
        <v>0</v>
      </c>
      <c r="AA149" s="71">
        <f t="shared" si="10"/>
        <v>0</v>
      </c>
      <c r="AB149" s="71">
        <f t="shared" si="11"/>
        <v>0</v>
      </c>
      <c r="AC149" s="71">
        <f t="shared" si="12"/>
        <v>0</v>
      </c>
      <c r="AD149" s="71">
        <f t="shared" si="13"/>
        <v>0</v>
      </c>
      <c r="AE149" s="71">
        <f t="shared" si="14"/>
        <v>0</v>
      </c>
      <c r="AF149" s="71">
        <f t="shared" si="15"/>
        <v>0</v>
      </c>
      <c r="AG149" s="71" t="e">
        <f>#REF!*$Z149</f>
        <v>#REF!</v>
      </c>
      <c r="AH149" s="71">
        <f t="shared" si="16"/>
        <v>0</v>
      </c>
      <c r="AI149" s="71">
        <f t="shared" si="17"/>
        <v>0</v>
      </c>
      <c r="AJ149" s="71">
        <f t="shared" si="18"/>
        <v>0</v>
      </c>
    </row>
    <row r="150" spans="1:36" x14ac:dyDescent="0.25">
      <c r="A150" s="14" t="str">
        <f>LCI!A4</f>
        <v>Labor ($/yr)</v>
      </c>
      <c r="B150" s="42">
        <f t="shared" si="19"/>
        <v>7760.0671445288344</v>
      </c>
      <c r="C150" s="42">
        <f t="shared" si="19"/>
        <v>7760.0671445288344</v>
      </c>
      <c r="D150" s="42">
        <f t="shared" si="19"/>
        <v>36296.839999999997</v>
      </c>
      <c r="E150" s="42">
        <f t="shared" si="19"/>
        <v>8148.5300000000007</v>
      </c>
      <c r="F150" s="42"/>
      <c r="G150" s="42">
        <f t="shared" si="20"/>
        <v>0</v>
      </c>
      <c r="H150" s="42">
        <f t="shared" si="20"/>
        <v>0</v>
      </c>
      <c r="I150" s="42">
        <f t="shared" si="20"/>
        <v>1374828.5328768231</v>
      </c>
      <c r="J150" s="42">
        <f t="shared" si="20"/>
        <v>0</v>
      </c>
      <c r="K150" s="42">
        <f t="shared" si="20"/>
        <v>0</v>
      </c>
      <c r="L150" s="42">
        <f t="shared" si="20"/>
        <v>0</v>
      </c>
      <c r="N150" s="45">
        <f>IF(EXACT(A150,LCI!A4),LCI!G4,-1*10^6)</f>
        <v>1</v>
      </c>
      <c r="O150" s="47">
        <f t="shared" si="21"/>
        <v>7760.0671445288344</v>
      </c>
      <c r="P150" s="47">
        <f t="shared" si="22"/>
        <v>7760.0671445288344</v>
      </c>
      <c r="Q150" s="47">
        <f t="shared" si="23"/>
        <v>36296.839999999997</v>
      </c>
      <c r="R150" s="47">
        <f t="shared" si="24"/>
        <v>8148.5300000000007</v>
      </c>
      <c r="S150" s="47">
        <f t="shared" si="25"/>
        <v>0</v>
      </c>
      <c r="T150" s="47">
        <f t="shared" si="26"/>
        <v>0</v>
      </c>
      <c r="U150" s="47">
        <f t="shared" si="27"/>
        <v>1374828.5328768231</v>
      </c>
      <c r="V150" s="47">
        <f t="shared" si="28"/>
        <v>0</v>
      </c>
      <c r="W150" s="47">
        <f t="shared" si="29"/>
        <v>0</v>
      </c>
      <c r="X150" s="47">
        <f t="shared" si="30"/>
        <v>0</v>
      </c>
      <c r="Z150" s="41">
        <f>IF(EXACT(A150,LCI!A4),LCI!H4,-1*10^6)</f>
        <v>0</v>
      </c>
      <c r="AA150" s="71">
        <f t="shared" si="10"/>
        <v>0</v>
      </c>
      <c r="AB150" s="71">
        <f t="shared" si="11"/>
        <v>0</v>
      </c>
      <c r="AC150" s="71">
        <f t="shared" si="12"/>
        <v>0</v>
      </c>
      <c r="AD150" s="71">
        <f t="shared" si="13"/>
        <v>0</v>
      </c>
      <c r="AE150" s="71">
        <f t="shared" si="14"/>
        <v>0</v>
      </c>
      <c r="AF150" s="71">
        <f t="shared" si="15"/>
        <v>0</v>
      </c>
      <c r="AG150" s="71" t="e">
        <f>#REF!*$Z150</f>
        <v>#REF!</v>
      </c>
      <c r="AH150" s="71">
        <f t="shared" si="16"/>
        <v>0</v>
      </c>
      <c r="AI150" s="71">
        <f t="shared" si="17"/>
        <v>0</v>
      </c>
      <c r="AJ150" s="71">
        <f t="shared" si="18"/>
        <v>0</v>
      </c>
    </row>
    <row r="151" spans="1:36" x14ac:dyDescent="0.25">
      <c r="A151" s="14" t="str">
        <f>LCI!A5</f>
        <v>Arable Land (ha/yr)</v>
      </c>
      <c r="B151" s="42">
        <f>B11</f>
        <v>100</v>
      </c>
      <c r="C151" s="42">
        <f t="shared" ref="C151:L151" si="31">C11</f>
        <v>100</v>
      </c>
      <c r="D151" s="42">
        <f t="shared" si="31"/>
        <v>100</v>
      </c>
      <c r="E151" s="42">
        <f t="shared" si="31"/>
        <v>100</v>
      </c>
      <c r="F151" s="42"/>
      <c r="G151" s="42">
        <f t="shared" si="31"/>
        <v>0</v>
      </c>
      <c r="H151" s="42">
        <f t="shared" si="31"/>
        <v>0</v>
      </c>
      <c r="I151" s="42">
        <f t="shared" si="31"/>
        <v>0</v>
      </c>
      <c r="J151" s="42">
        <f t="shared" si="31"/>
        <v>0</v>
      </c>
      <c r="K151" s="42">
        <f t="shared" si="31"/>
        <v>0</v>
      </c>
      <c r="L151" s="42">
        <f t="shared" si="31"/>
        <v>0</v>
      </c>
      <c r="N151" s="45">
        <f>IF(EXACT(A151,LCI!A5),LCI!G5,-1*10^6)</f>
        <v>0</v>
      </c>
      <c r="O151" s="47">
        <f t="shared" si="21"/>
        <v>0</v>
      </c>
      <c r="P151" s="47">
        <f t="shared" si="22"/>
        <v>0</v>
      </c>
      <c r="Q151" s="47">
        <f t="shared" si="23"/>
        <v>0</v>
      </c>
      <c r="R151" s="47">
        <f t="shared" si="24"/>
        <v>0</v>
      </c>
      <c r="S151" s="47">
        <f t="shared" si="25"/>
        <v>0</v>
      </c>
      <c r="T151" s="47">
        <f t="shared" si="26"/>
        <v>0</v>
      </c>
      <c r="U151" s="47">
        <f t="shared" si="27"/>
        <v>0</v>
      </c>
      <c r="V151" s="47">
        <f t="shared" si="28"/>
        <v>0</v>
      </c>
      <c r="W151" s="47">
        <f t="shared" si="29"/>
        <v>0</v>
      </c>
      <c r="X151" s="47">
        <f t="shared" si="30"/>
        <v>0</v>
      </c>
      <c r="Z151" s="41">
        <f>IF(EXACT(A151,LCI!A5),LCI!H5,-1*10^6)</f>
        <v>0</v>
      </c>
      <c r="AA151" s="71">
        <f t="shared" si="10"/>
        <v>0</v>
      </c>
      <c r="AB151" s="71">
        <f t="shared" si="11"/>
        <v>0</v>
      </c>
      <c r="AC151" s="71">
        <f t="shared" si="12"/>
        <v>0</v>
      </c>
      <c r="AD151" s="71">
        <f t="shared" si="13"/>
        <v>0</v>
      </c>
      <c r="AE151" s="71">
        <f t="shared" si="14"/>
        <v>0</v>
      </c>
      <c r="AF151" s="71">
        <f t="shared" si="15"/>
        <v>0</v>
      </c>
      <c r="AG151" s="71" t="e">
        <f>#REF!*$Z151</f>
        <v>#REF!</v>
      </c>
      <c r="AH151" s="71">
        <f t="shared" si="16"/>
        <v>0</v>
      </c>
      <c r="AI151" s="71">
        <f t="shared" si="17"/>
        <v>0</v>
      </c>
      <c r="AJ151" s="71">
        <f t="shared" si="18"/>
        <v>0</v>
      </c>
    </row>
    <row r="152" spans="1:36" x14ac:dyDescent="0.25">
      <c r="A152" s="14" t="str">
        <f>LCI!A6</f>
        <v>Marginal Land (ha/yr)</v>
      </c>
      <c r="B152" s="42">
        <f>B12</f>
        <v>0</v>
      </c>
      <c r="C152" s="42">
        <f t="shared" ref="C152:L152" si="32">C12</f>
        <v>0</v>
      </c>
      <c r="D152" s="42">
        <f t="shared" si="32"/>
        <v>0</v>
      </c>
      <c r="E152" s="42">
        <f t="shared" si="32"/>
        <v>0</v>
      </c>
      <c r="F152" s="42"/>
      <c r="G152" s="42">
        <f t="shared" si="32"/>
        <v>0</v>
      </c>
      <c r="H152" s="42">
        <f t="shared" si="32"/>
        <v>0</v>
      </c>
      <c r="I152" s="42">
        <f t="shared" si="32"/>
        <v>121</v>
      </c>
      <c r="J152" s="42">
        <f t="shared" si="32"/>
        <v>0</v>
      </c>
      <c r="K152" s="42">
        <f t="shared" si="32"/>
        <v>0</v>
      </c>
      <c r="L152" s="42">
        <f t="shared" si="32"/>
        <v>0</v>
      </c>
      <c r="N152" s="45">
        <f>IF(EXACT(A152,LCI!A6),LCI!G6,-1*10^6)</f>
        <v>0</v>
      </c>
      <c r="O152" s="47">
        <f t="shared" si="21"/>
        <v>0</v>
      </c>
      <c r="P152" s="47">
        <f t="shared" si="22"/>
        <v>0</v>
      </c>
      <c r="Q152" s="47">
        <f t="shared" si="23"/>
        <v>0</v>
      </c>
      <c r="R152" s="47">
        <f t="shared" si="24"/>
        <v>0</v>
      </c>
      <c r="S152" s="47">
        <f t="shared" si="25"/>
        <v>0</v>
      </c>
      <c r="T152" s="47">
        <f t="shared" si="26"/>
        <v>0</v>
      </c>
      <c r="U152" s="47">
        <f t="shared" si="27"/>
        <v>0</v>
      </c>
      <c r="V152" s="47">
        <f t="shared" si="28"/>
        <v>0</v>
      </c>
      <c r="W152" s="47">
        <f t="shared" si="29"/>
        <v>0</v>
      </c>
      <c r="X152" s="47">
        <f t="shared" si="30"/>
        <v>0</v>
      </c>
      <c r="Z152" s="41">
        <f>IF(EXACT(A152,LCI!A6),LCI!H6,-1*10^6)</f>
        <v>0</v>
      </c>
      <c r="AA152" s="71">
        <f t="shared" si="10"/>
        <v>0</v>
      </c>
      <c r="AB152" s="71">
        <f t="shared" si="11"/>
        <v>0</v>
      </c>
      <c r="AC152" s="71">
        <f t="shared" si="12"/>
        <v>0</v>
      </c>
      <c r="AD152" s="71">
        <f t="shared" si="13"/>
        <v>0</v>
      </c>
      <c r="AE152" s="71">
        <f t="shared" si="14"/>
        <v>0</v>
      </c>
      <c r="AF152" s="71">
        <f t="shared" si="15"/>
        <v>0</v>
      </c>
      <c r="AG152" s="71" t="e">
        <f>#REF!*$Z152</f>
        <v>#REF!</v>
      </c>
      <c r="AH152" s="71">
        <f t="shared" si="16"/>
        <v>0</v>
      </c>
      <c r="AI152" s="71">
        <f t="shared" si="17"/>
        <v>0</v>
      </c>
      <c r="AJ152" s="71">
        <f t="shared" si="18"/>
        <v>0</v>
      </c>
    </row>
    <row r="153" spans="1:36" x14ac:dyDescent="0.25">
      <c r="A153" s="14" t="str">
        <f>LCI!A7</f>
        <v>Air (kg/yr)</v>
      </c>
      <c r="B153" s="42">
        <f>B42</f>
        <v>0</v>
      </c>
      <c r="C153" s="42">
        <f t="shared" ref="C153:L153" si="33">C42</f>
        <v>0</v>
      </c>
      <c r="D153" s="42">
        <f t="shared" si="33"/>
        <v>0</v>
      </c>
      <c r="E153" s="42">
        <f t="shared" si="33"/>
        <v>0</v>
      </c>
      <c r="F153" s="42"/>
      <c r="G153" s="42">
        <f t="shared" si="33"/>
        <v>0</v>
      </c>
      <c r="H153" s="42">
        <f t="shared" si="33"/>
        <v>0</v>
      </c>
      <c r="I153" s="42">
        <f t="shared" si="33"/>
        <v>0</v>
      </c>
      <c r="J153" s="42">
        <f t="shared" si="33"/>
        <v>0</v>
      </c>
      <c r="K153" s="42">
        <f t="shared" si="33"/>
        <v>0</v>
      </c>
      <c r="L153" s="42">
        <f t="shared" si="33"/>
        <v>0</v>
      </c>
      <c r="N153" s="45">
        <f>IF(EXACT(A153,LCI!A7),LCI!G7,-1*10^6)</f>
        <v>0</v>
      </c>
      <c r="O153" s="47">
        <f t="shared" si="21"/>
        <v>0</v>
      </c>
      <c r="P153" s="47">
        <f t="shared" si="22"/>
        <v>0</v>
      </c>
      <c r="Q153" s="47">
        <f t="shared" si="23"/>
        <v>0</v>
      </c>
      <c r="R153" s="47">
        <f t="shared" si="24"/>
        <v>0</v>
      </c>
      <c r="S153" s="47">
        <f t="shared" si="25"/>
        <v>0</v>
      </c>
      <c r="T153" s="47">
        <f t="shared" si="26"/>
        <v>0</v>
      </c>
      <c r="U153" s="47">
        <f t="shared" si="27"/>
        <v>0</v>
      </c>
      <c r="V153" s="47">
        <f t="shared" si="28"/>
        <v>0</v>
      </c>
      <c r="W153" s="47">
        <f t="shared" si="29"/>
        <v>0</v>
      </c>
      <c r="X153" s="47">
        <f t="shared" si="30"/>
        <v>0</v>
      </c>
      <c r="Z153" s="41">
        <f>IF(EXACT(A153,LCI!A7),LCI!H7,-1*10^6)</f>
        <v>0</v>
      </c>
      <c r="AA153" s="71">
        <f t="shared" si="10"/>
        <v>0</v>
      </c>
      <c r="AB153" s="71">
        <f t="shared" si="11"/>
        <v>0</v>
      </c>
      <c r="AC153" s="71">
        <f t="shared" si="12"/>
        <v>0</v>
      </c>
      <c r="AD153" s="71">
        <f t="shared" si="13"/>
        <v>0</v>
      </c>
      <c r="AE153" s="71">
        <f t="shared" si="14"/>
        <v>0</v>
      </c>
      <c r="AF153" s="71">
        <f t="shared" si="15"/>
        <v>0</v>
      </c>
      <c r="AG153" s="71" t="e">
        <f>#REF!*$Z153</f>
        <v>#REF!</v>
      </c>
      <c r="AH153" s="71">
        <f t="shared" si="16"/>
        <v>0</v>
      </c>
      <c r="AI153" s="71">
        <f t="shared" si="17"/>
        <v>0</v>
      </c>
      <c r="AJ153" s="71">
        <f t="shared" si="18"/>
        <v>0</v>
      </c>
    </row>
    <row r="154" spans="1:36" x14ac:dyDescent="0.25">
      <c r="A154" s="14" t="str">
        <f>LCI!A8</f>
        <v>Alpha-Amylase (kg/yr)</v>
      </c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N154" s="45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Z154" s="4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</row>
    <row r="155" spans="1:36" x14ac:dyDescent="0.25">
      <c r="A155" s="14" t="str">
        <f>LCI!A9</f>
        <v>Ammonia (kg/yr)</v>
      </c>
      <c r="B155" s="42">
        <f>B45</f>
        <v>0</v>
      </c>
      <c r="C155" s="42">
        <f t="shared" ref="C155:L155" si="34">C45</f>
        <v>0</v>
      </c>
      <c r="D155" s="42">
        <f t="shared" si="34"/>
        <v>0</v>
      </c>
      <c r="E155" s="42">
        <f t="shared" si="34"/>
        <v>0</v>
      </c>
      <c r="F155" s="42"/>
      <c r="G155" s="42">
        <f t="shared" si="34"/>
        <v>0</v>
      </c>
      <c r="H155" s="42">
        <f t="shared" si="34"/>
        <v>0</v>
      </c>
      <c r="I155" s="42">
        <f t="shared" si="34"/>
        <v>0</v>
      </c>
      <c r="J155" s="42">
        <f t="shared" si="34"/>
        <v>0</v>
      </c>
      <c r="K155" s="42">
        <f t="shared" si="34"/>
        <v>0</v>
      </c>
      <c r="L155" s="42">
        <f t="shared" si="34"/>
        <v>0</v>
      </c>
      <c r="N155" s="45">
        <f>IF(EXACT(A155,LCI!A9),LCI!G9,-1*10^6)</f>
        <v>0.42</v>
      </c>
      <c r="O155" s="47">
        <f t="shared" si="21"/>
        <v>0</v>
      </c>
      <c r="P155" s="47">
        <f t="shared" si="22"/>
        <v>0</v>
      </c>
      <c r="Q155" s="47">
        <f t="shared" si="23"/>
        <v>0</v>
      </c>
      <c r="R155" s="47">
        <f t="shared" si="24"/>
        <v>0</v>
      </c>
      <c r="S155" s="47">
        <f t="shared" si="25"/>
        <v>0</v>
      </c>
      <c r="T155" s="47">
        <f t="shared" si="26"/>
        <v>0</v>
      </c>
      <c r="U155" s="47">
        <f t="shared" si="27"/>
        <v>0</v>
      </c>
      <c r="V155" s="47">
        <f t="shared" si="28"/>
        <v>0</v>
      </c>
      <c r="W155" s="47">
        <f t="shared" si="29"/>
        <v>0</v>
      </c>
      <c r="X155" s="47">
        <f t="shared" si="30"/>
        <v>0</v>
      </c>
      <c r="Z155" s="41">
        <f>IF(EXACT(A155,LCI!A9),LCI!H9,-1*10^6)</f>
        <v>3010.58</v>
      </c>
      <c r="AA155" s="71">
        <f t="shared" si="10"/>
        <v>0</v>
      </c>
      <c r="AB155" s="71">
        <f t="shared" si="11"/>
        <v>0</v>
      </c>
      <c r="AC155" s="71">
        <f t="shared" si="12"/>
        <v>0</v>
      </c>
      <c r="AD155" s="71">
        <f t="shared" si="13"/>
        <v>0</v>
      </c>
      <c r="AE155" s="71">
        <f t="shared" si="14"/>
        <v>0</v>
      </c>
      <c r="AF155" s="71">
        <f t="shared" si="15"/>
        <v>0</v>
      </c>
      <c r="AG155" s="71" t="e">
        <f>#REF!*$Z155</f>
        <v>#REF!</v>
      </c>
      <c r="AH155" s="71">
        <f t="shared" si="16"/>
        <v>0</v>
      </c>
      <c r="AI155" s="71">
        <f t="shared" si="17"/>
        <v>0</v>
      </c>
      <c r="AJ155" s="71">
        <f t="shared" si="18"/>
        <v>0</v>
      </c>
    </row>
    <row r="156" spans="1:36" x14ac:dyDescent="0.25">
      <c r="A156" s="14" t="str">
        <f>LCI!A10</f>
        <v>CO2, Atmospheric (kg/yr)</v>
      </c>
      <c r="B156" s="42">
        <f>B14</f>
        <v>508889.75932080013</v>
      </c>
      <c r="C156" s="42">
        <f t="shared" ref="C156:L156" si="35">C14</f>
        <v>508889.75932080013</v>
      </c>
      <c r="D156" s="42">
        <f t="shared" si="35"/>
        <v>2456328.71</v>
      </c>
      <c r="E156" s="42">
        <f t="shared" si="35"/>
        <v>2456328.71</v>
      </c>
      <c r="F156" s="42"/>
      <c r="G156" s="42">
        <f t="shared" si="35"/>
        <v>0</v>
      </c>
      <c r="H156" s="42">
        <f t="shared" si="35"/>
        <v>0</v>
      </c>
      <c r="I156" s="42">
        <f t="shared" si="35"/>
        <v>9951907.5</v>
      </c>
      <c r="J156" s="42">
        <f t="shared" si="35"/>
        <v>0</v>
      </c>
      <c r="K156" s="42">
        <f t="shared" si="35"/>
        <v>0</v>
      </c>
      <c r="L156" s="42">
        <f t="shared" si="35"/>
        <v>0</v>
      </c>
      <c r="N156" s="45">
        <f>IF(EXACT(A156,LCI!A10),LCI!G10,-1*10^6)</f>
        <v>0</v>
      </c>
      <c r="O156" s="47">
        <f t="shared" si="21"/>
        <v>0</v>
      </c>
      <c r="P156" s="47">
        <f t="shared" si="22"/>
        <v>0</v>
      </c>
      <c r="Q156" s="47">
        <f t="shared" si="23"/>
        <v>0</v>
      </c>
      <c r="R156" s="47">
        <f t="shared" si="24"/>
        <v>0</v>
      </c>
      <c r="S156" s="47">
        <f t="shared" si="25"/>
        <v>0</v>
      </c>
      <c r="T156" s="47">
        <f t="shared" si="26"/>
        <v>0</v>
      </c>
      <c r="U156" s="47">
        <f t="shared" si="27"/>
        <v>0</v>
      </c>
      <c r="V156" s="47">
        <f t="shared" si="28"/>
        <v>0</v>
      </c>
      <c r="W156" s="47">
        <f t="shared" si="29"/>
        <v>0</v>
      </c>
      <c r="X156" s="47">
        <f t="shared" si="30"/>
        <v>0</v>
      </c>
      <c r="Z156" s="41">
        <f>IF(EXACT(A156,LCI!A10),LCI!H10,-1*10^6)</f>
        <v>-1000</v>
      </c>
      <c r="AA156" s="71">
        <f t="shared" si="10"/>
        <v>-9951907500</v>
      </c>
      <c r="AB156" s="71">
        <f t="shared" si="11"/>
        <v>-508889759.32080013</v>
      </c>
      <c r="AC156" s="71">
        <f t="shared" si="12"/>
        <v>-2456328710</v>
      </c>
      <c r="AD156" s="71">
        <f t="shared" si="13"/>
        <v>-2456328710</v>
      </c>
      <c r="AE156" s="71">
        <f t="shared" si="14"/>
        <v>0</v>
      </c>
      <c r="AF156" s="71">
        <f t="shared" si="15"/>
        <v>0</v>
      </c>
      <c r="AG156" s="71" t="e">
        <f>#REF!*$Z156</f>
        <v>#REF!</v>
      </c>
      <c r="AH156" s="71">
        <f t="shared" si="16"/>
        <v>0</v>
      </c>
      <c r="AI156" s="71">
        <f t="shared" si="17"/>
        <v>0</v>
      </c>
      <c r="AJ156" s="71">
        <f t="shared" si="18"/>
        <v>0</v>
      </c>
    </row>
    <row r="157" spans="1:36" x14ac:dyDescent="0.25">
      <c r="A157" s="14" t="str">
        <f>LCI!A11</f>
        <v>CO2, Commercial (kg/yr)</v>
      </c>
      <c r="B157" s="42">
        <f>B15</f>
        <v>0</v>
      </c>
      <c r="C157" s="42">
        <f t="shared" ref="C157:L157" si="36">C15</f>
        <v>0</v>
      </c>
      <c r="D157" s="42">
        <f t="shared" si="36"/>
        <v>0</v>
      </c>
      <c r="E157" s="42">
        <f t="shared" si="36"/>
        <v>0</v>
      </c>
      <c r="F157" s="42"/>
      <c r="G157" s="42">
        <f t="shared" si="36"/>
        <v>0</v>
      </c>
      <c r="H157" s="42">
        <f t="shared" si="36"/>
        <v>0</v>
      </c>
      <c r="I157" s="42">
        <f t="shared" si="36"/>
        <v>0</v>
      </c>
      <c r="J157" s="42">
        <f t="shared" si="36"/>
        <v>0</v>
      </c>
      <c r="K157" s="42">
        <f t="shared" si="36"/>
        <v>0</v>
      </c>
      <c r="L157" s="42">
        <f t="shared" si="36"/>
        <v>0</v>
      </c>
      <c r="N157" s="45">
        <f>IF(EXACT(A157,LCI!A11),LCI!G11,-1*10^6)</f>
        <v>0.13200000000000001</v>
      </c>
      <c r="O157" s="47">
        <f t="shared" si="21"/>
        <v>0</v>
      </c>
      <c r="P157" s="47">
        <f t="shared" si="22"/>
        <v>0</v>
      </c>
      <c r="Q157" s="47">
        <f t="shared" si="23"/>
        <v>0</v>
      </c>
      <c r="R157" s="47">
        <f t="shared" si="24"/>
        <v>0</v>
      </c>
      <c r="S157" s="47">
        <f t="shared" si="25"/>
        <v>0</v>
      </c>
      <c r="T157" s="47">
        <f t="shared" si="26"/>
        <v>0</v>
      </c>
      <c r="U157" s="47">
        <f t="shared" si="27"/>
        <v>0</v>
      </c>
      <c r="V157" s="47">
        <f t="shared" si="28"/>
        <v>0</v>
      </c>
      <c r="W157" s="47">
        <f t="shared" si="29"/>
        <v>0</v>
      </c>
      <c r="X157" s="47">
        <f t="shared" si="30"/>
        <v>0</v>
      </c>
      <c r="Z157" s="41">
        <f>IF(EXACT(A157,LCI!A11),LCI!H11,-1*10^6)</f>
        <v>1610</v>
      </c>
      <c r="AA157" s="71">
        <f t="shared" si="10"/>
        <v>0</v>
      </c>
      <c r="AB157" s="71">
        <f t="shared" si="11"/>
        <v>0</v>
      </c>
      <c r="AC157" s="71">
        <f t="shared" si="12"/>
        <v>0</v>
      </c>
      <c r="AD157" s="71">
        <f t="shared" si="13"/>
        <v>0</v>
      </c>
      <c r="AE157" s="71">
        <f t="shared" si="14"/>
        <v>0</v>
      </c>
      <c r="AF157" s="71">
        <f t="shared" si="15"/>
        <v>0</v>
      </c>
      <c r="AG157" s="71" t="e">
        <f>#REF!*$Z157</f>
        <v>#REF!</v>
      </c>
      <c r="AH157" s="71">
        <f t="shared" si="16"/>
        <v>0</v>
      </c>
      <c r="AI157" s="71">
        <f t="shared" si="17"/>
        <v>0</v>
      </c>
      <c r="AJ157" s="71">
        <f t="shared" si="18"/>
        <v>0</v>
      </c>
    </row>
    <row r="158" spans="1:36" x14ac:dyDescent="0.25">
      <c r="A158" s="14" t="str">
        <f>LCI!A13</f>
        <v>Corn Seed (kg/yr)</v>
      </c>
      <c r="B158" s="42">
        <f>B16</f>
        <v>0</v>
      </c>
      <c r="C158" s="42">
        <f t="shared" ref="C158:L158" si="37">C16</f>
        <v>0</v>
      </c>
      <c r="D158" s="42">
        <f t="shared" si="37"/>
        <v>1769.4594832116632</v>
      </c>
      <c r="E158" s="42">
        <f t="shared" si="37"/>
        <v>1769.4594832116632</v>
      </c>
      <c r="F158" s="42"/>
      <c r="G158" s="42">
        <f t="shared" si="37"/>
        <v>0</v>
      </c>
      <c r="H158" s="42">
        <f t="shared" si="37"/>
        <v>0</v>
      </c>
      <c r="I158" s="42">
        <f t="shared" si="37"/>
        <v>0</v>
      </c>
      <c r="J158" s="42">
        <f t="shared" si="37"/>
        <v>0</v>
      </c>
      <c r="K158" s="42">
        <f t="shared" si="37"/>
        <v>0</v>
      </c>
      <c r="L158" s="42">
        <f t="shared" si="37"/>
        <v>0</v>
      </c>
      <c r="N158" s="45">
        <f>IF(EXACT(A158,LCI!A13),LCI!G13,-1*10^6)</f>
        <v>0.29399999999999998</v>
      </c>
      <c r="O158" s="47">
        <f t="shared" si="21"/>
        <v>0</v>
      </c>
      <c r="P158" s="47">
        <f t="shared" si="22"/>
        <v>0</v>
      </c>
      <c r="Q158" s="47">
        <f t="shared" si="23"/>
        <v>520.22108806422898</v>
      </c>
      <c r="R158" s="47">
        <f t="shared" si="24"/>
        <v>520.22108806422898</v>
      </c>
      <c r="S158" s="47">
        <f t="shared" si="25"/>
        <v>0</v>
      </c>
      <c r="T158" s="47">
        <f t="shared" si="26"/>
        <v>0</v>
      </c>
      <c r="U158" s="47">
        <f t="shared" si="27"/>
        <v>0</v>
      </c>
      <c r="V158" s="47">
        <f t="shared" si="28"/>
        <v>0</v>
      </c>
      <c r="W158" s="47">
        <f t="shared" si="29"/>
        <v>0</v>
      </c>
      <c r="X158" s="47">
        <f t="shared" si="30"/>
        <v>0</v>
      </c>
      <c r="Z158" s="41">
        <f>IF(EXACT(A158,LCI!A13),LCI!H13,-1*10^6)</f>
        <v>1508.13</v>
      </c>
      <c r="AA158" s="71">
        <f t="shared" si="10"/>
        <v>0</v>
      </c>
      <c r="AB158" s="71">
        <f t="shared" si="11"/>
        <v>0</v>
      </c>
      <c r="AC158" s="71">
        <f t="shared" si="12"/>
        <v>2668574.9304160057</v>
      </c>
      <c r="AD158" s="71">
        <f t="shared" si="13"/>
        <v>2668574.9304160057</v>
      </c>
      <c r="AE158" s="71">
        <f t="shared" si="14"/>
        <v>0</v>
      </c>
      <c r="AF158" s="71">
        <f t="shared" si="15"/>
        <v>0</v>
      </c>
      <c r="AG158" s="71" t="e">
        <f>#REF!*$Z158</f>
        <v>#REF!</v>
      </c>
      <c r="AH158" s="71">
        <f t="shared" si="16"/>
        <v>0</v>
      </c>
      <c r="AI158" s="71">
        <f t="shared" si="17"/>
        <v>0</v>
      </c>
      <c r="AJ158" s="71">
        <f t="shared" si="18"/>
        <v>0</v>
      </c>
    </row>
    <row r="159" spans="1:36" x14ac:dyDescent="0.25">
      <c r="A159" s="14" t="str">
        <f>LCI!A15</f>
        <v>Corn Steep Liquor (kg/yr)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N159" s="45">
        <f>IF(EXACT(A159,LCI!A15),LCI!G15,-1*10^6)</f>
        <v>0</v>
      </c>
      <c r="O159" s="47">
        <f t="shared" si="21"/>
        <v>0</v>
      </c>
      <c r="P159" s="47">
        <f t="shared" si="22"/>
        <v>0</v>
      </c>
      <c r="Q159" s="47">
        <f t="shared" si="23"/>
        <v>0</v>
      </c>
      <c r="R159" s="47">
        <f t="shared" si="24"/>
        <v>0</v>
      </c>
      <c r="S159" s="47">
        <f t="shared" si="25"/>
        <v>0</v>
      </c>
      <c r="T159" s="47">
        <f t="shared" si="26"/>
        <v>0</v>
      </c>
      <c r="U159" s="47">
        <f t="shared" si="27"/>
        <v>0</v>
      </c>
      <c r="V159" s="47">
        <f t="shared" si="28"/>
        <v>0</v>
      </c>
      <c r="W159" s="47">
        <f t="shared" si="29"/>
        <v>0</v>
      </c>
      <c r="X159" s="47">
        <f t="shared" si="30"/>
        <v>0</v>
      </c>
      <c r="Z159" s="41">
        <f>IF(EXACT(A159,LCI!A15),LCI!H15,-1*10^6)</f>
        <v>8.2699999999999996E-3</v>
      </c>
      <c r="AA159" s="71">
        <f t="shared" si="10"/>
        <v>0</v>
      </c>
      <c r="AB159" s="71">
        <f t="shared" si="11"/>
        <v>0</v>
      </c>
      <c r="AC159" s="71">
        <f t="shared" si="12"/>
        <v>0</v>
      </c>
      <c r="AD159" s="71">
        <f t="shared" si="13"/>
        <v>0</v>
      </c>
      <c r="AE159" s="71">
        <f t="shared" si="14"/>
        <v>0</v>
      </c>
      <c r="AF159" s="71">
        <f t="shared" si="15"/>
        <v>0</v>
      </c>
      <c r="AG159" s="71" t="e">
        <f>#REF!*$Z159</f>
        <v>#REF!</v>
      </c>
      <c r="AH159" s="71">
        <f t="shared" si="16"/>
        <v>0</v>
      </c>
      <c r="AI159" s="71">
        <f t="shared" si="17"/>
        <v>0</v>
      </c>
      <c r="AJ159" s="71">
        <f t="shared" si="18"/>
        <v>0</v>
      </c>
    </row>
    <row r="160" spans="1:36" x14ac:dyDescent="0.25">
      <c r="A160" s="14" t="str">
        <f>LCI!A16</f>
        <v>Enzymes (kg/yr)</v>
      </c>
      <c r="B160" s="42">
        <f>B48</f>
        <v>0</v>
      </c>
      <c r="C160" s="42">
        <f t="shared" ref="C160:L160" si="38">C48</f>
        <v>0</v>
      </c>
      <c r="D160" s="42" t="str">
        <f t="shared" si="38"/>
        <v>! Breakout ?</v>
      </c>
      <c r="E160" s="42">
        <f t="shared" si="38"/>
        <v>0</v>
      </c>
      <c r="F160" s="42"/>
      <c r="G160" s="42">
        <f t="shared" si="38"/>
        <v>0</v>
      </c>
      <c r="H160" s="42">
        <f t="shared" si="38"/>
        <v>0</v>
      </c>
      <c r="I160" s="42">
        <f t="shared" si="38"/>
        <v>0</v>
      </c>
      <c r="J160" s="42">
        <f t="shared" si="38"/>
        <v>0</v>
      </c>
      <c r="K160" s="42">
        <f t="shared" si="38"/>
        <v>0</v>
      </c>
      <c r="L160" s="42">
        <f t="shared" si="38"/>
        <v>0</v>
      </c>
      <c r="N160" s="45">
        <f>IF(EXACT(A160,LCI!A16),LCI!G16,-1*10^6)</f>
        <v>2.75</v>
      </c>
      <c r="O160" s="47">
        <f t="shared" si="21"/>
        <v>0</v>
      </c>
      <c r="P160" s="47">
        <f t="shared" si="22"/>
        <v>0</v>
      </c>
      <c r="Q160" s="47" t="e">
        <f t="shared" si="23"/>
        <v>#VALUE!</v>
      </c>
      <c r="R160" s="47">
        <f t="shared" si="24"/>
        <v>0</v>
      </c>
      <c r="S160" s="47">
        <f t="shared" si="25"/>
        <v>0</v>
      </c>
      <c r="T160" s="47">
        <f t="shared" si="26"/>
        <v>0</v>
      </c>
      <c r="U160" s="47">
        <f t="shared" si="27"/>
        <v>0</v>
      </c>
      <c r="V160" s="47">
        <f t="shared" si="28"/>
        <v>0</v>
      </c>
      <c r="W160" s="47">
        <f t="shared" si="29"/>
        <v>0</v>
      </c>
      <c r="X160" s="47">
        <f t="shared" si="30"/>
        <v>0</v>
      </c>
      <c r="Z160" s="41">
        <f>IF(EXACT(A160,LCI!A16),LCI!H16,-1*10^6)</f>
        <v>8357</v>
      </c>
      <c r="AA160" s="71">
        <f t="shared" si="10"/>
        <v>0</v>
      </c>
      <c r="AB160" s="71">
        <f t="shared" si="11"/>
        <v>0</v>
      </c>
      <c r="AC160" s="71" t="e">
        <f t="shared" si="12"/>
        <v>#VALUE!</v>
      </c>
      <c r="AD160" s="71">
        <f t="shared" si="13"/>
        <v>0</v>
      </c>
      <c r="AE160" s="71">
        <f t="shared" si="14"/>
        <v>0</v>
      </c>
      <c r="AF160" s="71">
        <f t="shared" si="15"/>
        <v>0</v>
      </c>
      <c r="AG160" s="71" t="e">
        <f>#REF!*$Z160</f>
        <v>#REF!</v>
      </c>
      <c r="AH160" s="71">
        <f t="shared" si="16"/>
        <v>0</v>
      </c>
      <c r="AI160" s="71">
        <f t="shared" si="17"/>
        <v>0</v>
      </c>
      <c r="AJ160" s="71">
        <f t="shared" si="18"/>
        <v>0</v>
      </c>
    </row>
    <row r="161" spans="1:36" x14ac:dyDescent="0.25">
      <c r="A161" s="14" t="str">
        <f>LCI!A17</f>
        <v>EtOH Catalysts (kg/yr)</v>
      </c>
      <c r="B161" s="42">
        <f>B76</f>
        <v>0</v>
      </c>
      <c r="C161" s="42">
        <f t="shared" ref="C161:L161" si="39">C76</f>
        <v>0</v>
      </c>
      <c r="D161" s="42">
        <f t="shared" si="39"/>
        <v>0</v>
      </c>
      <c r="E161" s="42">
        <f t="shared" si="39"/>
        <v>0</v>
      </c>
      <c r="F161" s="42"/>
      <c r="G161" s="42">
        <f t="shared" si="39"/>
        <v>0</v>
      </c>
      <c r="H161" s="42">
        <f t="shared" si="39"/>
        <v>0</v>
      </c>
      <c r="I161" s="42">
        <f t="shared" si="39"/>
        <v>0</v>
      </c>
      <c r="J161" s="42">
        <f t="shared" si="39"/>
        <v>0</v>
      </c>
      <c r="K161" s="42">
        <f t="shared" si="39"/>
        <v>0</v>
      </c>
      <c r="L161" s="42">
        <f t="shared" si="39"/>
        <v>0</v>
      </c>
      <c r="N161" s="45">
        <f>IF(EXACT(A161,LCI!A17),LCI!G17,-1*10^6)</f>
        <v>70</v>
      </c>
      <c r="O161" s="47">
        <f t="shared" si="21"/>
        <v>0</v>
      </c>
      <c r="P161" s="47">
        <f t="shared" si="22"/>
        <v>0</v>
      </c>
      <c r="Q161" s="47">
        <f t="shared" si="23"/>
        <v>0</v>
      </c>
      <c r="R161" s="47">
        <f t="shared" si="24"/>
        <v>0</v>
      </c>
      <c r="S161" s="47">
        <f t="shared" si="25"/>
        <v>0</v>
      </c>
      <c r="T161" s="47">
        <f t="shared" si="26"/>
        <v>0</v>
      </c>
      <c r="U161" s="47">
        <f t="shared" si="27"/>
        <v>0</v>
      </c>
      <c r="V161" s="47">
        <f t="shared" si="28"/>
        <v>0</v>
      </c>
      <c r="W161" s="47">
        <f t="shared" si="29"/>
        <v>0</v>
      </c>
      <c r="X161" s="47">
        <f t="shared" si="30"/>
        <v>0</v>
      </c>
      <c r="Z161" s="41">
        <f>IF(EXACT(A161,LCI!A17),LCI!H17,-1*10^6)</f>
        <v>9576</v>
      </c>
      <c r="AA161" s="71">
        <f t="shared" si="10"/>
        <v>0</v>
      </c>
      <c r="AB161" s="71">
        <f t="shared" si="11"/>
        <v>0</v>
      </c>
      <c r="AC161" s="71">
        <f t="shared" si="12"/>
        <v>0</v>
      </c>
      <c r="AD161" s="71">
        <f t="shared" si="13"/>
        <v>0</v>
      </c>
      <c r="AE161" s="71">
        <f t="shared" si="14"/>
        <v>0</v>
      </c>
      <c r="AF161" s="71">
        <f t="shared" si="15"/>
        <v>0</v>
      </c>
      <c r="AG161" s="71" t="e">
        <f>#REF!*$Z161</f>
        <v>#REF!</v>
      </c>
      <c r="AH161" s="71">
        <f t="shared" si="16"/>
        <v>0</v>
      </c>
      <c r="AI161" s="71">
        <f t="shared" si="17"/>
        <v>0</v>
      </c>
      <c r="AJ161" s="71">
        <f t="shared" si="18"/>
        <v>0</v>
      </c>
    </row>
    <row r="162" spans="1:36" x14ac:dyDescent="0.25">
      <c r="A162" s="14" t="str">
        <f>LCI!A18</f>
        <v>Forestry Residue (kg/yr)</v>
      </c>
      <c r="B162" s="42">
        <f>B17</f>
        <v>0</v>
      </c>
      <c r="C162" s="42">
        <f t="shared" ref="C162:L162" si="40">C17</f>
        <v>0</v>
      </c>
      <c r="D162" s="42">
        <f t="shared" si="40"/>
        <v>0</v>
      </c>
      <c r="E162" s="42">
        <f t="shared" si="40"/>
        <v>0</v>
      </c>
      <c r="F162" s="42"/>
      <c r="G162" s="42">
        <f t="shared" si="40"/>
        <v>0</v>
      </c>
      <c r="H162" s="42">
        <f t="shared" si="40"/>
        <v>0</v>
      </c>
      <c r="I162" s="42">
        <f t="shared" si="40"/>
        <v>0</v>
      </c>
      <c r="J162" s="42">
        <f t="shared" si="40"/>
        <v>0</v>
      </c>
      <c r="K162" s="42">
        <f t="shared" si="40"/>
        <v>0</v>
      </c>
      <c r="L162" s="42">
        <f t="shared" si="40"/>
        <v>0</v>
      </c>
      <c r="N162" s="45">
        <f>IF(EXACT(A162,LCI!A18),LCI!G18,-1*10^6)</f>
        <v>4.6076791999999998E-2</v>
      </c>
      <c r="O162" s="47">
        <f t="shared" si="21"/>
        <v>0</v>
      </c>
      <c r="P162" s="47">
        <f t="shared" si="22"/>
        <v>0</v>
      </c>
      <c r="Q162" s="47">
        <f t="shared" si="23"/>
        <v>0</v>
      </c>
      <c r="R162" s="47">
        <f t="shared" si="24"/>
        <v>0</v>
      </c>
      <c r="S162" s="47">
        <f t="shared" si="25"/>
        <v>0</v>
      </c>
      <c r="T162" s="47">
        <f t="shared" si="26"/>
        <v>0</v>
      </c>
      <c r="U162" s="47">
        <f t="shared" si="27"/>
        <v>0</v>
      </c>
      <c r="V162" s="47">
        <f t="shared" si="28"/>
        <v>0</v>
      </c>
      <c r="W162" s="47">
        <f t="shared" si="29"/>
        <v>0</v>
      </c>
      <c r="X162" s="47">
        <f t="shared" si="30"/>
        <v>0</v>
      </c>
      <c r="Z162" s="41">
        <f>IF(EXACT(A162,LCI!A18),LCI!H18,-1*10^6)</f>
        <v>0</v>
      </c>
      <c r="AA162" s="71">
        <f t="shared" si="10"/>
        <v>0</v>
      </c>
      <c r="AB162" s="71">
        <f t="shared" si="11"/>
        <v>0</v>
      </c>
      <c r="AC162" s="71">
        <f t="shared" si="12"/>
        <v>0</v>
      </c>
      <c r="AD162" s="71">
        <f t="shared" si="13"/>
        <v>0</v>
      </c>
      <c r="AE162" s="71">
        <f t="shared" si="14"/>
        <v>0</v>
      </c>
      <c r="AF162" s="71">
        <f t="shared" si="15"/>
        <v>0</v>
      </c>
      <c r="AG162" s="71" t="e">
        <f>#REF!*$Z162</f>
        <v>#REF!</v>
      </c>
      <c r="AH162" s="71">
        <f t="shared" si="16"/>
        <v>0</v>
      </c>
      <c r="AI162" s="71">
        <f t="shared" si="17"/>
        <v>0</v>
      </c>
      <c r="AJ162" s="71">
        <f t="shared" si="18"/>
        <v>0</v>
      </c>
    </row>
    <row r="163" spans="1:36" x14ac:dyDescent="0.25">
      <c r="A163" s="14" t="str">
        <f>LCI!A19</f>
        <v>Forestry Seed (cuttings/yr)</v>
      </c>
      <c r="B163" s="42">
        <f>B18</f>
        <v>0</v>
      </c>
      <c r="C163" s="42">
        <f t="shared" ref="C163:L163" si="41">C18</f>
        <v>0</v>
      </c>
      <c r="D163" s="42">
        <f t="shared" si="41"/>
        <v>0</v>
      </c>
      <c r="E163" s="42">
        <f t="shared" si="41"/>
        <v>0</v>
      </c>
      <c r="F163" s="42"/>
      <c r="G163" s="42">
        <f t="shared" si="41"/>
        <v>0</v>
      </c>
      <c r="H163" s="42">
        <f t="shared" si="41"/>
        <v>0</v>
      </c>
      <c r="I163" s="42">
        <f t="shared" si="41"/>
        <v>0</v>
      </c>
      <c r="J163" s="42">
        <f t="shared" si="41"/>
        <v>0</v>
      </c>
      <c r="K163" s="42">
        <f t="shared" si="41"/>
        <v>0</v>
      </c>
      <c r="L163" s="42">
        <f t="shared" si="41"/>
        <v>0</v>
      </c>
      <c r="N163" s="45">
        <f>IF(EXACT(A163,LCI!A19),LCI!G19,-1*10^6)</f>
        <v>0.06</v>
      </c>
      <c r="O163" s="47">
        <f t="shared" si="21"/>
        <v>0</v>
      </c>
      <c r="P163" s="47">
        <f t="shared" si="22"/>
        <v>0</v>
      </c>
      <c r="Q163" s="47">
        <f t="shared" si="23"/>
        <v>0</v>
      </c>
      <c r="R163" s="47">
        <f t="shared" si="24"/>
        <v>0</v>
      </c>
      <c r="S163" s="47">
        <f t="shared" si="25"/>
        <v>0</v>
      </c>
      <c r="T163" s="47">
        <f t="shared" si="26"/>
        <v>0</v>
      </c>
      <c r="U163" s="47">
        <f t="shared" si="27"/>
        <v>0</v>
      </c>
      <c r="V163" s="47">
        <f t="shared" si="28"/>
        <v>0</v>
      </c>
      <c r="W163" s="47">
        <f t="shared" si="29"/>
        <v>0</v>
      </c>
      <c r="X163" s="47">
        <f t="shared" si="30"/>
        <v>0</v>
      </c>
      <c r="Z163" s="41">
        <f>IF(EXACT(A163,LCI!A19),LCI!H19,-1*10^6)</f>
        <v>13</v>
      </c>
      <c r="AA163" s="71">
        <f t="shared" si="10"/>
        <v>0</v>
      </c>
      <c r="AB163" s="71">
        <f t="shared" si="11"/>
        <v>0</v>
      </c>
      <c r="AC163" s="71">
        <f t="shared" si="12"/>
        <v>0</v>
      </c>
      <c r="AD163" s="71">
        <f t="shared" si="13"/>
        <v>0</v>
      </c>
      <c r="AE163" s="71">
        <f t="shared" si="14"/>
        <v>0</v>
      </c>
      <c r="AF163" s="71">
        <f t="shared" si="15"/>
        <v>0</v>
      </c>
      <c r="AG163" s="71" t="e">
        <f>#REF!*$Z163</f>
        <v>#REF!</v>
      </c>
      <c r="AH163" s="71">
        <f t="shared" si="16"/>
        <v>0</v>
      </c>
      <c r="AI163" s="71">
        <f t="shared" si="17"/>
        <v>0</v>
      </c>
      <c r="AJ163" s="71">
        <f t="shared" si="18"/>
        <v>0</v>
      </c>
    </row>
    <row r="164" spans="1:36" x14ac:dyDescent="0.25">
      <c r="A164" s="14" t="str">
        <f>LCI!A20</f>
        <v>FT Catalysts (kg/yr)</v>
      </c>
      <c r="B164" s="42">
        <f>B49</f>
        <v>0</v>
      </c>
      <c r="C164" s="42">
        <f t="shared" ref="C164:L164" si="42">C49</f>
        <v>0</v>
      </c>
      <c r="D164" s="42">
        <f t="shared" si="42"/>
        <v>0</v>
      </c>
      <c r="E164" s="42">
        <f t="shared" si="42"/>
        <v>0</v>
      </c>
      <c r="F164" s="42"/>
      <c r="G164" s="42">
        <f t="shared" si="42"/>
        <v>0</v>
      </c>
      <c r="H164" s="42">
        <f t="shared" si="42"/>
        <v>0</v>
      </c>
      <c r="I164" s="42">
        <f t="shared" si="42"/>
        <v>0</v>
      </c>
      <c r="J164" s="42">
        <f t="shared" si="42"/>
        <v>0</v>
      </c>
      <c r="K164" s="42">
        <f t="shared" si="42"/>
        <v>0</v>
      </c>
      <c r="L164" s="42">
        <f t="shared" si="42"/>
        <v>0</v>
      </c>
      <c r="N164" s="45">
        <f>IF(EXACT(A164,LCI!A20),LCI!G20,-1*10^6)</f>
        <v>47.64</v>
      </c>
      <c r="O164" s="47">
        <f t="shared" si="21"/>
        <v>0</v>
      </c>
      <c r="P164" s="47">
        <f t="shared" si="22"/>
        <v>0</v>
      </c>
      <c r="Q164" s="47">
        <f t="shared" si="23"/>
        <v>0</v>
      </c>
      <c r="R164" s="47">
        <f t="shared" si="24"/>
        <v>0</v>
      </c>
      <c r="S164" s="47">
        <f t="shared" si="25"/>
        <v>0</v>
      </c>
      <c r="T164" s="47">
        <f t="shared" si="26"/>
        <v>0</v>
      </c>
      <c r="U164" s="47">
        <f t="shared" si="27"/>
        <v>0</v>
      </c>
      <c r="V164" s="47">
        <f t="shared" si="28"/>
        <v>0</v>
      </c>
      <c r="W164" s="47">
        <f t="shared" si="29"/>
        <v>0</v>
      </c>
      <c r="X164" s="47">
        <f t="shared" si="30"/>
        <v>0</v>
      </c>
      <c r="Z164" s="41">
        <f>IF(EXACT(A164,LCI!A20),LCI!H20,-1*10^6)</f>
        <v>9576</v>
      </c>
      <c r="AA164" s="71">
        <f t="shared" si="10"/>
        <v>0</v>
      </c>
      <c r="AB164" s="71">
        <f t="shared" si="11"/>
        <v>0</v>
      </c>
      <c r="AC164" s="71">
        <f t="shared" si="12"/>
        <v>0</v>
      </c>
      <c r="AD164" s="71">
        <f t="shared" si="13"/>
        <v>0</v>
      </c>
      <c r="AE164" s="71">
        <f t="shared" si="14"/>
        <v>0</v>
      </c>
      <c r="AF164" s="71">
        <f t="shared" si="15"/>
        <v>0</v>
      </c>
      <c r="AG164" s="71" t="e">
        <f>#REF!*$Z164</f>
        <v>#REF!</v>
      </c>
      <c r="AH164" s="71">
        <f t="shared" si="16"/>
        <v>0</v>
      </c>
      <c r="AI164" s="71">
        <f t="shared" si="17"/>
        <v>0</v>
      </c>
      <c r="AJ164" s="71">
        <f t="shared" si="18"/>
        <v>0</v>
      </c>
    </row>
    <row r="165" spans="1:36" x14ac:dyDescent="0.25">
      <c r="A165" s="14" t="str">
        <f>LCI!A21</f>
        <v>Glucoamylase (kg/yr)</v>
      </c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N165" s="45">
        <f>IF(EXACT(A165,LCI!A21),LCI!G21,-1*10^6)</f>
        <v>0</v>
      </c>
      <c r="O165" s="47">
        <f t="shared" si="21"/>
        <v>0</v>
      </c>
      <c r="P165" s="47">
        <f t="shared" si="22"/>
        <v>0</v>
      </c>
      <c r="Q165" s="47">
        <f t="shared" si="23"/>
        <v>0</v>
      </c>
      <c r="R165" s="47">
        <f t="shared" si="24"/>
        <v>0</v>
      </c>
      <c r="S165" s="47">
        <f t="shared" si="25"/>
        <v>0</v>
      </c>
      <c r="T165" s="47">
        <f t="shared" si="26"/>
        <v>0</v>
      </c>
      <c r="U165" s="47">
        <f t="shared" si="27"/>
        <v>0</v>
      </c>
      <c r="V165" s="47">
        <f t="shared" si="28"/>
        <v>0</v>
      </c>
      <c r="W165" s="47">
        <f t="shared" si="29"/>
        <v>0</v>
      </c>
      <c r="X165" s="47">
        <f t="shared" si="30"/>
        <v>0</v>
      </c>
      <c r="Z165" s="41">
        <f>IF(EXACT(A165,LCI!A21),LCI!H21,-1*10^6)</f>
        <v>0</v>
      </c>
      <c r="AA165" s="71">
        <f t="shared" si="10"/>
        <v>0</v>
      </c>
      <c r="AB165" s="71">
        <f t="shared" ref="AB165:AB195" si="43">C165*$Z165</f>
        <v>0</v>
      </c>
      <c r="AC165" s="71">
        <f t="shared" ref="AC165:AC195" si="44">D165*$Z165</f>
        <v>0</v>
      </c>
      <c r="AD165" s="71">
        <f t="shared" ref="AD165:AD195" si="45">E165*$Z165</f>
        <v>0</v>
      </c>
      <c r="AE165" s="71">
        <f t="shared" ref="AE165:AE195" si="46">G165*$Z165</f>
        <v>0</v>
      </c>
      <c r="AF165" s="71">
        <f t="shared" ref="AF165:AF195" si="47">H165*$Z165</f>
        <v>0</v>
      </c>
      <c r="AG165" s="71" t="e">
        <f>#REF!*$Z165</f>
        <v>#REF!</v>
      </c>
      <c r="AH165" s="71">
        <f t="shared" ref="AH165:AH195" si="48">J165*$Z165</f>
        <v>0</v>
      </c>
      <c r="AI165" s="71">
        <f t="shared" ref="AI165:AI195" si="49">K165*$Z165</f>
        <v>0</v>
      </c>
      <c r="AJ165" s="71">
        <f t="shared" ref="AJ165:AJ195" si="50">L165*$Z165</f>
        <v>0</v>
      </c>
    </row>
    <row r="166" spans="1:36" x14ac:dyDescent="0.25">
      <c r="A166" s="14" t="str">
        <f>LCI!A22</f>
        <v>Glucose (kg/yr)</v>
      </c>
      <c r="B166" s="42">
        <f>B51</f>
        <v>0</v>
      </c>
      <c r="C166" s="42">
        <f t="shared" ref="C166:L166" si="51">C51</f>
        <v>0</v>
      </c>
      <c r="D166" s="42">
        <f t="shared" si="51"/>
        <v>0</v>
      </c>
      <c r="E166" s="42">
        <f t="shared" si="51"/>
        <v>0</v>
      </c>
      <c r="F166" s="42"/>
      <c r="G166" s="42">
        <f t="shared" si="51"/>
        <v>0</v>
      </c>
      <c r="H166" s="42">
        <f t="shared" si="51"/>
        <v>0</v>
      </c>
      <c r="I166" s="42">
        <f t="shared" si="51"/>
        <v>0</v>
      </c>
      <c r="J166" s="42">
        <f t="shared" si="51"/>
        <v>0</v>
      </c>
      <c r="K166" s="42">
        <f t="shared" si="51"/>
        <v>0</v>
      </c>
      <c r="L166" s="42">
        <f t="shared" si="51"/>
        <v>0</v>
      </c>
      <c r="N166" s="45">
        <f>IF(EXACT(A166,LCI!A22),LCI!G22,-1*10^6)</f>
        <v>0.66</v>
      </c>
      <c r="O166" s="47">
        <f t="shared" si="21"/>
        <v>0</v>
      </c>
      <c r="P166" s="47">
        <f t="shared" si="22"/>
        <v>0</v>
      </c>
      <c r="Q166" s="47">
        <f t="shared" si="23"/>
        <v>0</v>
      </c>
      <c r="R166" s="47">
        <f t="shared" si="24"/>
        <v>0</v>
      </c>
      <c r="S166" s="47">
        <f t="shared" si="25"/>
        <v>0</v>
      </c>
      <c r="T166" s="47">
        <f t="shared" si="26"/>
        <v>0</v>
      </c>
      <c r="U166" s="47">
        <f t="shared" si="27"/>
        <v>0</v>
      </c>
      <c r="V166" s="47">
        <f t="shared" si="28"/>
        <v>0</v>
      </c>
      <c r="W166" s="47">
        <f t="shared" si="29"/>
        <v>0</v>
      </c>
      <c r="X166" s="47">
        <f t="shared" si="30"/>
        <v>0</v>
      </c>
      <c r="Z166" s="41">
        <f>IF(EXACT(A166,LCI!A22),LCI!H22,-1*10^6)</f>
        <v>1448.71</v>
      </c>
      <c r="AA166" s="71">
        <f t="shared" si="10"/>
        <v>0</v>
      </c>
      <c r="AB166" s="71">
        <f t="shared" si="43"/>
        <v>0</v>
      </c>
      <c r="AC166" s="71">
        <f t="shared" si="44"/>
        <v>0</v>
      </c>
      <c r="AD166" s="71">
        <f t="shared" si="45"/>
        <v>0</v>
      </c>
      <c r="AE166" s="71">
        <f t="shared" si="46"/>
        <v>0</v>
      </c>
      <c r="AF166" s="71">
        <f t="shared" si="47"/>
        <v>0</v>
      </c>
      <c r="AG166" s="71" t="e">
        <f>#REF!*$Z166</f>
        <v>#REF!</v>
      </c>
      <c r="AH166" s="71">
        <f t="shared" si="48"/>
        <v>0</v>
      </c>
      <c r="AI166" s="71">
        <f t="shared" si="49"/>
        <v>0</v>
      </c>
      <c r="AJ166" s="71">
        <f t="shared" si="50"/>
        <v>0</v>
      </c>
    </row>
    <row r="167" spans="1:36" x14ac:dyDescent="0.25">
      <c r="A167" s="14" t="str">
        <f>LCI!A24</f>
        <v>Grass Seed (kg/yr)</v>
      </c>
      <c r="B167" s="42">
        <f>B19</f>
        <v>0</v>
      </c>
      <c r="C167" s="42">
        <f t="shared" ref="C167:L167" si="52">C19</f>
        <v>0</v>
      </c>
      <c r="D167" s="42">
        <f t="shared" si="52"/>
        <v>0</v>
      </c>
      <c r="E167" s="42">
        <f t="shared" si="52"/>
        <v>0</v>
      </c>
      <c r="F167" s="42"/>
      <c r="G167" s="42">
        <f t="shared" si="52"/>
        <v>0</v>
      </c>
      <c r="H167" s="42">
        <f t="shared" si="52"/>
        <v>0</v>
      </c>
      <c r="I167" s="42">
        <f t="shared" si="52"/>
        <v>0</v>
      </c>
      <c r="J167" s="42">
        <f t="shared" si="52"/>
        <v>0</v>
      </c>
      <c r="K167" s="42">
        <f t="shared" si="52"/>
        <v>0</v>
      </c>
      <c r="L167" s="42">
        <f t="shared" si="52"/>
        <v>0</v>
      </c>
      <c r="N167" s="45">
        <f>IF(EXACT(A167,LCI!A24),LCI!G24,-1*10^6)</f>
        <v>22</v>
      </c>
      <c r="O167" s="47">
        <f t="shared" si="21"/>
        <v>0</v>
      </c>
      <c r="P167" s="47">
        <f t="shared" si="22"/>
        <v>0</v>
      </c>
      <c r="Q167" s="47">
        <f t="shared" si="23"/>
        <v>0</v>
      </c>
      <c r="R167" s="47">
        <f t="shared" si="24"/>
        <v>0</v>
      </c>
      <c r="S167" s="47">
        <f t="shared" si="25"/>
        <v>0</v>
      </c>
      <c r="T167" s="47">
        <f t="shared" si="26"/>
        <v>0</v>
      </c>
      <c r="U167" s="47">
        <f t="shared" si="27"/>
        <v>0</v>
      </c>
      <c r="V167" s="47">
        <f t="shared" si="28"/>
        <v>0</v>
      </c>
      <c r="W167" s="47">
        <f t="shared" si="29"/>
        <v>0</v>
      </c>
      <c r="X167" s="47">
        <f t="shared" si="30"/>
        <v>0</v>
      </c>
      <c r="Z167" s="41">
        <f>IF(EXACT(A167,LCI!A24),LCI!H24,-1*10^6)</f>
        <v>1793.01</v>
      </c>
      <c r="AA167" s="71">
        <f t="shared" si="10"/>
        <v>0</v>
      </c>
      <c r="AB167" s="71">
        <f t="shared" si="43"/>
        <v>0</v>
      </c>
      <c r="AC167" s="71">
        <f t="shared" si="44"/>
        <v>0</v>
      </c>
      <c r="AD167" s="71">
        <f t="shared" si="45"/>
        <v>0</v>
      </c>
      <c r="AE167" s="71">
        <f t="shared" si="46"/>
        <v>0</v>
      </c>
      <c r="AF167" s="71">
        <f t="shared" si="47"/>
        <v>0</v>
      </c>
      <c r="AG167" s="71" t="e">
        <f>#REF!*$Z167</f>
        <v>#REF!</v>
      </c>
      <c r="AH167" s="71">
        <f t="shared" si="48"/>
        <v>0</v>
      </c>
      <c r="AI167" s="71">
        <f t="shared" si="49"/>
        <v>0</v>
      </c>
      <c r="AJ167" s="71">
        <f t="shared" si="50"/>
        <v>0</v>
      </c>
    </row>
    <row r="168" spans="1:36" x14ac:dyDescent="0.25">
      <c r="A168" s="14" t="str">
        <f>LCI!A25</f>
        <v>Herbicide (kg/yr)</v>
      </c>
      <c r="B168" s="42">
        <f>B20</f>
        <v>241.37063683200009</v>
      </c>
      <c r="C168" s="42">
        <f t="shared" ref="C168:L168" si="53">C20</f>
        <v>241.37063683200009</v>
      </c>
      <c r="D168" s="42">
        <f t="shared" si="53"/>
        <v>121.30000000000001</v>
      </c>
      <c r="E168" s="42">
        <f t="shared" si="53"/>
        <v>121.30000000000001</v>
      </c>
      <c r="F168" s="42"/>
      <c r="G168" s="42">
        <f t="shared" si="53"/>
        <v>0</v>
      </c>
      <c r="H168" s="42">
        <f t="shared" si="53"/>
        <v>0</v>
      </c>
      <c r="I168" s="42">
        <f t="shared" si="53"/>
        <v>0</v>
      </c>
      <c r="J168" s="42">
        <f t="shared" si="53"/>
        <v>0</v>
      </c>
      <c r="K168" s="42">
        <f t="shared" si="53"/>
        <v>0</v>
      </c>
      <c r="L168" s="42">
        <f t="shared" si="53"/>
        <v>0</v>
      </c>
      <c r="N168" s="45">
        <f>IF(EXACT(A168,LCI!A25),LCI!G25,-1*10^6)</f>
        <v>13.210039630000001</v>
      </c>
      <c r="O168" s="47">
        <f t="shared" si="21"/>
        <v>3188.515678069059</v>
      </c>
      <c r="P168" s="47">
        <f t="shared" si="22"/>
        <v>3188.515678069059</v>
      </c>
      <c r="Q168" s="47">
        <f t="shared" si="23"/>
        <v>1602.3778071190002</v>
      </c>
      <c r="R168" s="47">
        <f t="shared" si="24"/>
        <v>1602.3778071190002</v>
      </c>
      <c r="S168" s="47">
        <f t="shared" si="25"/>
        <v>0</v>
      </c>
      <c r="T168" s="47">
        <f t="shared" si="26"/>
        <v>0</v>
      </c>
      <c r="U168" s="47">
        <f t="shared" si="27"/>
        <v>0</v>
      </c>
      <c r="V168" s="47">
        <f t="shared" si="28"/>
        <v>0</v>
      </c>
      <c r="W168" s="47">
        <f t="shared" si="29"/>
        <v>0</v>
      </c>
      <c r="X168" s="47">
        <f t="shared" si="30"/>
        <v>0</v>
      </c>
      <c r="Z168" s="41">
        <f>IF(EXACT(A168,LCI!A25),LCI!H25,-1*10^6)</f>
        <v>8777.34</v>
      </c>
      <c r="AA168" s="71">
        <f t="shared" si="10"/>
        <v>0</v>
      </c>
      <c r="AB168" s="71">
        <f t="shared" si="43"/>
        <v>2118592.1454909877</v>
      </c>
      <c r="AC168" s="71">
        <f t="shared" si="44"/>
        <v>1064691.3420000002</v>
      </c>
      <c r="AD168" s="71">
        <f t="shared" si="45"/>
        <v>1064691.3420000002</v>
      </c>
      <c r="AE168" s="71">
        <f t="shared" si="46"/>
        <v>0</v>
      </c>
      <c r="AF168" s="71">
        <f t="shared" si="47"/>
        <v>0</v>
      </c>
      <c r="AG168" s="71" t="e">
        <f>#REF!*$Z168</f>
        <v>#REF!</v>
      </c>
      <c r="AH168" s="71">
        <f t="shared" si="48"/>
        <v>0</v>
      </c>
      <c r="AI168" s="71">
        <f t="shared" si="49"/>
        <v>0</v>
      </c>
      <c r="AJ168" s="71">
        <f t="shared" si="50"/>
        <v>0</v>
      </c>
    </row>
    <row r="169" spans="1:36" x14ac:dyDescent="0.25">
      <c r="A169" s="14" t="str">
        <f>LCI!A26</f>
        <v>Hexane (kg/yr)</v>
      </c>
      <c r="B169" s="42">
        <f>B52</f>
        <v>238.35350387160008</v>
      </c>
      <c r="C169" s="42">
        <f t="shared" ref="C169:L169" si="54">C52</f>
        <v>238.35350387160008</v>
      </c>
      <c r="D169" s="42">
        <f t="shared" si="54"/>
        <v>0</v>
      </c>
      <c r="E169" s="42">
        <f t="shared" si="54"/>
        <v>0</v>
      </c>
      <c r="F169" s="42"/>
      <c r="G169" s="42">
        <f t="shared" si="54"/>
        <v>0</v>
      </c>
      <c r="H169" s="42">
        <f t="shared" si="54"/>
        <v>0</v>
      </c>
      <c r="I169" s="42">
        <f t="shared" si="54"/>
        <v>0</v>
      </c>
      <c r="J169" s="42">
        <f t="shared" si="54"/>
        <v>0</v>
      </c>
      <c r="K169" s="42">
        <f t="shared" si="54"/>
        <v>0</v>
      </c>
      <c r="L169" s="42">
        <f t="shared" si="54"/>
        <v>0</v>
      </c>
      <c r="N169" s="45">
        <f>IF(EXACT(A169,LCI!A26),LCI!G26,-1*10^6)</f>
        <v>0.91200000000000003</v>
      </c>
      <c r="O169" s="47">
        <f t="shared" si="21"/>
        <v>217.3783955308993</v>
      </c>
      <c r="P169" s="47">
        <f t="shared" si="22"/>
        <v>217.3783955308993</v>
      </c>
      <c r="Q169" s="47">
        <f t="shared" si="23"/>
        <v>0</v>
      </c>
      <c r="R169" s="47">
        <f t="shared" si="24"/>
        <v>0</v>
      </c>
      <c r="S169" s="47">
        <f t="shared" si="25"/>
        <v>0</v>
      </c>
      <c r="T169" s="47">
        <f t="shared" si="26"/>
        <v>0</v>
      </c>
      <c r="U169" s="47">
        <f t="shared" si="27"/>
        <v>0</v>
      </c>
      <c r="V169" s="47">
        <f t="shared" si="28"/>
        <v>0</v>
      </c>
      <c r="W169" s="47">
        <f t="shared" si="29"/>
        <v>0</v>
      </c>
      <c r="X169" s="47">
        <f t="shared" si="30"/>
        <v>0</v>
      </c>
      <c r="Z169" s="41">
        <f>IF(EXACT(A169,LCI!A26),LCI!H26,-1*10^6)</f>
        <v>961.05</v>
      </c>
      <c r="AA169" s="71">
        <f t="shared" si="10"/>
        <v>0</v>
      </c>
      <c r="AB169" s="71">
        <f t="shared" si="43"/>
        <v>229069.63489580125</v>
      </c>
      <c r="AC169" s="71">
        <f t="shared" si="44"/>
        <v>0</v>
      </c>
      <c r="AD169" s="71">
        <f t="shared" si="45"/>
        <v>0</v>
      </c>
      <c r="AE169" s="71">
        <f t="shared" si="46"/>
        <v>0</v>
      </c>
      <c r="AF169" s="71">
        <f t="shared" si="47"/>
        <v>0</v>
      </c>
      <c r="AG169" s="71" t="e">
        <f>#REF!*$Z169</f>
        <v>#REF!</v>
      </c>
      <c r="AH169" s="71">
        <f t="shared" si="48"/>
        <v>0</v>
      </c>
      <c r="AI169" s="71">
        <f t="shared" si="49"/>
        <v>0</v>
      </c>
      <c r="AJ169" s="71">
        <f t="shared" si="50"/>
        <v>0</v>
      </c>
    </row>
    <row r="170" spans="1:36" x14ac:dyDescent="0.25">
      <c r="A170" s="14" t="str">
        <f>LCI!A27</f>
        <v>Insecticide (kg/yr)</v>
      </c>
      <c r="B170" s="42">
        <f>B21</f>
        <v>6.0342659208000029</v>
      </c>
      <c r="C170" s="42">
        <f t="shared" ref="C170:L170" si="55">C21</f>
        <v>6.0342659208000029</v>
      </c>
      <c r="D170" s="42">
        <f t="shared" si="55"/>
        <v>0</v>
      </c>
      <c r="E170" s="42">
        <f t="shared" si="55"/>
        <v>0</v>
      </c>
      <c r="F170" s="42"/>
      <c r="G170" s="42">
        <f t="shared" si="55"/>
        <v>0</v>
      </c>
      <c r="H170" s="42">
        <f t="shared" si="55"/>
        <v>0</v>
      </c>
      <c r="I170" s="42">
        <f t="shared" si="55"/>
        <v>0</v>
      </c>
      <c r="J170" s="42">
        <f t="shared" si="55"/>
        <v>0</v>
      </c>
      <c r="K170" s="42">
        <f t="shared" si="55"/>
        <v>0</v>
      </c>
      <c r="L170" s="42">
        <f t="shared" si="55"/>
        <v>0</v>
      </c>
      <c r="N170" s="45">
        <f>IF(EXACT(A170,LCI!A27),LCI!G27,-1*10^6)</f>
        <v>26.420079260000001</v>
      </c>
      <c r="O170" s="47">
        <f t="shared" si="21"/>
        <v>159.42578390345298</v>
      </c>
      <c r="P170" s="47">
        <f t="shared" si="22"/>
        <v>159.42578390345298</v>
      </c>
      <c r="Q170" s="47">
        <f t="shared" si="23"/>
        <v>0</v>
      </c>
      <c r="R170" s="47">
        <f t="shared" si="24"/>
        <v>0</v>
      </c>
      <c r="S170" s="47">
        <f t="shared" si="25"/>
        <v>0</v>
      </c>
      <c r="T170" s="47">
        <f t="shared" si="26"/>
        <v>0</v>
      </c>
      <c r="U170" s="47">
        <f t="shared" si="27"/>
        <v>0</v>
      </c>
      <c r="V170" s="47">
        <f t="shared" si="28"/>
        <v>0</v>
      </c>
      <c r="W170" s="47">
        <f t="shared" si="29"/>
        <v>0</v>
      </c>
      <c r="X170" s="47">
        <f t="shared" si="30"/>
        <v>0</v>
      </c>
      <c r="Z170" s="41">
        <f>IF(EXACT(A170,LCI!A27),LCI!H27,-1*10^6)</f>
        <v>1863</v>
      </c>
      <c r="AA170" s="71">
        <f t="shared" si="10"/>
        <v>0</v>
      </c>
      <c r="AB170" s="71">
        <f t="shared" si="43"/>
        <v>11241.837410450406</v>
      </c>
      <c r="AC170" s="71">
        <f t="shared" si="44"/>
        <v>0</v>
      </c>
      <c r="AD170" s="71">
        <f t="shared" si="45"/>
        <v>0</v>
      </c>
      <c r="AE170" s="71">
        <f t="shared" si="46"/>
        <v>0</v>
      </c>
      <c r="AF170" s="71">
        <f t="shared" si="47"/>
        <v>0</v>
      </c>
      <c r="AG170" s="71" t="e">
        <f>#REF!*$Z170</f>
        <v>#REF!</v>
      </c>
      <c r="AH170" s="71">
        <f t="shared" si="48"/>
        <v>0</v>
      </c>
      <c r="AI170" s="71">
        <f t="shared" si="49"/>
        <v>0</v>
      </c>
      <c r="AJ170" s="71">
        <f t="shared" si="50"/>
        <v>0</v>
      </c>
    </row>
    <row r="171" spans="1:36" x14ac:dyDescent="0.25">
      <c r="A171" s="14" t="str">
        <f>LCI!A28</f>
        <v>Lime, Ag (kg/yr)</v>
      </c>
      <c r="B171" s="42">
        <f>B13</f>
        <v>0</v>
      </c>
      <c r="C171" s="42">
        <f t="shared" ref="C171:L171" si="56">C13</f>
        <v>0</v>
      </c>
      <c r="D171" s="42">
        <f t="shared" si="56"/>
        <v>52900</v>
      </c>
      <c r="E171" s="42">
        <f t="shared" si="56"/>
        <v>52900</v>
      </c>
      <c r="F171" s="42"/>
      <c r="G171" s="42">
        <f t="shared" si="56"/>
        <v>0</v>
      </c>
      <c r="H171" s="42">
        <f t="shared" si="56"/>
        <v>0</v>
      </c>
      <c r="I171" s="42">
        <f t="shared" si="56"/>
        <v>0</v>
      </c>
      <c r="J171" s="42">
        <f t="shared" si="56"/>
        <v>0</v>
      </c>
      <c r="K171" s="42">
        <f t="shared" si="56"/>
        <v>0</v>
      </c>
      <c r="L171" s="42">
        <f t="shared" si="56"/>
        <v>0</v>
      </c>
      <c r="N171" s="45">
        <f>IF(EXACT(A171,LCI!A28),LCI!G28,-1*10^6)</f>
        <v>0.04</v>
      </c>
      <c r="O171" s="47">
        <f t="shared" si="21"/>
        <v>0</v>
      </c>
      <c r="P171" s="47">
        <f t="shared" si="22"/>
        <v>0</v>
      </c>
      <c r="Q171" s="47">
        <f t="shared" si="23"/>
        <v>2116</v>
      </c>
      <c r="R171" s="47">
        <f t="shared" si="24"/>
        <v>2116</v>
      </c>
      <c r="S171" s="47">
        <f t="shared" si="25"/>
        <v>0</v>
      </c>
      <c r="T171" s="47">
        <f t="shared" si="26"/>
        <v>0</v>
      </c>
      <c r="U171" s="47">
        <f t="shared" si="27"/>
        <v>0</v>
      </c>
      <c r="V171" s="47">
        <f t="shared" si="28"/>
        <v>0</v>
      </c>
      <c r="W171" s="47">
        <f t="shared" si="29"/>
        <v>0</v>
      </c>
      <c r="X171" s="47">
        <f t="shared" si="30"/>
        <v>0</v>
      </c>
      <c r="Z171" s="41">
        <f>IF(EXACT(A171,LCI!A28),LCI!H28,-1*10^6)</f>
        <v>41.75</v>
      </c>
      <c r="AA171" s="71">
        <f t="shared" si="10"/>
        <v>0</v>
      </c>
      <c r="AB171" s="71">
        <f t="shared" si="43"/>
        <v>0</v>
      </c>
      <c r="AC171" s="71">
        <f t="shared" si="44"/>
        <v>2208575</v>
      </c>
      <c r="AD171" s="71">
        <f t="shared" si="45"/>
        <v>2208575</v>
      </c>
      <c r="AE171" s="71">
        <f t="shared" si="46"/>
        <v>0</v>
      </c>
      <c r="AF171" s="71">
        <f t="shared" si="47"/>
        <v>0</v>
      </c>
      <c r="AG171" s="71" t="e">
        <f>#REF!*$Z171</f>
        <v>#REF!</v>
      </c>
      <c r="AH171" s="71">
        <f t="shared" si="48"/>
        <v>0</v>
      </c>
      <c r="AI171" s="71">
        <f t="shared" si="49"/>
        <v>0</v>
      </c>
      <c r="AJ171" s="71">
        <f t="shared" si="50"/>
        <v>0</v>
      </c>
    </row>
    <row r="172" spans="1:36" x14ac:dyDescent="0.25">
      <c r="A172" s="14" t="str">
        <f>LCI!A29</f>
        <v>Lime, Hydrated (kg/yr)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N172" s="45">
        <f>IF(EXACT(A172,LCI!A29),LCI!G29,-1*10^6)</f>
        <v>0</v>
      </c>
      <c r="O172" s="47">
        <f t="shared" si="21"/>
        <v>0</v>
      </c>
      <c r="P172" s="47">
        <f t="shared" si="22"/>
        <v>0</v>
      </c>
      <c r="Q172" s="47">
        <f t="shared" si="23"/>
        <v>0</v>
      </c>
      <c r="R172" s="47">
        <f t="shared" si="24"/>
        <v>0</v>
      </c>
      <c r="S172" s="47">
        <f t="shared" si="25"/>
        <v>0</v>
      </c>
      <c r="T172" s="47">
        <f t="shared" si="26"/>
        <v>0</v>
      </c>
      <c r="U172" s="47">
        <f t="shared" si="27"/>
        <v>0</v>
      </c>
      <c r="V172" s="47">
        <f t="shared" si="28"/>
        <v>0</v>
      </c>
      <c r="W172" s="47">
        <f t="shared" si="29"/>
        <v>0</v>
      </c>
      <c r="X172" s="47">
        <f t="shared" si="30"/>
        <v>0</v>
      </c>
      <c r="Z172" s="41">
        <f>IF(EXACT(A172,LCI!A29),LCI!H29,-1*10^6)</f>
        <v>906.23</v>
      </c>
      <c r="AA172" s="71">
        <f t="shared" si="10"/>
        <v>0</v>
      </c>
      <c r="AB172" s="71">
        <f t="shared" si="43"/>
        <v>0</v>
      </c>
      <c r="AC172" s="71">
        <f t="shared" si="44"/>
        <v>0</v>
      </c>
      <c r="AD172" s="71">
        <f t="shared" si="45"/>
        <v>0</v>
      </c>
      <c r="AE172" s="71">
        <f t="shared" si="46"/>
        <v>0</v>
      </c>
      <c r="AF172" s="71">
        <f t="shared" si="47"/>
        <v>0</v>
      </c>
      <c r="AG172" s="71" t="e">
        <f>#REF!*$Z172</f>
        <v>#REF!</v>
      </c>
      <c r="AH172" s="71">
        <f t="shared" si="48"/>
        <v>0</v>
      </c>
      <c r="AI172" s="71">
        <f t="shared" si="49"/>
        <v>0</v>
      </c>
      <c r="AJ172" s="71">
        <f t="shared" si="50"/>
        <v>0</v>
      </c>
    </row>
    <row r="173" spans="1:36" x14ac:dyDescent="0.25">
      <c r="A173" s="14" t="str">
        <f>LCI!A30</f>
        <v>Methanol (kg/yr)</v>
      </c>
      <c r="B173" s="42">
        <f>B72</f>
        <v>6600.8378349680961</v>
      </c>
      <c r="C173" s="42">
        <f t="shared" ref="C173:L173" si="57">C72</f>
        <v>0</v>
      </c>
      <c r="D173" s="42">
        <f t="shared" si="57"/>
        <v>0</v>
      </c>
      <c r="E173" s="42">
        <f t="shared" si="57"/>
        <v>0</v>
      </c>
      <c r="F173" s="42">
        <f t="shared" si="57"/>
        <v>0</v>
      </c>
      <c r="G173" s="42">
        <f t="shared" si="57"/>
        <v>0</v>
      </c>
      <c r="H173" s="42">
        <f t="shared" si="57"/>
        <v>0</v>
      </c>
      <c r="I173" s="42">
        <f t="shared" si="57"/>
        <v>0</v>
      </c>
      <c r="J173" s="42">
        <f t="shared" si="57"/>
        <v>0</v>
      </c>
      <c r="K173" s="42">
        <f t="shared" si="57"/>
        <v>0</v>
      </c>
      <c r="L173" s="42">
        <f t="shared" si="57"/>
        <v>0</v>
      </c>
      <c r="N173" s="45">
        <f>IF(EXACT(A173,LCI!A30),LCI!G30,-1*10^6)</f>
        <v>0.34</v>
      </c>
      <c r="O173" s="47">
        <f t="shared" si="21"/>
        <v>2244.2848638891528</v>
      </c>
      <c r="P173" s="47">
        <f t="shared" si="22"/>
        <v>0</v>
      </c>
      <c r="Q173" s="47">
        <f t="shared" si="23"/>
        <v>0</v>
      </c>
      <c r="R173" s="47">
        <f t="shared" si="24"/>
        <v>0</v>
      </c>
      <c r="S173" s="47">
        <f t="shared" si="25"/>
        <v>0</v>
      </c>
      <c r="T173" s="47">
        <f t="shared" si="26"/>
        <v>0</v>
      </c>
      <c r="U173" s="47">
        <f t="shared" si="27"/>
        <v>0</v>
      </c>
      <c r="V173" s="47">
        <f t="shared" si="28"/>
        <v>0</v>
      </c>
      <c r="W173" s="47">
        <f t="shared" si="29"/>
        <v>0</v>
      </c>
      <c r="X173" s="47">
        <f t="shared" si="30"/>
        <v>0</v>
      </c>
      <c r="Z173" s="41">
        <f>IF(EXACT(A173,LCI!A30),LCI!H30,-1*10^6)</f>
        <v>11.4276</v>
      </c>
      <c r="AA173" s="71">
        <f t="shared" si="10"/>
        <v>0</v>
      </c>
      <c r="AB173" s="71">
        <f t="shared" si="43"/>
        <v>0</v>
      </c>
      <c r="AC173" s="71">
        <f t="shared" si="44"/>
        <v>0</v>
      </c>
      <c r="AD173" s="71">
        <f t="shared" si="45"/>
        <v>0</v>
      </c>
      <c r="AE173" s="71">
        <f t="shared" si="46"/>
        <v>0</v>
      </c>
      <c r="AF173" s="71">
        <f t="shared" si="47"/>
        <v>0</v>
      </c>
      <c r="AG173" s="71" t="e">
        <f>#REF!*$Z173</f>
        <v>#REF!</v>
      </c>
      <c r="AH173" s="71">
        <f t="shared" si="48"/>
        <v>0</v>
      </c>
      <c r="AI173" s="71">
        <f t="shared" si="49"/>
        <v>0</v>
      </c>
      <c r="AJ173" s="71">
        <f t="shared" si="50"/>
        <v>0</v>
      </c>
    </row>
    <row r="174" spans="1:36" x14ac:dyDescent="0.25">
      <c r="A174" s="14" t="str">
        <f>LCI!A31</f>
        <v>MSW (kg/yr)</v>
      </c>
      <c r="B174" s="42">
        <f>B22</f>
        <v>0</v>
      </c>
      <c r="C174" s="42">
        <f t="shared" ref="C174:L174" si="58">C22</f>
        <v>0</v>
      </c>
      <c r="D174" s="42">
        <f t="shared" si="58"/>
        <v>0</v>
      </c>
      <c r="E174" s="42">
        <f t="shared" si="58"/>
        <v>0</v>
      </c>
      <c r="F174" s="42"/>
      <c r="G174" s="42">
        <f t="shared" si="58"/>
        <v>0</v>
      </c>
      <c r="H174" s="42">
        <f t="shared" si="58"/>
        <v>0</v>
      </c>
      <c r="I174" s="42">
        <f t="shared" si="58"/>
        <v>0</v>
      </c>
      <c r="J174" s="42">
        <f t="shared" si="58"/>
        <v>0</v>
      </c>
      <c r="K174" s="42">
        <f t="shared" si="58"/>
        <v>0</v>
      </c>
      <c r="L174" s="42">
        <f t="shared" si="58"/>
        <v>0</v>
      </c>
      <c r="N174" s="45">
        <f>IF(EXACT(A174,LCI!A31),LCI!G31,-1*10^6)</f>
        <v>0</v>
      </c>
      <c r="O174" s="47">
        <f t="shared" si="21"/>
        <v>0</v>
      </c>
      <c r="P174" s="47">
        <f t="shared" si="22"/>
        <v>0</v>
      </c>
      <c r="Q174" s="47">
        <f t="shared" si="23"/>
        <v>0</v>
      </c>
      <c r="R174" s="47">
        <f t="shared" si="24"/>
        <v>0</v>
      </c>
      <c r="S174" s="47">
        <f t="shared" si="25"/>
        <v>0</v>
      </c>
      <c r="T174" s="47">
        <f t="shared" si="26"/>
        <v>0</v>
      </c>
      <c r="U174" s="47">
        <f t="shared" si="27"/>
        <v>0</v>
      </c>
      <c r="V174" s="47">
        <f t="shared" si="28"/>
        <v>0</v>
      </c>
      <c r="W174" s="47">
        <f t="shared" si="29"/>
        <v>0</v>
      </c>
      <c r="X174" s="47">
        <f t="shared" si="30"/>
        <v>0</v>
      </c>
      <c r="Z174" s="41">
        <f>IF(EXACT(A174,LCI!A31),LCI!H31,-1*10^6)</f>
        <v>0</v>
      </c>
      <c r="AA174" s="71">
        <f t="shared" si="10"/>
        <v>0</v>
      </c>
      <c r="AB174" s="71">
        <f t="shared" si="43"/>
        <v>0</v>
      </c>
      <c r="AC174" s="71">
        <f t="shared" si="44"/>
        <v>0</v>
      </c>
      <c r="AD174" s="71">
        <f t="shared" si="45"/>
        <v>0</v>
      </c>
      <c r="AE174" s="71">
        <f t="shared" si="46"/>
        <v>0</v>
      </c>
      <c r="AF174" s="71">
        <f t="shared" si="47"/>
        <v>0</v>
      </c>
      <c r="AG174" s="71" t="e">
        <f>#REF!*$Z174</f>
        <v>#REF!</v>
      </c>
      <c r="AH174" s="71">
        <f t="shared" si="48"/>
        <v>0</v>
      </c>
      <c r="AI174" s="71">
        <f t="shared" si="49"/>
        <v>0</v>
      </c>
      <c r="AJ174" s="71">
        <f t="shared" si="50"/>
        <v>0</v>
      </c>
    </row>
    <row r="175" spans="1:36" x14ac:dyDescent="0.25">
      <c r="A175" s="14" t="str">
        <f>LCI!A32</f>
        <v>Nitrogen in Fertilizer (kg/yr)</v>
      </c>
      <c r="B175" s="42">
        <f>B23</f>
        <v>603.4265920800002</v>
      </c>
      <c r="C175" s="42">
        <f t="shared" ref="C175:L175" si="59">C23</f>
        <v>603.4265920800002</v>
      </c>
      <c r="D175" s="42">
        <f t="shared" si="59"/>
        <v>18460</v>
      </c>
      <c r="E175" s="42">
        <f t="shared" si="59"/>
        <v>18460</v>
      </c>
      <c r="F175" s="42"/>
      <c r="G175" s="42">
        <f t="shared" si="59"/>
        <v>0</v>
      </c>
      <c r="H175" s="42">
        <f t="shared" si="59"/>
        <v>0</v>
      </c>
      <c r="I175" s="42">
        <f t="shared" si="59"/>
        <v>293554.17</v>
      </c>
      <c r="J175" s="42">
        <f t="shared" si="59"/>
        <v>0</v>
      </c>
      <c r="K175" s="42">
        <f t="shared" si="59"/>
        <v>0</v>
      </c>
      <c r="L175" s="42">
        <f t="shared" si="59"/>
        <v>0</v>
      </c>
      <c r="N175" s="45">
        <f>IF(EXACT(A175,LCI!A32),LCI!G32,-1*10^6)</f>
        <v>0.56759999999999999</v>
      </c>
      <c r="O175" s="47">
        <f t="shared" si="21"/>
        <v>342.50493366460813</v>
      </c>
      <c r="P175" s="47">
        <f t="shared" si="22"/>
        <v>342.50493366460813</v>
      </c>
      <c r="Q175" s="47">
        <f t="shared" si="23"/>
        <v>10477.896000000001</v>
      </c>
      <c r="R175" s="47">
        <f t="shared" si="24"/>
        <v>10477.896000000001</v>
      </c>
      <c r="S175" s="47">
        <f t="shared" si="25"/>
        <v>0</v>
      </c>
      <c r="T175" s="47">
        <f t="shared" si="26"/>
        <v>0</v>
      </c>
      <c r="U175" s="47">
        <f t="shared" si="27"/>
        <v>166621.346892</v>
      </c>
      <c r="V175" s="47">
        <f t="shared" si="28"/>
        <v>0</v>
      </c>
      <c r="W175" s="47">
        <f t="shared" si="29"/>
        <v>0</v>
      </c>
      <c r="X175" s="47">
        <f t="shared" si="30"/>
        <v>0</v>
      </c>
      <c r="Z175" s="41">
        <f>IF(EXACT(A175,LCI!A32),LCI!H32,-1*10^6)</f>
        <v>3344.62</v>
      </c>
      <c r="AA175" s="71">
        <f t="shared" si="10"/>
        <v>981827148.06539989</v>
      </c>
      <c r="AB175" s="71">
        <f t="shared" si="43"/>
        <v>2018232.6484026103</v>
      </c>
      <c r="AC175" s="71">
        <f t="shared" si="44"/>
        <v>61741685.199999996</v>
      </c>
      <c r="AD175" s="71">
        <f t="shared" si="45"/>
        <v>61741685.199999996</v>
      </c>
      <c r="AE175" s="71">
        <f t="shared" si="46"/>
        <v>0</v>
      </c>
      <c r="AF175" s="71">
        <f t="shared" si="47"/>
        <v>0</v>
      </c>
      <c r="AG175" s="71" t="e">
        <f>#REF!*$Z175</f>
        <v>#REF!</v>
      </c>
      <c r="AH175" s="71">
        <f t="shared" si="48"/>
        <v>0</v>
      </c>
      <c r="AI175" s="71">
        <f t="shared" si="49"/>
        <v>0</v>
      </c>
      <c r="AJ175" s="71">
        <f t="shared" si="50"/>
        <v>0</v>
      </c>
    </row>
    <row r="176" spans="1:36" x14ac:dyDescent="0.25">
      <c r="A176" s="14" t="str">
        <f>LCI!A33</f>
        <v>Phosphoric Acid (kg/yr)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N176" s="45">
        <f>IF(EXACT(A176,LCI!A33),LCI!G33,-1*10^6)</f>
        <v>0</v>
      </c>
      <c r="O176" s="47">
        <f t="shared" si="21"/>
        <v>0</v>
      </c>
      <c r="P176" s="47">
        <f t="shared" si="22"/>
        <v>0</v>
      </c>
      <c r="Q176" s="47">
        <f t="shared" si="23"/>
        <v>0</v>
      </c>
      <c r="R176" s="47">
        <f t="shared" si="24"/>
        <v>0</v>
      </c>
      <c r="S176" s="47">
        <f t="shared" si="25"/>
        <v>0</v>
      </c>
      <c r="T176" s="47">
        <f t="shared" si="26"/>
        <v>0</v>
      </c>
      <c r="U176" s="47">
        <f t="shared" si="27"/>
        <v>0</v>
      </c>
      <c r="V176" s="47">
        <f t="shared" si="28"/>
        <v>0</v>
      </c>
      <c r="W176" s="47">
        <f t="shared" si="29"/>
        <v>0</v>
      </c>
      <c r="X176" s="47">
        <f t="shared" si="30"/>
        <v>0</v>
      </c>
      <c r="Z176" s="41">
        <f>IF(EXACT(A176,LCI!A33),LCI!H33,-1*10^6)</f>
        <v>2811.39</v>
      </c>
      <c r="AA176" s="71">
        <f t="shared" si="10"/>
        <v>0</v>
      </c>
      <c r="AB176" s="71">
        <f t="shared" si="43"/>
        <v>0</v>
      </c>
      <c r="AC176" s="71">
        <f t="shared" si="44"/>
        <v>0</v>
      </c>
      <c r="AD176" s="71">
        <f t="shared" si="45"/>
        <v>0</v>
      </c>
      <c r="AE176" s="71">
        <f t="shared" si="46"/>
        <v>0</v>
      </c>
      <c r="AF176" s="71">
        <f t="shared" si="47"/>
        <v>0</v>
      </c>
      <c r="AG176" s="71" t="e">
        <f>#REF!*$Z176</f>
        <v>#REF!</v>
      </c>
      <c r="AH176" s="71">
        <f t="shared" si="48"/>
        <v>0</v>
      </c>
      <c r="AI176" s="71">
        <f t="shared" si="49"/>
        <v>0</v>
      </c>
      <c r="AJ176" s="71">
        <f t="shared" si="50"/>
        <v>0</v>
      </c>
    </row>
    <row r="177" spans="1:36" x14ac:dyDescent="0.25">
      <c r="A177" s="14" t="str">
        <f>LCI!A34</f>
        <v>Phosphorus in Fertilizer (kg/yr)</v>
      </c>
      <c r="B177" s="42">
        <f>B24</f>
        <v>1074.2693132241131</v>
      </c>
      <c r="C177" s="42">
        <f t="shared" ref="C177:L177" si="60">C24</f>
        <v>1074.2693132241131</v>
      </c>
      <c r="D177" s="42">
        <f t="shared" si="60"/>
        <v>6300</v>
      </c>
      <c r="E177" s="42">
        <f t="shared" si="60"/>
        <v>6300</v>
      </c>
      <c r="F177" s="42"/>
      <c r="G177" s="42">
        <f t="shared" si="60"/>
        <v>0</v>
      </c>
      <c r="H177" s="42">
        <f t="shared" si="60"/>
        <v>0</v>
      </c>
      <c r="I177" s="42">
        <f t="shared" si="60"/>
        <v>27288.494999999999</v>
      </c>
      <c r="J177" s="42">
        <f t="shared" si="60"/>
        <v>0</v>
      </c>
      <c r="K177" s="42">
        <f t="shared" si="60"/>
        <v>0</v>
      </c>
      <c r="L177" s="42">
        <f t="shared" si="60"/>
        <v>0</v>
      </c>
      <c r="N177" s="45">
        <f>IF(EXACT(A177,LCI!A34),LCI!G34,-1*10^6)</f>
        <v>0.66236128999999999</v>
      </c>
      <c r="O177" s="47">
        <f t="shared" si="21"/>
        <v>711.55440811453764</v>
      </c>
      <c r="P177" s="47">
        <f t="shared" si="22"/>
        <v>711.55440811453764</v>
      </c>
      <c r="Q177" s="47">
        <f t="shared" si="23"/>
        <v>4172.8761269999995</v>
      </c>
      <c r="R177" s="47">
        <f t="shared" si="24"/>
        <v>4172.8761269999995</v>
      </c>
      <c r="S177" s="47">
        <f t="shared" si="25"/>
        <v>0</v>
      </c>
      <c r="T177" s="47">
        <f t="shared" si="26"/>
        <v>0</v>
      </c>
      <c r="U177" s="47">
        <f t="shared" si="27"/>
        <v>18074.842750358548</v>
      </c>
      <c r="V177" s="47">
        <f t="shared" si="28"/>
        <v>0</v>
      </c>
      <c r="W177" s="47">
        <f t="shared" si="29"/>
        <v>0</v>
      </c>
      <c r="X177" s="47">
        <f t="shared" si="30"/>
        <v>0</v>
      </c>
      <c r="Z177" s="41">
        <f>IF(EXACT(A177,LCI!A34),LCI!H34,-1*10^6)</f>
        <v>1935.61</v>
      </c>
      <c r="AA177" s="71">
        <f t="shared" si="10"/>
        <v>52819883.806949995</v>
      </c>
      <c r="AB177" s="71">
        <f t="shared" si="43"/>
        <v>2079366.4253697256</v>
      </c>
      <c r="AC177" s="71">
        <f t="shared" si="44"/>
        <v>12194343</v>
      </c>
      <c r="AD177" s="71">
        <f t="shared" si="45"/>
        <v>12194343</v>
      </c>
      <c r="AE177" s="71">
        <f t="shared" si="46"/>
        <v>0</v>
      </c>
      <c r="AF177" s="71">
        <f t="shared" si="47"/>
        <v>0</v>
      </c>
      <c r="AG177" s="71" t="e">
        <f>#REF!*$Z177</f>
        <v>#REF!</v>
      </c>
      <c r="AH177" s="71">
        <f t="shared" si="48"/>
        <v>0</v>
      </c>
      <c r="AI177" s="71">
        <f t="shared" si="49"/>
        <v>0</v>
      </c>
      <c r="AJ177" s="71">
        <f t="shared" si="50"/>
        <v>0</v>
      </c>
    </row>
    <row r="178" spans="1:36" x14ac:dyDescent="0.25">
      <c r="A178" s="14" t="str">
        <f>LCI!A35</f>
        <v>Plastic (kg/yr)</v>
      </c>
      <c r="B178" s="42">
        <f>B25</f>
        <v>0</v>
      </c>
      <c r="C178" s="42">
        <f t="shared" ref="C178:L178" si="61">C25</f>
        <v>0</v>
      </c>
      <c r="D178" s="42">
        <f t="shared" si="61"/>
        <v>0</v>
      </c>
      <c r="E178" s="42">
        <f t="shared" si="61"/>
        <v>0</v>
      </c>
      <c r="F178" s="42"/>
      <c r="G178" s="42">
        <f t="shared" si="61"/>
        <v>0</v>
      </c>
      <c r="H178" s="42">
        <f t="shared" si="61"/>
        <v>0</v>
      </c>
      <c r="I178" s="42">
        <f t="shared" si="61"/>
        <v>139543.21672200001</v>
      </c>
      <c r="J178" s="42">
        <f t="shared" si="61"/>
        <v>0</v>
      </c>
      <c r="K178" s="42">
        <f t="shared" si="61"/>
        <v>0</v>
      </c>
      <c r="L178" s="42">
        <f t="shared" si="61"/>
        <v>0</v>
      </c>
      <c r="N178" s="45">
        <f>IF(EXACT(A178,LCI!A35),LCI!G35,-1*10^6)</f>
        <v>8.6761290320000004</v>
      </c>
      <c r="O178" s="47">
        <f t="shared" si="21"/>
        <v>0</v>
      </c>
      <c r="P178" s="47">
        <f t="shared" si="22"/>
        <v>0</v>
      </c>
      <c r="Q178" s="47">
        <f t="shared" si="23"/>
        <v>0</v>
      </c>
      <c r="R178" s="47">
        <f t="shared" si="24"/>
        <v>0</v>
      </c>
      <c r="S178" s="47">
        <f t="shared" si="25"/>
        <v>0</v>
      </c>
      <c r="T178" s="47">
        <f t="shared" si="26"/>
        <v>0</v>
      </c>
      <c r="U178" s="47">
        <f t="shared" si="27"/>
        <v>1210694.9538204123</v>
      </c>
      <c r="V178" s="47">
        <f t="shared" si="28"/>
        <v>0</v>
      </c>
      <c r="W178" s="47">
        <f t="shared" si="29"/>
        <v>0</v>
      </c>
      <c r="X178" s="47">
        <f t="shared" si="30"/>
        <v>0</v>
      </c>
      <c r="Z178" s="41">
        <f>IF(EXACT(A178,LCI!A35),LCI!H35,-1*10^6)</f>
        <v>703.58</v>
      </c>
      <c r="AA178" s="71">
        <f t="shared" si="10"/>
        <v>98179816.421264768</v>
      </c>
      <c r="AB178" s="71">
        <f t="shared" si="43"/>
        <v>0</v>
      </c>
      <c r="AC178" s="71">
        <f t="shared" si="44"/>
        <v>0</v>
      </c>
      <c r="AD178" s="71">
        <f t="shared" si="45"/>
        <v>0</v>
      </c>
      <c r="AE178" s="71">
        <f t="shared" si="46"/>
        <v>0</v>
      </c>
      <c r="AF178" s="71">
        <f t="shared" si="47"/>
        <v>0</v>
      </c>
      <c r="AG178" s="71" t="e">
        <f>#REF!*$Z178</f>
        <v>#REF!</v>
      </c>
      <c r="AH178" s="71">
        <f t="shared" si="48"/>
        <v>0</v>
      </c>
      <c r="AI178" s="71">
        <f t="shared" si="49"/>
        <v>0</v>
      </c>
      <c r="AJ178" s="71">
        <f t="shared" si="50"/>
        <v>0</v>
      </c>
    </row>
    <row r="179" spans="1:36" x14ac:dyDescent="0.25">
      <c r="A179" s="14" t="str">
        <f>LCI!A36</f>
        <v>Potassium in Fertilizer (kg/yr)</v>
      </c>
      <c r="B179" s="42">
        <f>B26</f>
        <v>3379.8308588310647</v>
      </c>
      <c r="C179" s="42">
        <f t="shared" ref="C179:L179" si="62">C26</f>
        <v>3379.8308588310647</v>
      </c>
      <c r="D179" s="42">
        <f t="shared" si="62"/>
        <v>9550</v>
      </c>
      <c r="E179" s="42">
        <f t="shared" si="62"/>
        <v>9550</v>
      </c>
      <c r="F179" s="42"/>
      <c r="G179" s="42">
        <f t="shared" si="62"/>
        <v>0</v>
      </c>
      <c r="H179" s="42">
        <f t="shared" si="62"/>
        <v>0</v>
      </c>
      <c r="I179" s="42">
        <f t="shared" si="62"/>
        <v>0</v>
      </c>
      <c r="J179" s="42">
        <f t="shared" si="62"/>
        <v>0</v>
      </c>
      <c r="K179" s="42">
        <f t="shared" si="62"/>
        <v>0</v>
      </c>
      <c r="L179" s="42">
        <f t="shared" si="62"/>
        <v>0</v>
      </c>
      <c r="N179" s="45">
        <f>IF(EXACT(A179,LCI!A36),LCI!G36,-1*10^6)</f>
        <v>0.27187692299999999</v>
      </c>
      <c r="O179" s="47">
        <f t="shared" si="21"/>
        <v>918.89801415943725</v>
      </c>
      <c r="P179" s="47">
        <f t="shared" si="22"/>
        <v>918.89801415943725</v>
      </c>
      <c r="Q179" s="47">
        <f t="shared" si="23"/>
        <v>2596.42461465</v>
      </c>
      <c r="R179" s="47">
        <f t="shared" si="24"/>
        <v>2596.42461465</v>
      </c>
      <c r="S179" s="47">
        <f t="shared" si="25"/>
        <v>0</v>
      </c>
      <c r="T179" s="47">
        <f t="shared" si="26"/>
        <v>0</v>
      </c>
      <c r="U179" s="47">
        <f t="shared" si="27"/>
        <v>0</v>
      </c>
      <c r="V179" s="47">
        <f t="shared" si="28"/>
        <v>0</v>
      </c>
      <c r="W179" s="47">
        <f t="shared" si="29"/>
        <v>0</v>
      </c>
      <c r="X179" s="47">
        <f t="shared" si="30"/>
        <v>0</v>
      </c>
      <c r="Z179" s="41">
        <f>IF(EXACT(A179,LCI!A36),LCI!H36,-1*10^6)</f>
        <v>3237.99</v>
      </c>
      <c r="AA179" s="71">
        <f t="shared" si="10"/>
        <v>0</v>
      </c>
      <c r="AB179" s="71">
        <f t="shared" si="43"/>
        <v>10943858.522586398</v>
      </c>
      <c r="AC179" s="71">
        <f t="shared" si="44"/>
        <v>30922804.499999996</v>
      </c>
      <c r="AD179" s="71">
        <f t="shared" si="45"/>
        <v>30922804.499999996</v>
      </c>
      <c r="AE179" s="71">
        <f t="shared" si="46"/>
        <v>0</v>
      </c>
      <c r="AF179" s="71">
        <f t="shared" si="47"/>
        <v>0</v>
      </c>
      <c r="AG179" s="71" t="e">
        <f>#REF!*$Z179</f>
        <v>#REF!</v>
      </c>
      <c r="AH179" s="71">
        <f t="shared" si="48"/>
        <v>0</v>
      </c>
      <c r="AI179" s="71">
        <f t="shared" si="49"/>
        <v>0</v>
      </c>
      <c r="AJ179" s="71">
        <f t="shared" si="50"/>
        <v>0</v>
      </c>
    </row>
    <row r="180" spans="1:36" x14ac:dyDescent="0.25">
      <c r="A180" s="14" t="str">
        <f>LCI!A37</f>
        <v>Sodium Hydroxide (kg/yr)</v>
      </c>
      <c r="B180" s="42">
        <f>B54</f>
        <v>0</v>
      </c>
      <c r="C180" s="42">
        <f t="shared" ref="C180:L180" si="63">C54</f>
        <v>0</v>
      </c>
      <c r="D180" s="42">
        <f t="shared" si="63"/>
        <v>5472.0314639999997</v>
      </c>
      <c r="E180" s="42">
        <f t="shared" si="63"/>
        <v>0</v>
      </c>
      <c r="F180" s="42"/>
      <c r="G180" s="42">
        <f t="shared" si="63"/>
        <v>0</v>
      </c>
      <c r="H180" s="42">
        <f t="shared" si="63"/>
        <v>0</v>
      </c>
      <c r="I180" s="42">
        <f t="shared" si="63"/>
        <v>0</v>
      </c>
      <c r="J180" s="42">
        <f t="shared" si="63"/>
        <v>0</v>
      </c>
      <c r="K180" s="42">
        <f t="shared" si="63"/>
        <v>0</v>
      </c>
      <c r="L180" s="42">
        <f t="shared" si="63"/>
        <v>0</v>
      </c>
      <c r="N180" s="45">
        <f>IF(EXACT(A180,LCI!A37),LCI!G37,-1*10^6)</f>
        <v>0.45119999999999999</v>
      </c>
      <c r="O180" s="47">
        <f t="shared" si="21"/>
        <v>0</v>
      </c>
      <c r="P180" s="47">
        <f t="shared" si="22"/>
        <v>0</v>
      </c>
      <c r="Q180" s="47">
        <f t="shared" si="23"/>
        <v>2468.9805965567998</v>
      </c>
      <c r="R180" s="47">
        <f t="shared" si="24"/>
        <v>0</v>
      </c>
      <c r="S180" s="47">
        <f t="shared" si="25"/>
        <v>0</v>
      </c>
      <c r="T180" s="47">
        <f t="shared" si="26"/>
        <v>0</v>
      </c>
      <c r="U180" s="47">
        <f t="shared" si="27"/>
        <v>0</v>
      </c>
      <c r="V180" s="47">
        <f t="shared" si="28"/>
        <v>0</v>
      </c>
      <c r="W180" s="47">
        <f t="shared" si="29"/>
        <v>0</v>
      </c>
      <c r="X180" s="47">
        <f t="shared" si="30"/>
        <v>0</v>
      </c>
      <c r="Z180" s="41">
        <f>IF(EXACT(A180,LCI!A37),LCI!H37,-1*10^6)</f>
        <v>1275</v>
      </c>
      <c r="AA180" s="71">
        <f t="shared" si="10"/>
        <v>0</v>
      </c>
      <c r="AB180" s="71">
        <f t="shared" si="43"/>
        <v>0</v>
      </c>
      <c r="AC180" s="71">
        <f t="shared" si="44"/>
        <v>6976840.1165999994</v>
      </c>
      <c r="AD180" s="71">
        <f t="shared" si="45"/>
        <v>0</v>
      </c>
      <c r="AE180" s="71">
        <f t="shared" si="46"/>
        <v>0</v>
      </c>
      <c r="AF180" s="71">
        <f t="shared" si="47"/>
        <v>0</v>
      </c>
      <c r="AG180" s="71" t="e">
        <f>#REF!*$Z180</f>
        <v>#REF!</v>
      </c>
      <c r="AH180" s="71">
        <f t="shared" si="48"/>
        <v>0</v>
      </c>
      <c r="AI180" s="71">
        <f t="shared" si="49"/>
        <v>0</v>
      </c>
      <c r="AJ180" s="71">
        <f t="shared" si="50"/>
        <v>0</v>
      </c>
    </row>
    <row r="181" spans="1:36" x14ac:dyDescent="0.25">
      <c r="A181" s="14" t="str">
        <f>LCI!A38</f>
        <v>Soybean Seed (kg/yr)</v>
      </c>
      <c r="B181" s="42">
        <f>B27</f>
        <v>23351.399999999998</v>
      </c>
      <c r="C181" s="42">
        <f t="shared" ref="C181:L181" si="64">C27</f>
        <v>23351.399999999998</v>
      </c>
      <c r="D181" s="42">
        <f t="shared" si="64"/>
        <v>0</v>
      </c>
      <c r="E181" s="42">
        <f t="shared" si="64"/>
        <v>0</v>
      </c>
      <c r="F181" s="42"/>
      <c r="G181" s="42">
        <f t="shared" si="64"/>
        <v>0</v>
      </c>
      <c r="H181" s="42">
        <f t="shared" si="64"/>
        <v>0</v>
      </c>
      <c r="I181" s="42">
        <f t="shared" si="64"/>
        <v>0</v>
      </c>
      <c r="J181" s="42">
        <f t="shared" si="64"/>
        <v>0</v>
      </c>
      <c r="K181" s="42">
        <f t="shared" si="64"/>
        <v>0</v>
      </c>
      <c r="L181" s="42">
        <f t="shared" si="64"/>
        <v>0</v>
      </c>
      <c r="N181" s="45">
        <f>IF(EXACT(A181,LCI!A38),LCI!G38,-1*10^6)</f>
        <v>0.31559999999999999</v>
      </c>
      <c r="O181" s="47">
        <f t="shared" si="21"/>
        <v>7369.7018399999988</v>
      </c>
      <c r="P181" s="47">
        <f t="shared" si="22"/>
        <v>7369.7018399999988</v>
      </c>
      <c r="Q181" s="47">
        <f t="shared" si="23"/>
        <v>0</v>
      </c>
      <c r="R181" s="47">
        <f t="shared" si="24"/>
        <v>0</v>
      </c>
      <c r="S181" s="47">
        <f t="shared" si="25"/>
        <v>0</v>
      </c>
      <c r="T181" s="47">
        <f t="shared" si="26"/>
        <v>0</v>
      </c>
      <c r="U181" s="47">
        <f t="shared" si="27"/>
        <v>0</v>
      </c>
      <c r="V181" s="47">
        <f t="shared" si="28"/>
        <v>0</v>
      </c>
      <c r="W181" s="47">
        <f t="shared" si="29"/>
        <v>0</v>
      </c>
      <c r="X181" s="47">
        <f t="shared" si="30"/>
        <v>0</v>
      </c>
      <c r="Z181" s="41">
        <f>IF(EXACT(A181,LCI!A38),LCI!H38,-1*10^6)</f>
        <v>3810.6</v>
      </c>
      <c r="AA181" s="71">
        <f t="shared" si="10"/>
        <v>0</v>
      </c>
      <c r="AB181" s="71">
        <f t="shared" si="43"/>
        <v>88982844.839999989</v>
      </c>
      <c r="AC181" s="71">
        <f t="shared" si="44"/>
        <v>0</v>
      </c>
      <c r="AD181" s="71">
        <f t="shared" si="45"/>
        <v>0</v>
      </c>
      <c r="AE181" s="71">
        <f t="shared" si="46"/>
        <v>0</v>
      </c>
      <c r="AF181" s="71">
        <f t="shared" si="47"/>
        <v>0</v>
      </c>
      <c r="AG181" s="71" t="e">
        <f>#REF!*$Z181</f>
        <v>#REF!</v>
      </c>
      <c r="AH181" s="71">
        <f t="shared" si="48"/>
        <v>0</v>
      </c>
      <c r="AI181" s="71">
        <f t="shared" si="49"/>
        <v>0</v>
      </c>
      <c r="AJ181" s="71">
        <f t="shared" si="50"/>
        <v>0</v>
      </c>
    </row>
    <row r="182" spans="1:36" x14ac:dyDescent="0.25">
      <c r="A182" s="14" t="str">
        <f>LCI!A39</f>
        <v>Steam (kg/yr)</v>
      </c>
      <c r="B182" s="42">
        <f>B56</f>
        <v>0</v>
      </c>
      <c r="C182" s="42">
        <f t="shared" ref="C182:L182" si="65">C56</f>
        <v>0</v>
      </c>
      <c r="D182" s="42">
        <f t="shared" si="65"/>
        <v>1009805.532</v>
      </c>
      <c r="E182" s="42">
        <f t="shared" si="65"/>
        <v>0</v>
      </c>
      <c r="F182" s="42"/>
      <c r="G182" s="42">
        <f t="shared" si="65"/>
        <v>0</v>
      </c>
      <c r="H182" s="42">
        <f t="shared" si="65"/>
        <v>0</v>
      </c>
      <c r="I182" s="42">
        <f t="shared" si="65"/>
        <v>0</v>
      </c>
      <c r="J182" s="42">
        <f t="shared" si="65"/>
        <v>0</v>
      </c>
      <c r="K182" s="42">
        <f t="shared" si="65"/>
        <v>0</v>
      </c>
      <c r="L182" s="42">
        <f t="shared" si="65"/>
        <v>0</v>
      </c>
      <c r="N182" s="45">
        <f>IF(EXACT(A182,LCI!A39),LCI!G39,-1*10^6)</f>
        <v>1.7000000000000001E-2</v>
      </c>
      <c r="O182" s="47">
        <f t="shared" si="21"/>
        <v>0</v>
      </c>
      <c r="P182" s="47">
        <f t="shared" si="22"/>
        <v>0</v>
      </c>
      <c r="Q182" s="47">
        <f t="shared" si="23"/>
        <v>17166.694044</v>
      </c>
      <c r="R182" s="47">
        <f t="shared" si="24"/>
        <v>0</v>
      </c>
      <c r="S182" s="47">
        <f t="shared" si="25"/>
        <v>0</v>
      </c>
      <c r="T182" s="47">
        <f t="shared" si="26"/>
        <v>0</v>
      </c>
      <c r="U182" s="47">
        <f t="shared" si="27"/>
        <v>0</v>
      </c>
      <c r="V182" s="47">
        <f t="shared" si="28"/>
        <v>0</v>
      </c>
      <c r="W182" s="47">
        <f t="shared" si="29"/>
        <v>0</v>
      </c>
      <c r="X182" s="47">
        <f t="shared" si="30"/>
        <v>0</v>
      </c>
      <c r="Z182" s="41">
        <f>IF(EXACT(A182,LCI!A39),LCI!H39,-1*10^6)</f>
        <v>341.9</v>
      </c>
      <c r="AA182" s="71">
        <f t="shared" si="10"/>
        <v>0</v>
      </c>
      <c r="AB182" s="71">
        <f t="shared" si="43"/>
        <v>0</v>
      </c>
      <c r="AC182" s="71">
        <f t="shared" si="44"/>
        <v>345252511.3908</v>
      </c>
      <c r="AD182" s="71">
        <f t="shared" si="45"/>
        <v>0</v>
      </c>
      <c r="AE182" s="71">
        <f t="shared" si="46"/>
        <v>0</v>
      </c>
      <c r="AF182" s="71">
        <f t="shared" si="47"/>
        <v>0</v>
      </c>
      <c r="AG182" s="71" t="e">
        <f>#REF!*$Z182</f>
        <v>#REF!</v>
      </c>
      <c r="AH182" s="71">
        <f t="shared" si="48"/>
        <v>0</v>
      </c>
      <c r="AI182" s="71">
        <f t="shared" si="49"/>
        <v>0</v>
      </c>
      <c r="AJ182" s="71">
        <f t="shared" si="50"/>
        <v>0</v>
      </c>
    </row>
    <row r="183" spans="1:36" x14ac:dyDescent="0.25">
      <c r="A183" s="14" t="str">
        <f>LCI!A40</f>
        <v>Sulfuric Acid (kg/yr)</v>
      </c>
      <c r="B183" s="42">
        <f>B57</f>
        <v>0</v>
      </c>
      <c r="C183" s="42">
        <f t="shared" ref="C183:L183" si="66">C57</f>
        <v>0</v>
      </c>
      <c r="D183" s="42">
        <f t="shared" si="66"/>
        <v>2176.9980578516743</v>
      </c>
      <c r="E183" s="42">
        <f t="shared" si="66"/>
        <v>0</v>
      </c>
      <c r="F183" s="42"/>
      <c r="G183" s="42">
        <f t="shared" si="66"/>
        <v>0</v>
      </c>
      <c r="H183" s="42">
        <f t="shared" si="66"/>
        <v>0</v>
      </c>
      <c r="I183" s="42">
        <f t="shared" si="66"/>
        <v>0</v>
      </c>
      <c r="J183" s="42">
        <f t="shared" si="66"/>
        <v>0</v>
      </c>
      <c r="K183" s="42">
        <f t="shared" si="66"/>
        <v>0</v>
      </c>
      <c r="L183" s="42">
        <f t="shared" si="66"/>
        <v>0</v>
      </c>
      <c r="N183" s="45">
        <f>IF(EXACT(A183,LCI!A40),LCI!G40,-1*10^6)</f>
        <v>0.11</v>
      </c>
      <c r="O183" s="47">
        <f t="shared" si="21"/>
        <v>0</v>
      </c>
      <c r="P183" s="47">
        <f t="shared" si="22"/>
        <v>0</v>
      </c>
      <c r="Q183" s="47">
        <f t="shared" si="23"/>
        <v>239.46978636368416</v>
      </c>
      <c r="R183" s="47">
        <f t="shared" si="24"/>
        <v>0</v>
      </c>
      <c r="S183" s="47">
        <f t="shared" si="25"/>
        <v>0</v>
      </c>
      <c r="T183" s="47">
        <f t="shared" si="26"/>
        <v>0</v>
      </c>
      <c r="U183" s="47">
        <f t="shared" si="27"/>
        <v>0</v>
      </c>
      <c r="V183" s="47">
        <f t="shared" si="28"/>
        <v>0</v>
      </c>
      <c r="W183" s="47">
        <f t="shared" si="29"/>
        <v>0</v>
      </c>
      <c r="X183" s="47">
        <f t="shared" si="30"/>
        <v>0</v>
      </c>
      <c r="Z183" s="41">
        <f>IF(EXACT(A183,LCI!A40),LCI!H40,-1*10^6)</f>
        <v>109.71</v>
      </c>
      <c r="AA183" s="71">
        <f t="shared" si="10"/>
        <v>0</v>
      </c>
      <c r="AB183" s="71">
        <f t="shared" si="43"/>
        <v>0</v>
      </c>
      <c r="AC183" s="71">
        <f t="shared" si="44"/>
        <v>238838.45692690718</v>
      </c>
      <c r="AD183" s="71">
        <f t="shared" si="45"/>
        <v>0</v>
      </c>
      <c r="AE183" s="71">
        <f t="shared" si="46"/>
        <v>0</v>
      </c>
      <c r="AF183" s="71">
        <f t="shared" si="47"/>
        <v>0</v>
      </c>
      <c r="AG183" s="71" t="e">
        <f>#REF!*$Z183</f>
        <v>#REF!</v>
      </c>
      <c r="AH183" s="71">
        <f t="shared" si="48"/>
        <v>0</v>
      </c>
      <c r="AI183" s="71">
        <f t="shared" si="49"/>
        <v>0</v>
      </c>
      <c r="AJ183" s="71">
        <f t="shared" si="50"/>
        <v>0</v>
      </c>
    </row>
    <row r="184" spans="1:36" x14ac:dyDescent="0.25">
      <c r="A184" s="14" t="str">
        <f>LCI!A41</f>
        <v>Urea (kg/yr)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N184" s="45">
        <f>IF(EXACT(A184,LCI!A41),LCI!G41,-1*10^6)</f>
        <v>0</v>
      </c>
      <c r="O184" s="47">
        <f t="shared" si="21"/>
        <v>0</v>
      </c>
      <c r="P184" s="47">
        <f t="shared" si="22"/>
        <v>0</v>
      </c>
      <c r="Q184" s="47">
        <f t="shared" si="23"/>
        <v>0</v>
      </c>
      <c r="R184" s="47">
        <f t="shared" si="24"/>
        <v>0</v>
      </c>
      <c r="S184" s="47">
        <f t="shared" si="25"/>
        <v>0</v>
      </c>
      <c r="T184" s="47">
        <f t="shared" si="26"/>
        <v>0</v>
      </c>
      <c r="U184" s="47">
        <f t="shared" si="27"/>
        <v>0</v>
      </c>
      <c r="V184" s="47">
        <f t="shared" si="28"/>
        <v>0</v>
      </c>
      <c r="W184" s="47">
        <f t="shared" si="29"/>
        <v>0</v>
      </c>
      <c r="X184" s="47">
        <f t="shared" si="30"/>
        <v>0</v>
      </c>
      <c r="Z184" s="41">
        <f>IF(EXACT(A184,LCI!A41),LCI!H41,-1*10^6)</f>
        <v>0</v>
      </c>
      <c r="AA184" s="71">
        <f t="shared" si="10"/>
        <v>0</v>
      </c>
      <c r="AB184" s="71">
        <f t="shared" si="43"/>
        <v>0</v>
      </c>
      <c r="AC184" s="71">
        <f t="shared" si="44"/>
        <v>0</v>
      </c>
      <c r="AD184" s="71">
        <f t="shared" si="45"/>
        <v>0</v>
      </c>
      <c r="AE184" s="71">
        <f t="shared" si="46"/>
        <v>0</v>
      </c>
      <c r="AF184" s="71">
        <f t="shared" si="47"/>
        <v>0</v>
      </c>
      <c r="AG184" s="71" t="e">
        <f>#REF!*$Z184</f>
        <v>#REF!</v>
      </c>
      <c r="AH184" s="71">
        <f t="shared" si="48"/>
        <v>0</v>
      </c>
      <c r="AI184" s="71">
        <f t="shared" si="49"/>
        <v>0</v>
      </c>
      <c r="AJ184" s="71">
        <f t="shared" si="50"/>
        <v>0</v>
      </c>
    </row>
    <row r="185" spans="1:36" x14ac:dyDescent="0.25">
      <c r="A185" s="14" t="str">
        <f>LCI!A42</f>
        <v>Water, Process (kg/yr)</v>
      </c>
      <c r="B185" s="42">
        <f t="shared" ref="B185:L185" si="67">B58+B75</f>
        <v>108334.41740034861</v>
      </c>
      <c r="C185" s="42">
        <f t="shared" si="67"/>
        <v>138117.64218720005</v>
      </c>
      <c r="D185" s="42">
        <f t="shared" si="67"/>
        <v>2329483.9019999998</v>
      </c>
      <c r="E185" s="42">
        <f t="shared" si="67"/>
        <v>0</v>
      </c>
      <c r="F185" s="42"/>
      <c r="G185" s="42">
        <f t="shared" si="67"/>
        <v>0</v>
      </c>
      <c r="H185" s="42">
        <f t="shared" si="67"/>
        <v>0</v>
      </c>
      <c r="I185" s="42">
        <f t="shared" si="67"/>
        <v>895523.85</v>
      </c>
      <c r="J185" s="42">
        <f t="shared" si="67"/>
        <v>0</v>
      </c>
      <c r="K185" s="42">
        <f t="shared" si="67"/>
        <v>0</v>
      </c>
      <c r="L185" s="42">
        <f t="shared" si="67"/>
        <v>0</v>
      </c>
      <c r="N185" s="45">
        <f>IF(EXACT(A185,LCI!A42),LCI!G42,-1*10^6)</f>
        <v>5.5199999999999997E-4</v>
      </c>
      <c r="O185" s="47">
        <f t="shared" si="21"/>
        <v>59.800598404992428</v>
      </c>
      <c r="P185" s="47">
        <f t="shared" si="22"/>
        <v>76.240938487334418</v>
      </c>
      <c r="Q185" s="47">
        <f t="shared" si="23"/>
        <v>1285.8751139039998</v>
      </c>
      <c r="R185" s="47">
        <f t="shared" si="24"/>
        <v>0</v>
      </c>
      <c r="S185" s="47">
        <f t="shared" si="25"/>
        <v>0</v>
      </c>
      <c r="T185" s="47">
        <f t="shared" si="26"/>
        <v>0</v>
      </c>
      <c r="U185" s="47">
        <f t="shared" si="27"/>
        <v>494.32916519999998</v>
      </c>
      <c r="V185" s="47">
        <f t="shared" si="28"/>
        <v>0</v>
      </c>
      <c r="W185" s="47">
        <f t="shared" si="29"/>
        <v>0</v>
      </c>
      <c r="X185" s="47">
        <f t="shared" si="30"/>
        <v>0</v>
      </c>
      <c r="Z185" s="41">
        <f>IF(EXACT(A185,LCI!A42),LCI!H42,-1*10^6)</f>
        <v>7.6379000000000004E-3</v>
      </c>
      <c r="AA185" s="71">
        <f t="shared" si="10"/>
        <v>6839.9216139150003</v>
      </c>
      <c r="AB185" s="71">
        <f t="shared" si="43"/>
        <v>1054.9287392616154</v>
      </c>
      <c r="AC185" s="71">
        <f t="shared" si="44"/>
        <v>17792.365095085799</v>
      </c>
      <c r="AD185" s="71">
        <f t="shared" si="45"/>
        <v>0</v>
      </c>
      <c r="AE185" s="71">
        <f t="shared" si="46"/>
        <v>0</v>
      </c>
      <c r="AF185" s="71">
        <f t="shared" si="47"/>
        <v>0</v>
      </c>
      <c r="AG185" s="71" t="e">
        <f>#REF!*$Z185</f>
        <v>#REF!</v>
      </c>
      <c r="AH185" s="71">
        <f t="shared" si="48"/>
        <v>0</v>
      </c>
      <c r="AI185" s="71">
        <f t="shared" si="49"/>
        <v>0</v>
      </c>
      <c r="AJ185" s="71">
        <f t="shared" si="50"/>
        <v>0</v>
      </c>
    </row>
    <row r="186" spans="1:36" x14ac:dyDescent="0.25">
      <c r="A186" s="14" t="str">
        <f>LCI!A43</f>
        <v>Water, Rain, Blue (m3/yr)</v>
      </c>
      <c r="B186" s="42">
        <f>B28</f>
        <v>575000</v>
      </c>
      <c r="C186" s="42">
        <f t="shared" ref="C186:L186" si="68">C28</f>
        <v>575000</v>
      </c>
      <c r="D186" s="42">
        <f t="shared" si="68"/>
        <v>650000</v>
      </c>
      <c r="E186" s="42">
        <f t="shared" si="68"/>
        <v>650000</v>
      </c>
      <c r="F186" s="42"/>
      <c r="G186" s="42">
        <f t="shared" si="68"/>
        <v>0</v>
      </c>
      <c r="H186" s="42">
        <f t="shared" si="68"/>
        <v>0</v>
      </c>
      <c r="I186" s="42">
        <f t="shared" si="68"/>
        <v>0</v>
      </c>
      <c r="J186" s="42">
        <f t="shared" si="68"/>
        <v>0</v>
      </c>
      <c r="K186" s="42">
        <f t="shared" si="68"/>
        <v>0</v>
      </c>
      <c r="L186" s="42">
        <f t="shared" si="68"/>
        <v>0</v>
      </c>
      <c r="N186" s="45">
        <f>IF(EXACT(A186,LCI!A43),LCI!G43,-1*10^6)</f>
        <v>0</v>
      </c>
      <c r="O186" s="47">
        <f t="shared" si="21"/>
        <v>0</v>
      </c>
      <c r="P186" s="47">
        <f t="shared" si="22"/>
        <v>0</v>
      </c>
      <c r="Q186" s="47">
        <f t="shared" si="23"/>
        <v>0</v>
      </c>
      <c r="R186" s="47">
        <f t="shared" si="24"/>
        <v>0</v>
      </c>
      <c r="S186" s="47">
        <f t="shared" si="25"/>
        <v>0</v>
      </c>
      <c r="T186" s="47">
        <f t="shared" si="26"/>
        <v>0</v>
      </c>
      <c r="U186" s="47">
        <f t="shared" si="27"/>
        <v>0</v>
      </c>
      <c r="V186" s="47">
        <f t="shared" si="28"/>
        <v>0</v>
      </c>
      <c r="W186" s="47">
        <f t="shared" si="29"/>
        <v>0</v>
      </c>
      <c r="X186" s="47">
        <f t="shared" si="30"/>
        <v>0</v>
      </c>
      <c r="Z186" s="41">
        <f>IF(EXACT(A186,LCI!A43),LCI!H43,-1*10^6)</f>
        <v>0</v>
      </c>
      <c r="AA186" s="71">
        <f t="shared" si="10"/>
        <v>0</v>
      </c>
      <c r="AB186" s="71">
        <f t="shared" si="43"/>
        <v>0</v>
      </c>
      <c r="AC186" s="71">
        <f t="shared" si="44"/>
        <v>0</v>
      </c>
      <c r="AD186" s="71">
        <f t="shared" si="45"/>
        <v>0</v>
      </c>
      <c r="AE186" s="71">
        <f t="shared" si="46"/>
        <v>0</v>
      </c>
      <c r="AF186" s="71">
        <f t="shared" si="47"/>
        <v>0</v>
      </c>
      <c r="AG186" s="71" t="e">
        <f>#REF!*$Z186</f>
        <v>#REF!</v>
      </c>
      <c r="AH186" s="71">
        <f t="shared" si="48"/>
        <v>0</v>
      </c>
      <c r="AI186" s="71">
        <f t="shared" si="49"/>
        <v>0</v>
      </c>
      <c r="AJ186" s="71">
        <f t="shared" si="50"/>
        <v>0</v>
      </c>
    </row>
    <row r="187" spans="1:36" x14ac:dyDescent="0.25">
      <c r="A187" s="14" t="str">
        <f>LCI!A44</f>
        <v>Water, Saline (m3/yr)</v>
      </c>
      <c r="B187" s="42">
        <f>B29</f>
        <v>0</v>
      </c>
      <c r="C187" s="42">
        <f t="shared" ref="C187:L187" si="69">C29</f>
        <v>0</v>
      </c>
      <c r="D187" s="42">
        <f t="shared" si="69"/>
        <v>0</v>
      </c>
      <c r="E187" s="42">
        <f t="shared" si="69"/>
        <v>0</v>
      </c>
      <c r="F187" s="42"/>
      <c r="G187" s="42">
        <f t="shared" si="69"/>
        <v>0</v>
      </c>
      <c r="H187" s="42">
        <f t="shared" si="69"/>
        <v>0</v>
      </c>
      <c r="I187" s="42">
        <f t="shared" si="69"/>
        <v>10301103</v>
      </c>
      <c r="J187" s="42">
        <f t="shared" si="69"/>
        <v>0</v>
      </c>
      <c r="K187" s="42">
        <f t="shared" si="69"/>
        <v>0</v>
      </c>
      <c r="L187" s="42">
        <f t="shared" si="69"/>
        <v>0</v>
      </c>
      <c r="N187" s="45">
        <f>IF(EXACT(A187,LCI!A44),LCI!G44,-1*10^6)</f>
        <v>0</v>
      </c>
      <c r="O187" s="47">
        <f t="shared" si="21"/>
        <v>0</v>
      </c>
      <c r="P187" s="47">
        <f t="shared" si="22"/>
        <v>0</v>
      </c>
      <c r="Q187" s="47">
        <f t="shared" si="23"/>
        <v>0</v>
      </c>
      <c r="R187" s="47">
        <f t="shared" si="24"/>
        <v>0</v>
      </c>
      <c r="S187" s="47">
        <f t="shared" si="25"/>
        <v>0</v>
      </c>
      <c r="T187" s="47">
        <f t="shared" si="26"/>
        <v>0</v>
      </c>
      <c r="U187" s="47">
        <f t="shared" si="27"/>
        <v>0</v>
      </c>
      <c r="V187" s="47">
        <f t="shared" si="28"/>
        <v>0</v>
      </c>
      <c r="W187" s="47">
        <f t="shared" si="29"/>
        <v>0</v>
      </c>
      <c r="X187" s="47">
        <f t="shared" si="30"/>
        <v>0</v>
      </c>
      <c r="Z187" s="41">
        <f>IF(EXACT(A187,LCI!A44),LCI!H44,-1*10^6)</f>
        <v>0</v>
      </c>
      <c r="AA187" s="71">
        <f t="shared" si="10"/>
        <v>0</v>
      </c>
      <c r="AB187" s="71">
        <f t="shared" si="43"/>
        <v>0</v>
      </c>
      <c r="AC187" s="71">
        <f t="shared" si="44"/>
        <v>0</v>
      </c>
      <c r="AD187" s="71">
        <f t="shared" si="45"/>
        <v>0</v>
      </c>
      <c r="AE187" s="71">
        <f t="shared" si="46"/>
        <v>0</v>
      </c>
      <c r="AF187" s="71">
        <f t="shared" si="47"/>
        <v>0</v>
      </c>
      <c r="AG187" s="71" t="e">
        <f>#REF!*$Z187</f>
        <v>#REF!</v>
      </c>
      <c r="AH187" s="71">
        <f t="shared" si="48"/>
        <v>0</v>
      </c>
      <c r="AI187" s="71">
        <f t="shared" si="49"/>
        <v>0</v>
      </c>
      <c r="AJ187" s="71">
        <f t="shared" si="50"/>
        <v>0</v>
      </c>
    </row>
    <row r="188" spans="1:36" x14ac:dyDescent="0.25">
      <c r="A188" s="14" t="str">
        <f>LCI!A46</f>
        <v>WOG, raw (kg/yr)</v>
      </c>
      <c r="B188" s="42">
        <f>B30</f>
        <v>0</v>
      </c>
      <c r="C188" s="42">
        <f t="shared" ref="C188:L188" si="70">C30</f>
        <v>0</v>
      </c>
      <c r="D188" s="42">
        <f t="shared" si="70"/>
        <v>0</v>
      </c>
      <c r="E188" s="42">
        <f t="shared" si="70"/>
        <v>0</v>
      </c>
      <c r="F188" s="42"/>
      <c r="G188" s="42">
        <f t="shared" si="70"/>
        <v>0</v>
      </c>
      <c r="H188" s="42">
        <f t="shared" si="70"/>
        <v>0</v>
      </c>
      <c r="I188" s="42">
        <f t="shared" si="70"/>
        <v>0</v>
      </c>
      <c r="J188" s="42">
        <f t="shared" si="70"/>
        <v>0</v>
      </c>
      <c r="K188" s="42">
        <f t="shared" si="70"/>
        <v>0</v>
      </c>
      <c r="L188" s="42">
        <f t="shared" si="70"/>
        <v>0</v>
      </c>
      <c r="N188" s="45">
        <f>IF(EXACT(A188,LCI!A46),LCI!G46,-1*10^6)</f>
        <v>0.57199999999999995</v>
      </c>
      <c r="O188" s="47">
        <f t="shared" si="21"/>
        <v>0</v>
      </c>
      <c r="P188" s="47">
        <f t="shared" si="22"/>
        <v>0</v>
      </c>
      <c r="Q188" s="47">
        <f t="shared" si="23"/>
        <v>0</v>
      </c>
      <c r="R188" s="47">
        <f t="shared" si="24"/>
        <v>0</v>
      </c>
      <c r="S188" s="47">
        <f t="shared" si="25"/>
        <v>0</v>
      </c>
      <c r="T188" s="47">
        <f t="shared" si="26"/>
        <v>0</v>
      </c>
      <c r="U188" s="47">
        <f t="shared" si="27"/>
        <v>0</v>
      </c>
      <c r="V188" s="47">
        <f t="shared" si="28"/>
        <v>0</v>
      </c>
      <c r="W188" s="47">
        <f t="shared" si="29"/>
        <v>0</v>
      </c>
      <c r="X188" s="47">
        <f t="shared" si="30"/>
        <v>0</v>
      </c>
      <c r="Z188" s="41">
        <f>IF(EXACT(A188,LCI!A46),LCI!H46,-1*10^6)</f>
        <v>0</v>
      </c>
      <c r="AA188" s="71">
        <f t="shared" si="10"/>
        <v>0</v>
      </c>
      <c r="AB188" s="71">
        <f t="shared" si="43"/>
        <v>0</v>
      </c>
      <c r="AC188" s="71">
        <f t="shared" si="44"/>
        <v>0</v>
      </c>
      <c r="AD188" s="71">
        <f t="shared" si="45"/>
        <v>0</v>
      </c>
      <c r="AE188" s="71">
        <f t="shared" si="46"/>
        <v>0</v>
      </c>
      <c r="AF188" s="71">
        <f t="shared" si="47"/>
        <v>0</v>
      </c>
      <c r="AG188" s="71" t="e">
        <f>#REF!*$Z188</f>
        <v>#REF!</v>
      </c>
      <c r="AH188" s="71">
        <f t="shared" si="48"/>
        <v>0</v>
      </c>
      <c r="AI188" s="71">
        <f t="shared" si="49"/>
        <v>0</v>
      </c>
      <c r="AJ188" s="71">
        <f t="shared" si="50"/>
        <v>0</v>
      </c>
    </row>
    <row r="189" spans="1:36" x14ac:dyDescent="0.25">
      <c r="A189" s="14" t="str">
        <f>LCI!A47</f>
        <v>Yeast (kg/yr)</v>
      </c>
      <c r="B189" s="42">
        <f>B60</f>
        <v>0</v>
      </c>
      <c r="C189" s="42">
        <f t="shared" ref="C189:L189" si="71">C60</f>
        <v>0</v>
      </c>
      <c r="D189" s="42">
        <f t="shared" si="71"/>
        <v>205.69471420883499</v>
      </c>
      <c r="E189" s="42">
        <f t="shared" si="71"/>
        <v>0</v>
      </c>
      <c r="F189" s="42"/>
      <c r="G189" s="42">
        <f t="shared" si="71"/>
        <v>0</v>
      </c>
      <c r="H189" s="42">
        <f t="shared" si="71"/>
        <v>0</v>
      </c>
      <c r="I189" s="42">
        <f t="shared" si="71"/>
        <v>0</v>
      </c>
      <c r="J189" s="42">
        <f t="shared" si="71"/>
        <v>0</v>
      </c>
      <c r="K189" s="42">
        <f t="shared" si="71"/>
        <v>0</v>
      </c>
      <c r="L189" s="42">
        <f t="shared" si="71"/>
        <v>0</v>
      </c>
      <c r="N189" s="45">
        <f>IF(EXACT(A189,LCI!A47),LCI!G47,-1*10^6)</f>
        <v>5.5</v>
      </c>
      <c r="O189" s="47">
        <f t="shared" si="21"/>
        <v>0</v>
      </c>
      <c r="P189" s="47">
        <f t="shared" si="22"/>
        <v>0</v>
      </c>
      <c r="Q189" s="47">
        <f t="shared" si="23"/>
        <v>1131.3209281485924</v>
      </c>
      <c r="R189" s="47">
        <f t="shared" si="24"/>
        <v>0</v>
      </c>
      <c r="S189" s="47">
        <f t="shared" si="25"/>
        <v>0</v>
      </c>
      <c r="T189" s="47">
        <f t="shared" si="26"/>
        <v>0</v>
      </c>
      <c r="U189" s="47">
        <f t="shared" si="27"/>
        <v>0</v>
      </c>
      <c r="V189" s="47">
        <f t="shared" si="28"/>
        <v>0</v>
      </c>
      <c r="W189" s="47">
        <f t="shared" si="29"/>
        <v>0</v>
      </c>
      <c r="X189" s="47">
        <f t="shared" si="30"/>
        <v>0</v>
      </c>
      <c r="Z189" s="41">
        <f>IF(EXACT(A189,LCI!A47),LCI!H47,-1*10^6)</f>
        <v>4306.59</v>
      </c>
      <c r="AA189" s="71">
        <f t="shared" si="10"/>
        <v>0</v>
      </c>
      <c r="AB189" s="71">
        <f t="shared" si="43"/>
        <v>0</v>
      </c>
      <c r="AC189" s="71">
        <f t="shared" si="44"/>
        <v>885842.79926462669</v>
      </c>
      <c r="AD189" s="71">
        <f t="shared" si="45"/>
        <v>0</v>
      </c>
      <c r="AE189" s="71">
        <f t="shared" si="46"/>
        <v>0</v>
      </c>
      <c r="AF189" s="71">
        <f t="shared" si="47"/>
        <v>0</v>
      </c>
      <c r="AG189" s="71" t="e">
        <f>#REF!*$Z189</f>
        <v>#REF!</v>
      </c>
      <c r="AH189" s="71">
        <f t="shared" si="48"/>
        <v>0</v>
      </c>
      <c r="AI189" s="71">
        <f t="shared" si="49"/>
        <v>0</v>
      </c>
      <c r="AJ189" s="71">
        <f t="shared" si="50"/>
        <v>0</v>
      </c>
    </row>
    <row r="190" spans="1:36" x14ac:dyDescent="0.25">
      <c r="A190" s="14" t="str">
        <f>LCI!A48</f>
        <v>Diesel (kg/yr)</v>
      </c>
      <c r="B190" s="42">
        <f>B31</f>
        <v>4676.5560886200019</v>
      </c>
      <c r="C190" s="42">
        <f t="shared" ref="C190:L190" si="72">C31</f>
        <v>4676.5560886200019</v>
      </c>
      <c r="D190" s="42">
        <f t="shared" si="72"/>
        <v>128108.6</v>
      </c>
      <c r="E190" s="42">
        <f t="shared" si="72"/>
        <v>128108.6</v>
      </c>
      <c r="F190" s="42"/>
      <c r="G190" s="42">
        <f t="shared" si="72"/>
        <v>0</v>
      </c>
      <c r="H190" s="42">
        <f t="shared" si="72"/>
        <v>0</v>
      </c>
      <c r="I190" s="42">
        <f t="shared" si="72"/>
        <v>0</v>
      </c>
      <c r="J190" s="42">
        <f t="shared" si="72"/>
        <v>0</v>
      </c>
      <c r="K190" s="42">
        <f t="shared" si="72"/>
        <v>0</v>
      </c>
      <c r="L190" s="42">
        <f t="shared" si="72"/>
        <v>0</v>
      </c>
      <c r="N190" s="45">
        <f>IF(EXACT(A190,LCI!A48),LCI!G48,-1*10^6)</f>
        <v>0.48</v>
      </c>
      <c r="O190" s="47">
        <f>B190*$N190</f>
        <v>2244.7469225376008</v>
      </c>
      <c r="P190" s="47">
        <f t="shared" si="22"/>
        <v>2244.7469225376008</v>
      </c>
      <c r="Q190" s="47">
        <f t="shared" si="23"/>
        <v>61492.127999999997</v>
      </c>
      <c r="R190" s="47">
        <f t="shared" si="24"/>
        <v>61492.127999999997</v>
      </c>
      <c r="S190" s="47">
        <f t="shared" si="25"/>
        <v>0</v>
      </c>
      <c r="T190" s="47">
        <f t="shared" si="26"/>
        <v>0</v>
      </c>
      <c r="U190" s="47">
        <f t="shared" si="27"/>
        <v>0</v>
      </c>
      <c r="V190" s="47">
        <f t="shared" si="28"/>
        <v>0</v>
      </c>
      <c r="W190" s="47">
        <f t="shared" si="29"/>
        <v>0</v>
      </c>
      <c r="X190" s="47">
        <f t="shared" si="30"/>
        <v>0</v>
      </c>
      <c r="Z190" s="41">
        <f>IF(EXACT(A190,LCI!A48),LCI!H48,-1*10^6)</f>
        <v>8235</v>
      </c>
      <c r="AA190" s="71">
        <f t="shared" si="10"/>
        <v>0</v>
      </c>
      <c r="AB190" s="71">
        <f t="shared" si="43"/>
        <v>38511439.389785714</v>
      </c>
      <c r="AC190" s="71">
        <f t="shared" si="44"/>
        <v>1054974321</v>
      </c>
      <c r="AD190" s="71">
        <f t="shared" si="45"/>
        <v>1054974321</v>
      </c>
      <c r="AE190" s="71">
        <f t="shared" si="46"/>
        <v>0</v>
      </c>
      <c r="AF190" s="71">
        <f t="shared" si="47"/>
        <v>0</v>
      </c>
      <c r="AG190" s="71" t="e">
        <f>#REF!*$Z190</f>
        <v>#REF!</v>
      </c>
      <c r="AH190" s="71">
        <f t="shared" si="48"/>
        <v>0</v>
      </c>
      <c r="AI190" s="71">
        <f t="shared" si="49"/>
        <v>0</v>
      </c>
      <c r="AJ190" s="71">
        <f t="shared" si="50"/>
        <v>0</v>
      </c>
    </row>
    <row r="191" spans="1:36" x14ac:dyDescent="0.25">
      <c r="A191" s="14" t="str">
        <f>LCI!A49</f>
        <v>Electricity, Grid (MJ/yr)</v>
      </c>
      <c r="B191" s="42">
        <f>B32+B61+B77</f>
        <v>66658.646442841695</v>
      </c>
      <c r="C191" s="42">
        <f t="shared" ref="C191:L191" si="73">C32+C61+C77</f>
        <v>72424.600529424017</v>
      </c>
      <c r="D191" s="42">
        <f t="shared" si="73"/>
        <v>482892.59500839998</v>
      </c>
      <c r="E191" s="42">
        <f t="shared" si="73"/>
        <v>145379.79999999999</v>
      </c>
      <c r="F191" s="42">
        <f t="shared" si="73"/>
        <v>0</v>
      </c>
      <c r="G191" s="42">
        <f t="shared" si="73"/>
        <v>0</v>
      </c>
      <c r="H191" s="42">
        <f t="shared" si="73"/>
        <v>0</v>
      </c>
      <c r="I191" s="42">
        <f t="shared" si="73"/>
        <v>52369923.329999998</v>
      </c>
      <c r="J191" s="42">
        <f t="shared" si="73"/>
        <v>0</v>
      </c>
      <c r="K191" s="42">
        <f t="shared" si="73"/>
        <v>0</v>
      </c>
      <c r="L191" s="42">
        <f t="shared" si="73"/>
        <v>0</v>
      </c>
      <c r="N191" s="45">
        <f>IF(EXACT(A191,LCI!A49),LCI!G49,-1*10^6)</f>
        <v>1.8722222E-2</v>
      </c>
      <c r="O191" s="47">
        <f t="shared" si="21"/>
        <v>1247.9979769223926</v>
      </c>
      <c r="P191" s="47">
        <f t="shared" si="22"/>
        <v>1355.9494493731941</v>
      </c>
      <c r="Q191" s="47">
        <f t="shared" si="23"/>
        <v>9040.8223659033556</v>
      </c>
      <c r="R191" s="47">
        <f t="shared" si="24"/>
        <v>2721.8328899155999</v>
      </c>
      <c r="S191" s="47">
        <f t="shared" si="25"/>
        <v>0</v>
      </c>
      <c r="T191" s="47">
        <f t="shared" si="26"/>
        <v>0</v>
      </c>
      <c r="U191" s="47">
        <f t="shared" si="27"/>
        <v>980481.33070723922</v>
      </c>
      <c r="V191" s="47">
        <f t="shared" si="28"/>
        <v>0</v>
      </c>
      <c r="W191" s="47">
        <f t="shared" si="29"/>
        <v>0</v>
      </c>
      <c r="X191" s="47">
        <f t="shared" si="30"/>
        <v>0</v>
      </c>
      <c r="Z191" s="41">
        <f>IF(EXACT(A191,LCI!A49),LCI!H49,-1*10^6)</f>
        <v>214.47</v>
      </c>
      <c r="AA191" s="71">
        <f t="shared" si="10"/>
        <v>11231777456.5851</v>
      </c>
      <c r="AB191" s="71">
        <f t="shared" si="43"/>
        <v>15532904.075545568</v>
      </c>
      <c r="AC191" s="71">
        <f t="shared" si="44"/>
        <v>103565974.85145155</v>
      </c>
      <c r="AD191" s="71">
        <f t="shared" si="45"/>
        <v>31179605.705999997</v>
      </c>
      <c r="AE191" s="71">
        <f t="shared" si="46"/>
        <v>0</v>
      </c>
      <c r="AF191" s="71">
        <f t="shared" si="47"/>
        <v>0</v>
      </c>
      <c r="AG191" s="71" t="e">
        <f>#REF!*$Z191</f>
        <v>#REF!</v>
      </c>
      <c r="AH191" s="71">
        <f t="shared" si="48"/>
        <v>0</v>
      </c>
      <c r="AI191" s="71">
        <f t="shared" si="49"/>
        <v>0</v>
      </c>
      <c r="AJ191" s="71">
        <f t="shared" si="50"/>
        <v>0</v>
      </c>
    </row>
    <row r="192" spans="1:36" x14ac:dyDescent="0.25">
      <c r="A192" s="14" t="str">
        <f>LCI!A50</f>
        <v>Electricity, PV Solar (MJ/yr)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N192" s="45">
        <f>IF(EXACT(A192,LCI!A50),LCI!G50,-1*10^6)</f>
        <v>2.9722222E-2</v>
      </c>
      <c r="O192" s="47">
        <f t="shared" si="21"/>
        <v>0</v>
      </c>
      <c r="P192" s="47">
        <f t="shared" si="22"/>
        <v>0</v>
      </c>
      <c r="Q192" s="47">
        <f t="shared" si="23"/>
        <v>0</v>
      </c>
      <c r="R192" s="47">
        <f t="shared" si="24"/>
        <v>0</v>
      </c>
      <c r="S192" s="47">
        <f t="shared" si="25"/>
        <v>0</v>
      </c>
      <c r="T192" s="47">
        <f t="shared" si="26"/>
        <v>0</v>
      </c>
      <c r="U192" s="47">
        <f t="shared" si="27"/>
        <v>0</v>
      </c>
      <c r="V192" s="47">
        <f t="shared" si="28"/>
        <v>0</v>
      </c>
      <c r="W192" s="47">
        <f t="shared" si="29"/>
        <v>0</v>
      </c>
      <c r="X192" s="47">
        <f t="shared" si="30"/>
        <v>0</v>
      </c>
      <c r="Z192" s="41">
        <f>IF(EXACT(A192,LCI!A50),LCI!H50,-1*10^6)</f>
        <v>20.277777780000001</v>
      </c>
      <c r="AA192" s="71">
        <f t="shared" si="10"/>
        <v>0</v>
      </c>
      <c r="AB192" s="71">
        <f t="shared" si="43"/>
        <v>0</v>
      </c>
      <c r="AC192" s="71">
        <f t="shared" si="44"/>
        <v>0</v>
      </c>
      <c r="AD192" s="71">
        <f t="shared" si="45"/>
        <v>0</v>
      </c>
      <c r="AE192" s="71">
        <f t="shared" si="46"/>
        <v>0</v>
      </c>
      <c r="AF192" s="71">
        <f t="shared" si="47"/>
        <v>0</v>
      </c>
      <c r="AG192" s="71" t="e">
        <f>#REF!*$Z192</f>
        <v>#REF!</v>
      </c>
      <c r="AH192" s="71">
        <f t="shared" si="48"/>
        <v>0</v>
      </c>
      <c r="AI192" s="71">
        <f t="shared" si="49"/>
        <v>0</v>
      </c>
      <c r="AJ192" s="71">
        <f t="shared" si="50"/>
        <v>0</v>
      </c>
    </row>
    <row r="193" spans="1:36" x14ac:dyDescent="0.25">
      <c r="A193" s="14" t="str">
        <f>LCI!A51</f>
        <v>Gasoline (kg/yr)</v>
      </c>
      <c r="B193" s="42">
        <f>B33</f>
        <v>1055.9965361400004</v>
      </c>
      <c r="C193" s="42">
        <f t="shared" ref="C193:L193" si="74">C33</f>
        <v>1055.9965361400004</v>
      </c>
      <c r="D193" s="42">
        <f t="shared" si="74"/>
        <v>0</v>
      </c>
      <c r="E193" s="42">
        <f t="shared" si="74"/>
        <v>0</v>
      </c>
      <c r="F193" s="42"/>
      <c r="G193" s="42">
        <f t="shared" si="74"/>
        <v>0</v>
      </c>
      <c r="H193" s="42">
        <f t="shared" si="74"/>
        <v>0</v>
      </c>
      <c r="I193" s="42">
        <f t="shared" si="74"/>
        <v>0</v>
      </c>
      <c r="J193" s="42">
        <f t="shared" si="74"/>
        <v>0</v>
      </c>
      <c r="K193" s="42">
        <f t="shared" si="74"/>
        <v>0</v>
      </c>
      <c r="L193" s="42">
        <f t="shared" si="74"/>
        <v>0</v>
      </c>
      <c r="N193" s="45">
        <f>IF(EXACT(A193,LCI!A51),LCI!G51,-1*10^6)</f>
        <v>0.48</v>
      </c>
      <c r="O193" s="47">
        <f t="shared" si="21"/>
        <v>506.87833734720022</v>
      </c>
      <c r="P193" s="47">
        <f t="shared" si="22"/>
        <v>506.87833734720022</v>
      </c>
      <c r="Q193" s="47">
        <f t="shared" si="23"/>
        <v>0</v>
      </c>
      <c r="R193" s="47">
        <f t="shared" si="24"/>
        <v>0</v>
      </c>
      <c r="S193" s="47">
        <f t="shared" si="25"/>
        <v>0</v>
      </c>
      <c r="T193" s="47">
        <f t="shared" si="26"/>
        <v>0</v>
      </c>
      <c r="U193" s="47">
        <f t="shared" si="27"/>
        <v>0</v>
      </c>
      <c r="V193" s="47">
        <f t="shared" si="28"/>
        <v>0</v>
      </c>
      <c r="W193" s="47">
        <f t="shared" si="29"/>
        <v>0</v>
      </c>
      <c r="X193" s="47">
        <f t="shared" si="30"/>
        <v>0</v>
      </c>
      <c r="Z193" s="41">
        <f>IF(EXACT(A193,LCI!A51),LCI!H51,-1*10^6)</f>
        <v>8235</v>
      </c>
      <c r="AA193" s="71">
        <f t="shared" si="10"/>
        <v>0</v>
      </c>
      <c r="AB193" s="71">
        <f t="shared" si="43"/>
        <v>8696131.4751129039</v>
      </c>
      <c r="AC193" s="71">
        <f t="shared" si="44"/>
        <v>0</v>
      </c>
      <c r="AD193" s="71">
        <f t="shared" si="45"/>
        <v>0</v>
      </c>
      <c r="AE193" s="71">
        <f t="shared" si="46"/>
        <v>0</v>
      </c>
      <c r="AF193" s="71">
        <f t="shared" si="47"/>
        <v>0</v>
      </c>
      <c r="AG193" s="71" t="e">
        <f>#REF!*$Z193</f>
        <v>#REF!</v>
      </c>
      <c r="AH193" s="71">
        <f t="shared" si="48"/>
        <v>0</v>
      </c>
      <c r="AI193" s="71">
        <f t="shared" si="49"/>
        <v>0</v>
      </c>
      <c r="AJ193" s="71">
        <f t="shared" si="50"/>
        <v>0</v>
      </c>
    </row>
    <row r="194" spans="1:36" x14ac:dyDescent="0.25">
      <c r="A194" s="14" t="str">
        <f>LCI!A53</f>
        <v>LPG (kg/yr)</v>
      </c>
      <c r="B194" s="42">
        <f>B35</f>
        <v>205.76846789928007</v>
      </c>
      <c r="C194" s="42">
        <f t="shared" ref="C194:L194" si="75">C35</f>
        <v>205.76846789928007</v>
      </c>
      <c r="D194" s="42">
        <f t="shared" si="75"/>
        <v>0</v>
      </c>
      <c r="E194" s="42">
        <f t="shared" si="75"/>
        <v>0</v>
      </c>
      <c r="F194" s="42"/>
      <c r="G194" s="42">
        <f t="shared" si="75"/>
        <v>0</v>
      </c>
      <c r="H194" s="42">
        <f t="shared" si="75"/>
        <v>0</v>
      </c>
      <c r="I194" s="42">
        <f t="shared" si="75"/>
        <v>0</v>
      </c>
      <c r="J194" s="42">
        <f t="shared" si="75"/>
        <v>0</v>
      </c>
      <c r="K194" s="42">
        <f t="shared" si="75"/>
        <v>0</v>
      </c>
      <c r="L194" s="42">
        <f t="shared" si="75"/>
        <v>0</v>
      </c>
      <c r="N194" s="45">
        <f>IF(EXACT(A194,LCI!A53),LCI!G53,-1*10^6)</f>
        <v>0.64400000000000002</v>
      </c>
      <c r="O194" s="47">
        <f>B194*$N194</f>
        <v>132.51489332713638</v>
      </c>
      <c r="P194" s="47">
        <f t="shared" si="22"/>
        <v>132.51489332713638</v>
      </c>
      <c r="Q194" s="47">
        <f t="shared" si="23"/>
        <v>0</v>
      </c>
      <c r="R194" s="47">
        <f t="shared" si="24"/>
        <v>0</v>
      </c>
      <c r="S194" s="47">
        <f t="shared" si="25"/>
        <v>0</v>
      </c>
      <c r="T194" s="47">
        <f t="shared" si="26"/>
        <v>0</v>
      </c>
      <c r="U194" s="47">
        <f t="shared" si="27"/>
        <v>0</v>
      </c>
      <c r="V194" s="47">
        <f t="shared" si="28"/>
        <v>0</v>
      </c>
      <c r="W194" s="47">
        <f t="shared" si="29"/>
        <v>0</v>
      </c>
      <c r="X194" s="47">
        <f t="shared" si="30"/>
        <v>0</v>
      </c>
      <c r="Z194" s="41">
        <f>IF(EXACT(A194,LCI!A54),LCI!H54,-1*10^6)</f>
        <v>-1000000</v>
      </c>
      <c r="AA194" s="71">
        <f t="shared" si="10"/>
        <v>0</v>
      </c>
      <c r="AB194" s="71">
        <f t="shared" si="43"/>
        <v>-205768467.89928007</v>
      </c>
      <c r="AC194" s="71">
        <f t="shared" si="44"/>
        <v>0</v>
      </c>
      <c r="AD194" s="71">
        <f t="shared" si="45"/>
        <v>0</v>
      </c>
      <c r="AE194" s="71">
        <f t="shared" si="46"/>
        <v>0</v>
      </c>
      <c r="AF194" s="71">
        <f t="shared" si="47"/>
        <v>0</v>
      </c>
      <c r="AG194" s="71" t="e">
        <f>#REF!*$Z194</f>
        <v>#REF!</v>
      </c>
      <c r="AH194" s="71">
        <f t="shared" si="48"/>
        <v>0</v>
      </c>
      <c r="AI194" s="71">
        <f t="shared" si="49"/>
        <v>0</v>
      </c>
      <c r="AJ194" s="71">
        <f t="shared" si="50"/>
        <v>0</v>
      </c>
    </row>
    <row r="195" spans="1:36" x14ac:dyDescent="0.25">
      <c r="A195" s="14" t="str">
        <f>LCI!A54</f>
        <v>Heat (MJ/yr)</v>
      </c>
      <c r="B195" s="42">
        <f>B34+B62+B80</f>
        <v>0</v>
      </c>
      <c r="C195" s="42">
        <f>C34+C62+C80</f>
        <v>2681.8959648000009</v>
      </c>
      <c r="D195" s="42" t="e">
        <f>D34+D62+D80</f>
        <v>#VALUE!</v>
      </c>
      <c r="E195" s="42">
        <f>E34+E62+E80</f>
        <v>0</v>
      </c>
      <c r="F195" s="42"/>
      <c r="G195" s="42">
        <f t="shared" ref="G195:L195" si="76">G34+G62+G80</f>
        <v>0</v>
      </c>
      <c r="H195" s="42">
        <f t="shared" si="76"/>
        <v>0</v>
      </c>
      <c r="I195" s="42">
        <f t="shared" si="76"/>
        <v>6056935.5599999996</v>
      </c>
      <c r="J195" s="42">
        <f t="shared" si="76"/>
        <v>0</v>
      </c>
      <c r="K195" s="42">
        <f t="shared" si="76"/>
        <v>0</v>
      </c>
      <c r="L195" s="42">
        <f t="shared" si="76"/>
        <v>0</v>
      </c>
      <c r="N195" s="45">
        <f>IF(EXACT(A195,LCI!A54),LCI!G54,-1*10^6)</f>
        <v>4.4928909999999997E-3</v>
      </c>
      <c r="O195" s="47">
        <f t="shared" si="21"/>
        <v>0</v>
      </c>
      <c r="P195" s="47">
        <f t="shared" si="22"/>
        <v>12.04946624318624</v>
      </c>
      <c r="Q195" s="47" t="e">
        <f t="shared" si="23"/>
        <v>#VALUE!</v>
      </c>
      <c r="R195" s="47">
        <f t="shared" si="24"/>
        <v>0</v>
      </c>
      <c r="S195" s="47">
        <f t="shared" si="25"/>
        <v>0</v>
      </c>
      <c r="T195" s="47">
        <f t="shared" si="26"/>
        <v>0</v>
      </c>
      <c r="U195" s="47">
        <f t="shared" si="27"/>
        <v>27213.151265103956</v>
      </c>
      <c r="V195" s="47">
        <f t="shared" si="28"/>
        <v>0</v>
      </c>
      <c r="W195" s="47">
        <f t="shared" si="29"/>
        <v>0</v>
      </c>
      <c r="X195" s="47">
        <f t="shared" si="30"/>
        <v>0</v>
      </c>
      <c r="Z195" s="41">
        <f>IF(EXACT(A195,LCI!A55),LCI!H55,-1*10^6)</f>
        <v>-1000000</v>
      </c>
      <c r="AA195" s="71">
        <f t="shared" si="10"/>
        <v>-6056935560000</v>
      </c>
      <c r="AB195" s="71">
        <f t="shared" si="43"/>
        <v>-2681895964.8000011</v>
      </c>
      <c r="AC195" s="71" t="e">
        <f t="shared" si="44"/>
        <v>#VALUE!</v>
      </c>
      <c r="AD195" s="71">
        <f t="shared" si="45"/>
        <v>0</v>
      </c>
      <c r="AE195" s="71">
        <f t="shared" si="46"/>
        <v>0</v>
      </c>
      <c r="AF195" s="71">
        <f t="shared" si="47"/>
        <v>0</v>
      </c>
      <c r="AG195" s="71" t="e">
        <f>#REF!*$Z195</f>
        <v>#REF!</v>
      </c>
      <c r="AH195" s="71">
        <f t="shared" si="48"/>
        <v>0</v>
      </c>
      <c r="AI195" s="71">
        <f t="shared" si="49"/>
        <v>0</v>
      </c>
      <c r="AJ195" s="71">
        <f t="shared" si="50"/>
        <v>0</v>
      </c>
    </row>
    <row r="196" spans="1:36" x14ac:dyDescent="0.25">
      <c r="A196" s="14" t="str">
        <f>LCI!A55</f>
        <v>Hydrogen (kg/yr)</v>
      </c>
      <c r="B196" s="42">
        <f>B80</f>
        <v>0</v>
      </c>
      <c r="C196" s="42">
        <f t="shared" ref="C196:L196" si="77">C80</f>
        <v>2681.8959648000009</v>
      </c>
      <c r="D196" s="42">
        <f t="shared" si="77"/>
        <v>0</v>
      </c>
      <c r="E196" s="42">
        <f t="shared" si="77"/>
        <v>0</v>
      </c>
      <c r="F196" s="42"/>
      <c r="G196" s="42">
        <f t="shared" si="77"/>
        <v>0</v>
      </c>
      <c r="H196" s="42">
        <f t="shared" si="77"/>
        <v>0</v>
      </c>
      <c r="I196" s="42">
        <f t="shared" si="77"/>
        <v>39801.06</v>
      </c>
      <c r="J196" s="42">
        <f t="shared" si="77"/>
        <v>0</v>
      </c>
      <c r="K196" s="42">
        <f t="shared" si="77"/>
        <v>0</v>
      </c>
      <c r="L196" s="42">
        <f t="shared" si="77"/>
        <v>0</v>
      </c>
      <c r="N196" s="45">
        <f>IF(EXACT(A196,LCI!A55),LCI!G55,-1*10^6)</f>
        <v>3.2160000000000002</v>
      </c>
      <c r="O196" s="47">
        <f t="shared" ref="O196:O197" si="78">B196*$N196</f>
        <v>0</v>
      </c>
      <c r="P196" s="47">
        <f t="shared" ref="P196:P197" si="79">C196*$N196</f>
        <v>8624.9774227968028</v>
      </c>
      <c r="Q196" s="47">
        <f t="shared" ref="Q196:Q197" si="80">D196*$N196</f>
        <v>0</v>
      </c>
      <c r="R196" s="47">
        <f t="shared" ref="R196:R197" si="81">E196*$N196</f>
        <v>0</v>
      </c>
      <c r="S196" s="47">
        <f t="shared" ref="S196:S197" si="82">G196*$N196</f>
        <v>0</v>
      </c>
      <c r="T196" s="47">
        <f t="shared" ref="T196:T197" si="83">H196*$N196</f>
        <v>0</v>
      </c>
      <c r="U196" s="47">
        <f t="shared" ref="U196:U197" si="84">I196*$N196</f>
        <v>128000.20896</v>
      </c>
      <c r="V196" s="47">
        <f t="shared" ref="V196:V197" si="85">J196*$N196</f>
        <v>0</v>
      </c>
      <c r="W196" s="47">
        <f t="shared" ref="W196:W197" si="86">K196*$N196</f>
        <v>0</v>
      </c>
      <c r="X196" s="47">
        <f t="shared" ref="X196:X197" si="87">L196*$N196</f>
        <v>0</v>
      </c>
      <c r="Z196" s="4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</row>
    <row r="197" spans="1:36" x14ac:dyDescent="0.25">
      <c r="A197" s="14" t="str">
        <f>LCI!A56</f>
        <v>Natural Gas (kg/yr)</v>
      </c>
      <c r="B197" s="42">
        <f>B36+B63+B81</f>
        <v>9732.883253265336</v>
      </c>
      <c r="C197" s="42">
        <f>C36+C63+C81</f>
        <v>18320.768856939125</v>
      </c>
      <c r="D197" s="42" t="e">
        <f>D36+D63+D81</f>
        <v>#VALUE!</v>
      </c>
      <c r="E197" s="42" t="e">
        <f>E36+E63+E81</f>
        <v>#VALUE!</v>
      </c>
      <c r="F197" s="42"/>
      <c r="G197" s="42">
        <f t="shared" ref="G197:L197" si="88">G36+G63+G81</f>
        <v>0</v>
      </c>
      <c r="H197" s="42">
        <f t="shared" si="88"/>
        <v>0</v>
      </c>
      <c r="I197" s="42">
        <f t="shared" si="88"/>
        <v>0</v>
      </c>
      <c r="J197" s="42">
        <f t="shared" si="88"/>
        <v>0</v>
      </c>
      <c r="K197" s="42">
        <f t="shared" si="88"/>
        <v>0</v>
      </c>
      <c r="L197" s="42">
        <f t="shared" si="88"/>
        <v>0</v>
      </c>
      <c r="N197" s="45">
        <f>IF(EXACT(A197,LCI!A56),LCI!G56,-1*10^6)</f>
        <v>0.25</v>
      </c>
      <c r="O197" s="47">
        <f t="shared" si="78"/>
        <v>2433.220813316334</v>
      </c>
      <c r="P197" s="47">
        <f t="shared" si="79"/>
        <v>4580.1922142347812</v>
      </c>
      <c r="Q197" s="47" t="e">
        <f t="shared" si="80"/>
        <v>#VALUE!</v>
      </c>
      <c r="R197" s="47" t="e">
        <f t="shared" si="81"/>
        <v>#VALUE!</v>
      </c>
      <c r="S197" s="47">
        <f t="shared" si="82"/>
        <v>0</v>
      </c>
      <c r="T197" s="47">
        <f t="shared" si="83"/>
        <v>0</v>
      </c>
      <c r="U197" s="47">
        <f t="shared" si="84"/>
        <v>0</v>
      </c>
      <c r="V197" s="47">
        <f t="shared" si="85"/>
        <v>0</v>
      </c>
      <c r="W197" s="47">
        <f t="shared" si="86"/>
        <v>0</v>
      </c>
      <c r="X197" s="47">
        <f t="shared" si="87"/>
        <v>0</v>
      </c>
      <c r="Z197" s="4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</row>
    <row r="198" spans="1:36" x14ac:dyDescent="0.25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N198" s="44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Z198" s="4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</row>
    <row r="199" spans="1:36" x14ac:dyDescent="0.25">
      <c r="A199" s="16" t="s">
        <v>374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N199" s="44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Z199" s="4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</row>
    <row r="200" spans="1:36" x14ac:dyDescent="0.25">
      <c r="A200" s="14" t="str">
        <f>LCI!A58</f>
        <v>CH4 Emissions (kg/yr)</v>
      </c>
      <c r="B200" s="43">
        <f>B93</f>
        <v>0</v>
      </c>
      <c r="C200" s="43">
        <f t="shared" ref="C200:L200" si="89">C93</f>
        <v>0</v>
      </c>
      <c r="D200" s="43">
        <f t="shared" si="89"/>
        <v>0</v>
      </c>
      <c r="E200" s="43">
        <f t="shared" si="89"/>
        <v>0</v>
      </c>
      <c r="F200" s="43"/>
      <c r="G200" s="43">
        <f t="shared" si="89"/>
        <v>0</v>
      </c>
      <c r="H200" s="43">
        <f t="shared" si="89"/>
        <v>0</v>
      </c>
      <c r="I200" s="43">
        <f t="shared" si="89"/>
        <v>0</v>
      </c>
      <c r="J200" s="43">
        <f t="shared" si="89"/>
        <v>0</v>
      </c>
      <c r="K200" s="43">
        <f t="shared" si="89"/>
        <v>0</v>
      </c>
      <c r="L200" s="43">
        <f t="shared" si="89"/>
        <v>0</v>
      </c>
      <c r="N200" s="45">
        <f>IF(EXACT(A200,LCI!A58),LCI!G58,-1*10^6)</f>
        <v>0</v>
      </c>
      <c r="O200" s="47">
        <f t="shared" ref="O200:O230" si="90">B200*$N200</f>
        <v>0</v>
      </c>
      <c r="P200" s="47">
        <f t="shared" ref="P200:P230" si="91">C200*$N200</f>
        <v>0</v>
      </c>
      <c r="Q200" s="47">
        <f t="shared" ref="Q200:Q230" si="92">D200*$N200</f>
        <v>0</v>
      </c>
      <c r="R200" s="47">
        <f t="shared" ref="R200:R230" si="93">E200*$N200</f>
        <v>0</v>
      </c>
      <c r="S200" s="47">
        <f t="shared" ref="S200" si="94">G200*$N200</f>
        <v>0</v>
      </c>
      <c r="T200" s="47">
        <f t="shared" ref="T200" si="95">H200*$N200</f>
        <v>0</v>
      </c>
      <c r="U200" s="47">
        <f>I200*$N200</f>
        <v>0</v>
      </c>
      <c r="V200" s="47">
        <f t="shared" ref="V200" si="96">J200*$N200</f>
        <v>0</v>
      </c>
      <c r="W200" s="47">
        <f t="shared" ref="W200" si="97">K200*$N200</f>
        <v>0</v>
      </c>
      <c r="X200" s="47">
        <f t="shared" ref="X200" si="98">L200*$N200</f>
        <v>0</v>
      </c>
      <c r="Z200" s="41">
        <f>IF(EXACT(A200,LCI!A58),LCI!H58,-1*10^6)</f>
        <v>36000</v>
      </c>
      <c r="AA200" s="71">
        <f t="shared" ref="AA200:AA230" si="99">I200*$Z200</f>
        <v>0</v>
      </c>
      <c r="AB200" s="71">
        <f t="shared" ref="AB200:AB215" si="100">C200*$Z200</f>
        <v>0</v>
      </c>
      <c r="AC200" s="71">
        <f t="shared" ref="AC200:AC215" si="101">D200*$Z200</f>
        <v>0</v>
      </c>
      <c r="AD200" s="71">
        <f t="shared" ref="AD200:AD215" si="102">E200*$Z200</f>
        <v>0</v>
      </c>
      <c r="AE200" s="71">
        <f t="shared" ref="AE200:AE215" si="103">G200*$Z200</f>
        <v>0</v>
      </c>
      <c r="AF200" s="71">
        <f t="shared" ref="AF200:AF215" si="104">H200*$Z200</f>
        <v>0</v>
      </c>
      <c r="AG200" s="71" t="e">
        <f>#REF!*$Z200</f>
        <v>#REF!</v>
      </c>
      <c r="AH200" s="71">
        <f t="shared" ref="AH200:AH215" si="105">J200*$Z200</f>
        <v>0</v>
      </c>
      <c r="AI200" s="71">
        <f t="shared" ref="AI200:AI215" si="106">K200*$Z200</f>
        <v>0</v>
      </c>
      <c r="AJ200" s="71">
        <f t="shared" ref="AJ200:AJ215" si="107">L200*$Z200</f>
        <v>0</v>
      </c>
    </row>
    <row r="201" spans="1:36" x14ac:dyDescent="0.25">
      <c r="A201" s="14" t="str">
        <f>LCI!A59</f>
        <v>CO2 Emissions (kg/yr)</v>
      </c>
      <c r="B201" s="43">
        <f>B94+B109+B126</f>
        <v>0</v>
      </c>
      <c r="C201" s="43">
        <f t="shared" ref="C201:L201" si="108">C94+C109+C126</f>
        <v>3620.559552480001</v>
      </c>
      <c r="D201" s="43">
        <f t="shared" si="108"/>
        <v>0</v>
      </c>
      <c r="E201" s="43">
        <f t="shared" si="108"/>
        <v>0</v>
      </c>
      <c r="F201" s="43"/>
      <c r="G201" s="43">
        <f t="shared" si="108"/>
        <v>0</v>
      </c>
      <c r="H201" s="43">
        <f t="shared" si="108"/>
        <v>0</v>
      </c>
      <c r="I201" s="43">
        <f t="shared" si="108"/>
        <v>2143632.0059999996</v>
      </c>
      <c r="J201" s="43">
        <f t="shared" si="108"/>
        <v>0</v>
      </c>
      <c r="K201" s="43">
        <f t="shared" si="108"/>
        <v>0</v>
      </c>
      <c r="L201" s="43">
        <f t="shared" si="108"/>
        <v>0</v>
      </c>
      <c r="N201" s="45">
        <f>IF(EXACT(A201,LCI!A59),LCI!G59,-1*10^6)</f>
        <v>0</v>
      </c>
      <c r="O201" s="47">
        <f t="shared" si="90"/>
        <v>0</v>
      </c>
      <c r="P201" s="47">
        <f t="shared" si="91"/>
        <v>0</v>
      </c>
      <c r="Q201" s="47">
        <f t="shared" si="92"/>
        <v>0</v>
      </c>
      <c r="R201" s="47">
        <f t="shared" si="93"/>
        <v>0</v>
      </c>
      <c r="S201" s="47">
        <f t="shared" ref="S201:S230" si="109">G201*$N201</f>
        <v>0</v>
      </c>
      <c r="T201" s="47">
        <f t="shared" ref="T201:T230" si="110">H201*$N201</f>
        <v>0</v>
      </c>
      <c r="U201" s="47">
        <f t="shared" ref="U201:U230" si="111">I201*$N201</f>
        <v>0</v>
      </c>
      <c r="V201" s="47">
        <f t="shared" ref="V201:V230" si="112">J201*$N201</f>
        <v>0</v>
      </c>
      <c r="W201" s="47">
        <f t="shared" ref="W201:W230" si="113">K201*$N201</f>
        <v>0</v>
      </c>
      <c r="X201" s="47">
        <f t="shared" ref="X201:X230" si="114">L201*$N201</f>
        <v>0</v>
      </c>
      <c r="Z201" s="41">
        <f>IF(EXACT(A201,LCI!A59),LCI!H59,-1*10^6)</f>
        <v>1000</v>
      </c>
      <c r="AA201" s="71">
        <f t="shared" si="99"/>
        <v>2143632005.9999995</v>
      </c>
      <c r="AB201" s="71">
        <f t="shared" si="100"/>
        <v>3620559.552480001</v>
      </c>
      <c r="AC201" s="71">
        <f t="shared" si="101"/>
        <v>0</v>
      </c>
      <c r="AD201" s="71">
        <f t="shared" si="102"/>
        <v>0</v>
      </c>
      <c r="AE201" s="71">
        <f t="shared" si="103"/>
        <v>0</v>
      </c>
      <c r="AF201" s="71">
        <f t="shared" si="104"/>
        <v>0</v>
      </c>
      <c r="AG201" s="71" t="e">
        <f>#REF!*$Z201</f>
        <v>#REF!</v>
      </c>
      <c r="AH201" s="71">
        <f t="shared" si="105"/>
        <v>0</v>
      </c>
      <c r="AI201" s="71">
        <f t="shared" si="106"/>
        <v>0</v>
      </c>
      <c r="AJ201" s="71">
        <f t="shared" si="107"/>
        <v>0</v>
      </c>
    </row>
    <row r="202" spans="1:36" x14ac:dyDescent="0.25">
      <c r="A202" s="14" t="str">
        <f>LCI!A60</f>
        <v>CO Emissions (kg/yr)</v>
      </c>
      <c r="B202" s="43">
        <f>B125</f>
        <v>0</v>
      </c>
      <c r="C202" s="43">
        <f t="shared" ref="C202:L202" si="115">C125</f>
        <v>0</v>
      </c>
      <c r="D202" s="43">
        <f t="shared" si="115"/>
        <v>0</v>
      </c>
      <c r="E202" s="43">
        <f t="shared" si="115"/>
        <v>0</v>
      </c>
      <c r="F202" s="43"/>
      <c r="G202" s="43">
        <f t="shared" si="115"/>
        <v>0</v>
      </c>
      <c r="H202" s="43">
        <f t="shared" si="115"/>
        <v>0</v>
      </c>
      <c r="I202" s="43">
        <f t="shared" si="115"/>
        <v>0</v>
      </c>
      <c r="J202" s="43">
        <f t="shared" si="115"/>
        <v>0</v>
      </c>
      <c r="K202" s="43">
        <f t="shared" si="115"/>
        <v>0</v>
      </c>
      <c r="L202" s="43">
        <f t="shared" si="115"/>
        <v>0</v>
      </c>
      <c r="N202" s="45">
        <f>IF(EXACT(A202,LCI!A60),LCI!G60,-1*10^6)</f>
        <v>0</v>
      </c>
      <c r="O202" s="47">
        <f t="shared" si="90"/>
        <v>0</v>
      </c>
      <c r="P202" s="47">
        <f t="shared" si="91"/>
        <v>0</v>
      </c>
      <c r="Q202" s="47">
        <f t="shared" si="92"/>
        <v>0</v>
      </c>
      <c r="R202" s="47">
        <f t="shared" si="93"/>
        <v>0</v>
      </c>
      <c r="S202" s="47">
        <f t="shared" si="109"/>
        <v>0</v>
      </c>
      <c r="T202" s="47">
        <f t="shared" si="110"/>
        <v>0</v>
      </c>
      <c r="U202" s="47">
        <f t="shared" si="111"/>
        <v>0</v>
      </c>
      <c r="V202" s="47">
        <f t="shared" si="112"/>
        <v>0</v>
      </c>
      <c r="W202" s="47">
        <f t="shared" si="113"/>
        <v>0</v>
      </c>
      <c r="X202" s="47">
        <f t="shared" si="114"/>
        <v>0</v>
      </c>
      <c r="Z202" s="41">
        <f>IF(EXACT(A202,LCI!A60),LCI!H60,-1*10^6)</f>
        <v>0</v>
      </c>
      <c r="AA202" s="71">
        <f t="shared" si="99"/>
        <v>0</v>
      </c>
      <c r="AB202" s="71">
        <f t="shared" si="100"/>
        <v>0</v>
      </c>
      <c r="AC202" s="71">
        <f t="shared" si="101"/>
        <v>0</v>
      </c>
      <c r="AD202" s="71">
        <f t="shared" si="102"/>
        <v>0</v>
      </c>
      <c r="AE202" s="71">
        <f t="shared" si="103"/>
        <v>0</v>
      </c>
      <c r="AF202" s="71">
        <f t="shared" si="104"/>
        <v>0</v>
      </c>
      <c r="AG202" s="71" t="e">
        <f>#REF!*$Z202</f>
        <v>#REF!</v>
      </c>
      <c r="AH202" s="71">
        <f t="shared" si="105"/>
        <v>0</v>
      </c>
      <c r="AI202" s="71">
        <f t="shared" si="106"/>
        <v>0</v>
      </c>
      <c r="AJ202" s="71">
        <f t="shared" si="107"/>
        <v>0</v>
      </c>
    </row>
    <row r="203" spans="1:36" x14ac:dyDescent="0.25">
      <c r="A203" s="14" t="str">
        <f>LCI!A61</f>
        <v>LUC Emissions (kg CO2e/yr)</v>
      </c>
      <c r="B203" s="43">
        <f>B95</f>
        <v>0</v>
      </c>
      <c r="C203" s="43">
        <f t="shared" ref="C203:L203" si="116">C95</f>
        <v>0</v>
      </c>
      <c r="D203" s="43">
        <f t="shared" si="116"/>
        <v>0</v>
      </c>
      <c r="E203" s="43">
        <f t="shared" si="116"/>
        <v>0</v>
      </c>
      <c r="F203" s="43"/>
      <c r="G203" s="43">
        <f t="shared" si="116"/>
        <v>0</v>
      </c>
      <c r="H203" s="43">
        <f t="shared" si="116"/>
        <v>0</v>
      </c>
      <c r="I203" s="43">
        <f t="shared" si="116"/>
        <v>0</v>
      </c>
      <c r="J203" s="43">
        <f t="shared" si="116"/>
        <v>0</v>
      </c>
      <c r="K203" s="43">
        <f t="shared" si="116"/>
        <v>0</v>
      </c>
      <c r="L203" s="43">
        <f t="shared" si="116"/>
        <v>0</v>
      </c>
      <c r="N203" s="45">
        <f>IF(EXACT(A203,LCI!A61),LCI!G61,-1*10^6)</f>
        <v>0</v>
      </c>
      <c r="O203" s="47">
        <f t="shared" si="90"/>
        <v>0</v>
      </c>
      <c r="P203" s="47">
        <f t="shared" si="91"/>
        <v>0</v>
      </c>
      <c r="Q203" s="47">
        <f t="shared" si="92"/>
        <v>0</v>
      </c>
      <c r="R203" s="47">
        <f t="shared" si="93"/>
        <v>0</v>
      </c>
      <c r="S203" s="47">
        <f t="shared" si="109"/>
        <v>0</v>
      </c>
      <c r="T203" s="47">
        <f t="shared" si="110"/>
        <v>0</v>
      </c>
      <c r="U203" s="47">
        <f t="shared" si="111"/>
        <v>0</v>
      </c>
      <c r="V203" s="47">
        <f t="shared" si="112"/>
        <v>0</v>
      </c>
      <c r="W203" s="47">
        <f t="shared" si="113"/>
        <v>0</v>
      </c>
      <c r="X203" s="47">
        <f t="shared" si="114"/>
        <v>0</v>
      </c>
      <c r="Z203" s="41">
        <f>IF(EXACT(A203,LCI!A61),LCI!H61,-1*10^6)</f>
        <v>1000</v>
      </c>
      <c r="AA203" s="71">
        <f t="shared" si="99"/>
        <v>0</v>
      </c>
      <c r="AB203" s="71">
        <f t="shared" si="100"/>
        <v>0</v>
      </c>
      <c r="AC203" s="71">
        <f t="shared" si="101"/>
        <v>0</v>
      </c>
      <c r="AD203" s="71">
        <f t="shared" si="102"/>
        <v>0</v>
      </c>
      <c r="AE203" s="71">
        <f t="shared" si="103"/>
        <v>0</v>
      </c>
      <c r="AF203" s="71">
        <f t="shared" si="104"/>
        <v>0</v>
      </c>
      <c r="AG203" s="71" t="e">
        <f>#REF!*$Z203</f>
        <v>#REF!</v>
      </c>
      <c r="AH203" s="71">
        <f t="shared" si="105"/>
        <v>0</v>
      </c>
      <c r="AI203" s="71">
        <f t="shared" si="106"/>
        <v>0</v>
      </c>
      <c r="AJ203" s="71">
        <f t="shared" si="107"/>
        <v>0</v>
      </c>
    </row>
    <row r="204" spans="1:36" x14ac:dyDescent="0.25">
      <c r="A204" s="14" t="str">
        <f>LCI!A62</f>
        <v>N2O Emissions (kg/yr)</v>
      </c>
      <c r="B204" s="43">
        <f>B96</f>
        <v>7.9954023450600022</v>
      </c>
      <c r="C204" s="43">
        <f t="shared" ref="C204:L204" si="117">C96</f>
        <v>7.9954023450600022</v>
      </c>
      <c r="D204" s="43">
        <f t="shared" si="117"/>
        <v>0</v>
      </c>
      <c r="E204" s="43">
        <f t="shared" si="117"/>
        <v>0</v>
      </c>
      <c r="F204" s="43"/>
      <c r="G204" s="43">
        <f t="shared" si="117"/>
        <v>0</v>
      </c>
      <c r="H204" s="43">
        <f t="shared" si="117"/>
        <v>0</v>
      </c>
      <c r="I204" s="43">
        <f t="shared" si="117"/>
        <v>0</v>
      </c>
      <c r="J204" s="43">
        <f t="shared" si="117"/>
        <v>0</v>
      </c>
      <c r="K204" s="43">
        <f t="shared" si="117"/>
        <v>0</v>
      </c>
      <c r="L204" s="43">
        <f t="shared" si="117"/>
        <v>0</v>
      </c>
      <c r="N204" s="45">
        <f>IF(EXACT(A204,LCI!A62),LCI!G62,-1*10^6)</f>
        <v>0</v>
      </c>
      <c r="O204" s="47">
        <f t="shared" si="90"/>
        <v>0</v>
      </c>
      <c r="P204" s="47">
        <f t="shared" si="91"/>
        <v>0</v>
      </c>
      <c r="Q204" s="47">
        <f t="shared" si="92"/>
        <v>0</v>
      </c>
      <c r="R204" s="47">
        <f t="shared" si="93"/>
        <v>0</v>
      </c>
      <c r="S204" s="47">
        <f t="shared" si="109"/>
        <v>0</v>
      </c>
      <c r="T204" s="47">
        <f t="shared" si="110"/>
        <v>0</v>
      </c>
      <c r="U204" s="47">
        <f t="shared" si="111"/>
        <v>0</v>
      </c>
      <c r="V204" s="47">
        <f t="shared" si="112"/>
        <v>0</v>
      </c>
      <c r="W204" s="47">
        <f t="shared" si="113"/>
        <v>0</v>
      </c>
      <c r="X204" s="47">
        <f t="shared" si="114"/>
        <v>0</v>
      </c>
      <c r="Z204" s="41">
        <f>IF(EXACT(A204,LCI!A62),LCI!H62,-1*10^6)</f>
        <v>298000</v>
      </c>
      <c r="AA204" s="71">
        <f t="shared" si="99"/>
        <v>0</v>
      </c>
      <c r="AB204" s="71">
        <f t="shared" si="100"/>
        <v>2382629.8988278806</v>
      </c>
      <c r="AC204" s="71">
        <f t="shared" si="101"/>
        <v>0</v>
      </c>
      <c r="AD204" s="71">
        <f t="shared" si="102"/>
        <v>0</v>
      </c>
      <c r="AE204" s="71">
        <f t="shared" si="103"/>
        <v>0</v>
      </c>
      <c r="AF204" s="71">
        <f t="shared" si="104"/>
        <v>0</v>
      </c>
      <c r="AG204" s="71" t="e">
        <f>#REF!*$Z204</f>
        <v>#REF!</v>
      </c>
      <c r="AH204" s="71">
        <f t="shared" si="105"/>
        <v>0</v>
      </c>
      <c r="AI204" s="71">
        <f t="shared" si="106"/>
        <v>0</v>
      </c>
      <c r="AJ204" s="71">
        <f t="shared" si="107"/>
        <v>0</v>
      </c>
    </row>
    <row r="205" spans="1:36" x14ac:dyDescent="0.25">
      <c r="A205" s="14" t="str">
        <f>LCI!A63</f>
        <v>NOx Emissions (kg/yr)</v>
      </c>
      <c r="B205" s="43">
        <f>B127</f>
        <v>0</v>
      </c>
      <c r="C205" s="43">
        <f t="shared" ref="C205:L205" si="118">C127</f>
        <v>0</v>
      </c>
      <c r="D205" s="43">
        <f t="shared" si="118"/>
        <v>0</v>
      </c>
      <c r="E205" s="43">
        <f t="shared" si="118"/>
        <v>0</v>
      </c>
      <c r="F205" s="43"/>
      <c r="G205" s="43">
        <f t="shared" si="118"/>
        <v>0</v>
      </c>
      <c r="H205" s="43">
        <f t="shared" si="118"/>
        <v>0</v>
      </c>
      <c r="I205" s="43">
        <f t="shared" si="118"/>
        <v>0</v>
      </c>
      <c r="J205" s="43">
        <f t="shared" si="118"/>
        <v>0</v>
      </c>
      <c r="K205" s="43">
        <f t="shared" si="118"/>
        <v>0</v>
      </c>
      <c r="L205" s="43">
        <f t="shared" si="118"/>
        <v>0</v>
      </c>
      <c r="N205" s="45">
        <f>IF(EXACT(A205,LCI!A63),LCI!G63,-1*10^6)</f>
        <v>0</v>
      </c>
      <c r="O205" s="47">
        <f t="shared" si="90"/>
        <v>0</v>
      </c>
      <c r="P205" s="47">
        <f t="shared" si="91"/>
        <v>0</v>
      </c>
      <c r="Q205" s="47">
        <f t="shared" si="92"/>
        <v>0</v>
      </c>
      <c r="R205" s="47">
        <f t="shared" si="93"/>
        <v>0</v>
      </c>
      <c r="S205" s="47">
        <f t="shared" si="109"/>
        <v>0</v>
      </c>
      <c r="T205" s="47">
        <f t="shared" si="110"/>
        <v>0</v>
      </c>
      <c r="U205" s="47">
        <f t="shared" si="111"/>
        <v>0</v>
      </c>
      <c r="V205" s="47">
        <f t="shared" si="112"/>
        <v>0</v>
      </c>
      <c r="W205" s="47">
        <f t="shared" si="113"/>
        <v>0</v>
      </c>
      <c r="X205" s="47">
        <f t="shared" si="114"/>
        <v>0</v>
      </c>
      <c r="Z205" s="41">
        <f>IF(EXACT(A205,LCI!A65),LCI!H65,-1*10^6)</f>
        <v>-1000000</v>
      </c>
      <c r="AA205" s="71">
        <f t="shared" si="99"/>
        <v>0</v>
      </c>
      <c r="AB205" s="71">
        <f t="shared" si="100"/>
        <v>0</v>
      </c>
      <c r="AC205" s="71">
        <f t="shared" si="101"/>
        <v>0</v>
      </c>
      <c r="AD205" s="71">
        <f t="shared" si="102"/>
        <v>0</v>
      </c>
      <c r="AE205" s="71">
        <f t="shared" si="103"/>
        <v>0</v>
      </c>
      <c r="AF205" s="71">
        <f t="shared" si="104"/>
        <v>0</v>
      </c>
      <c r="AG205" s="71" t="e">
        <f>#REF!*$Z205</f>
        <v>#REF!</v>
      </c>
      <c r="AH205" s="71">
        <f t="shared" si="105"/>
        <v>0</v>
      </c>
      <c r="AI205" s="71">
        <f t="shared" si="106"/>
        <v>0</v>
      </c>
      <c r="AJ205" s="71">
        <f t="shared" si="107"/>
        <v>0</v>
      </c>
    </row>
    <row r="206" spans="1:36" x14ac:dyDescent="0.25">
      <c r="A206" s="14" t="str">
        <f>LCI!A64</f>
        <v>Algal Biomass, Whole (kg/yr)</v>
      </c>
      <c r="B206" s="43">
        <f>B97-B43</f>
        <v>0</v>
      </c>
      <c r="C206" s="43">
        <f>C97-C43</f>
        <v>0</v>
      </c>
      <c r="D206" s="43">
        <f>D97-D43</f>
        <v>0</v>
      </c>
      <c r="E206" s="43">
        <f>E97-E43</f>
        <v>0</v>
      </c>
      <c r="F206" s="43"/>
      <c r="G206" s="43">
        <f t="shared" ref="G206:L206" si="119">G97-G43</f>
        <v>0</v>
      </c>
      <c r="H206" s="43">
        <f t="shared" si="119"/>
        <v>0</v>
      </c>
      <c r="I206" s="43">
        <f t="shared" si="119"/>
        <v>0</v>
      </c>
      <c r="J206" s="43">
        <f t="shared" si="119"/>
        <v>0</v>
      </c>
      <c r="K206" s="43">
        <f t="shared" si="119"/>
        <v>0</v>
      </c>
      <c r="L206" s="43">
        <f t="shared" si="119"/>
        <v>0</v>
      </c>
      <c r="N206" s="45">
        <f>IF(EXACT(A206,LCI!A64),LCI!G64,-1*10^6)</f>
        <v>0</v>
      </c>
      <c r="O206" s="47">
        <f t="shared" si="90"/>
        <v>0</v>
      </c>
      <c r="P206" s="47">
        <f t="shared" si="91"/>
        <v>0</v>
      </c>
      <c r="Q206" s="47">
        <f t="shared" si="92"/>
        <v>0</v>
      </c>
      <c r="R206" s="47">
        <f t="shared" si="93"/>
        <v>0</v>
      </c>
      <c r="S206" s="47">
        <f t="shared" si="109"/>
        <v>0</v>
      </c>
      <c r="T206" s="47">
        <f t="shared" si="110"/>
        <v>0</v>
      </c>
      <c r="U206" s="47">
        <f t="shared" si="111"/>
        <v>0</v>
      </c>
      <c r="V206" s="47">
        <f t="shared" si="112"/>
        <v>0</v>
      </c>
      <c r="W206" s="47">
        <f t="shared" si="113"/>
        <v>0</v>
      </c>
      <c r="X206" s="47">
        <f t="shared" si="114"/>
        <v>0</v>
      </c>
      <c r="Z206" s="41">
        <f>IF(EXACT(A206,LCI!A69),LCI!H69,-1*10^6)</f>
        <v>-1000000</v>
      </c>
      <c r="AA206" s="71">
        <f t="shared" si="99"/>
        <v>0</v>
      </c>
      <c r="AB206" s="71">
        <f t="shared" si="100"/>
        <v>0</v>
      </c>
      <c r="AC206" s="71">
        <f t="shared" si="101"/>
        <v>0</v>
      </c>
      <c r="AD206" s="71">
        <f t="shared" si="102"/>
        <v>0</v>
      </c>
      <c r="AE206" s="71">
        <f t="shared" si="103"/>
        <v>0</v>
      </c>
      <c r="AF206" s="71">
        <f t="shared" si="104"/>
        <v>0</v>
      </c>
      <c r="AG206" s="71" t="e">
        <f>#REF!*$Z206</f>
        <v>#REF!</v>
      </c>
      <c r="AH206" s="71">
        <f t="shared" si="105"/>
        <v>0</v>
      </c>
      <c r="AI206" s="71">
        <f t="shared" si="106"/>
        <v>0</v>
      </c>
      <c r="AJ206" s="71">
        <f t="shared" si="107"/>
        <v>0</v>
      </c>
    </row>
    <row r="207" spans="1:36" x14ac:dyDescent="0.25">
      <c r="A207" s="14" t="str">
        <f>LCI!A65</f>
        <v>Algal Biomass, LEA Meal (kg/yr)</v>
      </c>
      <c r="B207" s="43">
        <f>B110</f>
        <v>0</v>
      </c>
      <c r="C207" s="43">
        <f t="shared" ref="C207:L207" si="120">C110</f>
        <v>0</v>
      </c>
      <c r="D207" s="43">
        <f t="shared" si="120"/>
        <v>0</v>
      </c>
      <c r="E207" s="43">
        <f t="shared" si="120"/>
        <v>0</v>
      </c>
      <c r="F207" s="43"/>
      <c r="G207" s="43">
        <f t="shared" si="120"/>
        <v>0</v>
      </c>
      <c r="H207" s="43">
        <f t="shared" si="120"/>
        <v>0</v>
      </c>
      <c r="I207" s="43">
        <f t="shared" si="120"/>
        <v>3933130.5</v>
      </c>
      <c r="J207" s="43">
        <f t="shared" si="120"/>
        <v>0</v>
      </c>
      <c r="K207" s="43">
        <f t="shared" si="120"/>
        <v>0</v>
      </c>
      <c r="L207" s="43">
        <f t="shared" si="120"/>
        <v>0</v>
      </c>
      <c r="N207" s="45">
        <f>IF(EXACT(A207,LCI!A65),LCI!G65,-1*10^6)</f>
        <v>0.35</v>
      </c>
      <c r="O207" s="47">
        <f t="shared" si="90"/>
        <v>0</v>
      </c>
      <c r="P207" s="47">
        <f t="shared" si="91"/>
        <v>0</v>
      </c>
      <c r="Q207" s="47">
        <f t="shared" si="92"/>
        <v>0</v>
      </c>
      <c r="R207" s="47">
        <f t="shared" si="93"/>
        <v>0</v>
      </c>
      <c r="S207" s="47">
        <f t="shared" si="109"/>
        <v>0</v>
      </c>
      <c r="T207" s="47">
        <f t="shared" si="110"/>
        <v>0</v>
      </c>
      <c r="U207" s="47">
        <f t="shared" si="111"/>
        <v>1376595.6749999998</v>
      </c>
      <c r="V207" s="47">
        <f t="shared" si="112"/>
        <v>0</v>
      </c>
      <c r="W207" s="47">
        <f t="shared" si="113"/>
        <v>0</v>
      </c>
      <c r="X207" s="47">
        <f t="shared" si="114"/>
        <v>0</v>
      </c>
      <c r="Z207" s="41">
        <f>IF(EXACT(A207,LCI!A71),LCI!H71,-1*10^6)</f>
        <v>-1000000</v>
      </c>
      <c r="AA207" s="71">
        <f t="shared" si="99"/>
        <v>-3933130500000</v>
      </c>
      <c r="AB207" s="71">
        <f t="shared" si="100"/>
        <v>0</v>
      </c>
      <c r="AC207" s="71">
        <f t="shared" si="101"/>
        <v>0</v>
      </c>
      <c r="AD207" s="71">
        <f t="shared" si="102"/>
        <v>0</v>
      </c>
      <c r="AE207" s="71">
        <f t="shared" si="103"/>
        <v>0</v>
      </c>
      <c r="AF207" s="71">
        <f t="shared" si="104"/>
        <v>0</v>
      </c>
      <c r="AG207" s="71" t="e">
        <f>#REF!*$Z207</f>
        <v>#REF!</v>
      </c>
      <c r="AH207" s="71">
        <f t="shared" si="105"/>
        <v>0</v>
      </c>
      <c r="AI207" s="71">
        <f t="shared" si="106"/>
        <v>0</v>
      </c>
      <c r="AJ207" s="71">
        <f t="shared" si="107"/>
        <v>0</v>
      </c>
    </row>
    <row r="208" spans="1:36" x14ac:dyDescent="0.25">
      <c r="A208" s="14" t="str">
        <f>LCI!A66</f>
        <v>Algal Oil (kg/yr)</v>
      </c>
      <c r="B208" s="43">
        <f>B111-B70</f>
        <v>0</v>
      </c>
      <c r="C208" s="43">
        <f t="shared" ref="C208:L208" si="121">C111-C70</f>
        <v>0</v>
      </c>
      <c r="D208" s="43">
        <f t="shared" si="121"/>
        <v>0</v>
      </c>
      <c r="E208" s="43">
        <f t="shared" si="121"/>
        <v>0</v>
      </c>
      <c r="F208" s="43"/>
      <c r="G208" s="43">
        <f t="shared" si="121"/>
        <v>0</v>
      </c>
      <c r="H208" s="43">
        <f t="shared" si="121"/>
        <v>0</v>
      </c>
      <c r="I208" s="43">
        <f t="shared" si="121"/>
        <v>0</v>
      </c>
      <c r="J208" s="43">
        <f t="shared" si="121"/>
        <v>0</v>
      </c>
      <c r="K208" s="43">
        <f t="shared" si="121"/>
        <v>0</v>
      </c>
      <c r="L208" s="43">
        <f t="shared" si="121"/>
        <v>0</v>
      </c>
      <c r="N208" s="45">
        <f>IF(EXACT(A208,LCI!A66),LCI!G66,-1*10^6)</f>
        <v>0</v>
      </c>
      <c r="O208" s="47">
        <f t="shared" si="90"/>
        <v>0</v>
      </c>
      <c r="P208" s="47">
        <f t="shared" si="91"/>
        <v>0</v>
      </c>
      <c r="Q208" s="47">
        <f t="shared" si="92"/>
        <v>0</v>
      </c>
      <c r="R208" s="47">
        <f t="shared" si="93"/>
        <v>0</v>
      </c>
      <c r="S208" s="47">
        <f t="shared" si="109"/>
        <v>0</v>
      </c>
      <c r="T208" s="47">
        <f t="shared" si="110"/>
        <v>0</v>
      </c>
      <c r="U208" s="47">
        <f t="shared" si="111"/>
        <v>0</v>
      </c>
      <c r="V208" s="47">
        <f t="shared" si="112"/>
        <v>0</v>
      </c>
      <c r="W208" s="47">
        <f t="shared" si="113"/>
        <v>0</v>
      </c>
      <c r="X208" s="47">
        <f t="shared" si="114"/>
        <v>0</v>
      </c>
      <c r="Z208" s="41">
        <f>IF(EXACT(A208,LCI!A72),LCI!H72,-1*10^6)</f>
        <v>-1000000</v>
      </c>
      <c r="AA208" s="71">
        <f t="shared" si="99"/>
        <v>0</v>
      </c>
      <c r="AB208" s="71">
        <f t="shared" si="100"/>
        <v>0</v>
      </c>
      <c r="AC208" s="71">
        <f t="shared" si="101"/>
        <v>0</v>
      </c>
      <c r="AD208" s="71">
        <f t="shared" si="102"/>
        <v>0</v>
      </c>
      <c r="AE208" s="71">
        <f t="shared" si="103"/>
        <v>0</v>
      </c>
      <c r="AF208" s="71">
        <f t="shared" si="104"/>
        <v>0</v>
      </c>
      <c r="AG208" s="71" t="e">
        <f>#REF!*$Z208</f>
        <v>#REF!</v>
      </c>
      <c r="AH208" s="71">
        <f t="shared" si="105"/>
        <v>0</v>
      </c>
      <c r="AI208" s="71">
        <f t="shared" si="106"/>
        <v>0</v>
      </c>
      <c r="AJ208" s="71">
        <f t="shared" si="107"/>
        <v>0</v>
      </c>
    </row>
    <row r="209" spans="1:36" x14ac:dyDescent="0.25">
      <c r="A209" s="14" t="str">
        <f>LCI!A69</f>
        <v>Corn Grain (kg/yr)</v>
      </c>
      <c r="B209" s="43">
        <f t="shared" ref="B209:E210" si="122">B98-B46</f>
        <v>0</v>
      </c>
      <c r="C209" s="43">
        <f t="shared" si="122"/>
        <v>0</v>
      </c>
      <c r="D209" s="43">
        <f t="shared" si="122"/>
        <v>-1097400</v>
      </c>
      <c r="E209" s="43">
        <f t="shared" si="122"/>
        <v>0</v>
      </c>
      <c r="F209" s="43"/>
      <c r="G209" s="43">
        <f t="shared" ref="G209:L210" si="123">G98-G46</f>
        <v>0</v>
      </c>
      <c r="H209" s="43">
        <f t="shared" si="123"/>
        <v>0</v>
      </c>
      <c r="I209" s="43">
        <f t="shared" si="123"/>
        <v>0</v>
      </c>
      <c r="J209" s="43">
        <f t="shared" si="123"/>
        <v>0</v>
      </c>
      <c r="K209" s="43">
        <f t="shared" si="123"/>
        <v>0</v>
      </c>
      <c r="L209" s="43">
        <f t="shared" si="123"/>
        <v>0</v>
      </c>
      <c r="N209" s="45">
        <f>IF(EXACT(A209,LCI!A69),LCI!G69,-1*10^6)</f>
        <v>0</v>
      </c>
      <c r="O209" s="47">
        <f t="shared" si="90"/>
        <v>0</v>
      </c>
      <c r="P209" s="47">
        <f t="shared" si="91"/>
        <v>0</v>
      </c>
      <c r="Q209" s="47">
        <f t="shared" si="92"/>
        <v>0</v>
      </c>
      <c r="R209" s="47">
        <f t="shared" si="93"/>
        <v>0</v>
      </c>
      <c r="S209" s="47">
        <f t="shared" si="109"/>
        <v>0</v>
      </c>
      <c r="T209" s="47">
        <f t="shared" si="110"/>
        <v>0</v>
      </c>
      <c r="U209" s="47">
        <f t="shared" si="111"/>
        <v>0</v>
      </c>
      <c r="V209" s="47">
        <f t="shared" si="112"/>
        <v>0</v>
      </c>
      <c r="W209" s="47">
        <f t="shared" si="113"/>
        <v>0</v>
      </c>
      <c r="X209" s="47">
        <f t="shared" si="114"/>
        <v>0</v>
      </c>
      <c r="Z209" s="41">
        <f>IF(EXACT(A209,LCI!A73),LCI!H73,-1*10^6)</f>
        <v>-1000000</v>
      </c>
      <c r="AA209" s="71">
        <f t="shared" si="99"/>
        <v>0</v>
      </c>
      <c r="AB209" s="71">
        <f t="shared" si="100"/>
        <v>0</v>
      </c>
      <c r="AC209" s="71">
        <f t="shared" si="101"/>
        <v>1097400000000</v>
      </c>
      <c r="AD209" s="71">
        <f t="shared" si="102"/>
        <v>0</v>
      </c>
      <c r="AE209" s="71">
        <f t="shared" si="103"/>
        <v>0</v>
      </c>
      <c r="AF209" s="71">
        <f t="shared" si="104"/>
        <v>0</v>
      </c>
      <c r="AG209" s="71" t="e">
        <f>#REF!*$Z209</f>
        <v>#REF!</v>
      </c>
      <c r="AH209" s="71">
        <f t="shared" si="105"/>
        <v>0</v>
      </c>
      <c r="AI209" s="71">
        <f t="shared" si="106"/>
        <v>0</v>
      </c>
      <c r="AJ209" s="71">
        <f t="shared" si="107"/>
        <v>0</v>
      </c>
    </row>
    <row r="210" spans="1:36" x14ac:dyDescent="0.25">
      <c r="A210" s="14" t="str">
        <f>LCI!A70</f>
        <v>Corn Stover, Collected (kg/yr)</v>
      </c>
      <c r="B210" s="43">
        <f t="shared" si="122"/>
        <v>0</v>
      </c>
      <c r="C210" s="43">
        <f t="shared" si="122"/>
        <v>0</v>
      </c>
      <c r="D210" s="43">
        <f t="shared" si="122"/>
        <v>0</v>
      </c>
      <c r="E210" s="43">
        <f t="shared" si="122"/>
        <v>0</v>
      </c>
      <c r="F210" s="43"/>
      <c r="G210" s="43">
        <f t="shared" si="123"/>
        <v>0</v>
      </c>
      <c r="H210" s="43">
        <f t="shared" si="123"/>
        <v>0</v>
      </c>
      <c r="I210" s="43">
        <f t="shared" si="123"/>
        <v>0</v>
      </c>
      <c r="J210" s="43">
        <f t="shared" si="123"/>
        <v>0</v>
      </c>
      <c r="K210" s="43">
        <f t="shared" si="123"/>
        <v>0</v>
      </c>
      <c r="L210" s="43">
        <f t="shared" si="123"/>
        <v>0</v>
      </c>
      <c r="N210" s="45">
        <f>IF(EXACT(A210,LCI!A70),LCI!G70,-1*10^6)</f>
        <v>0</v>
      </c>
      <c r="O210" s="47">
        <f t="shared" si="90"/>
        <v>0</v>
      </c>
      <c r="P210" s="47">
        <f t="shared" si="91"/>
        <v>0</v>
      </c>
      <c r="Q210" s="47">
        <f t="shared" si="92"/>
        <v>0</v>
      </c>
      <c r="R210" s="47">
        <f t="shared" si="93"/>
        <v>0</v>
      </c>
      <c r="S210" s="47">
        <f t="shared" si="109"/>
        <v>0</v>
      </c>
      <c r="T210" s="47">
        <f t="shared" si="110"/>
        <v>0</v>
      </c>
      <c r="U210" s="47">
        <f t="shared" si="111"/>
        <v>0</v>
      </c>
      <c r="V210" s="47">
        <f t="shared" si="112"/>
        <v>0</v>
      </c>
      <c r="W210" s="47">
        <f t="shared" si="113"/>
        <v>0</v>
      </c>
      <c r="X210" s="47">
        <f t="shared" si="114"/>
        <v>0</v>
      </c>
      <c r="Z210" s="41">
        <f>IF(EXACT(A210,LCI!A74),LCI!H74,-1*10^6)</f>
        <v>-1000000</v>
      </c>
      <c r="AA210" s="71">
        <f t="shared" si="99"/>
        <v>0</v>
      </c>
      <c r="AB210" s="71">
        <f t="shared" si="100"/>
        <v>0</v>
      </c>
      <c r="AC210" s="71">
        <f t="shared" si="101"/>
        <v>0</v>
      </c>
      <c r="AD210" s="71">
        <f t="shared" si="102"/>
        <v>0</v>
      </c>
      <c r="AE210" s="71">
        <f t="shared" si="103"/>
        <v>0</v>
      </c>
      <c r="AF210" s="71">
        <f t="shared" si="104"/>
        <v>0</v>
      </c>
      <c r="AG210" s="71" t="e">
        <f>#REF!*$Z210</f>
        <v>#REF!</v>
      </c>
      <c r="AH210" s="71">
        <f t="shared" si="105"/>
        <v>0</v>
      </c>
      <c r="AI210" s="71">
        <f t="shared" si="106"/>
        <v>0</v>
      </c>
      <c r="AJ210" s="71">
        <f t="shared" si="107"/>
        <v>0</v>
      </c>
    </row>
    <row r="211" spans="1:36" x14ac:dyDescent="0.25">
      <c r="A211" s="14" t="str">
        <f>LCI!A71</f>
        <v>Corn Stover, Left (kg/yr)</v>
      </c>
      <c r="B211" s="43">
        <f>B100</f>
        <v>0</v>
      </c>
      <c r="C211" s="43">
        <f t="shared" ref="C211:L211" si="124">C100</f>
        <v>0</v>
      </c>
      <c r="D211" s="43">
        <f t="shared" si="124"/>
        <v>0</v>
      </c>
      <c r="E211" s="43">
        <f t="shared" si="124"/>
        <v>0</v>
      </c>
      <c r="F211" s="43"/>
      <c r="G211" s="43">
        <f t="shared" si="124"/>
        <v>0</v>
      </c>
      <c r="H211" s="43">
        <f t="shared" si="124"/>
        <v>0</v>
      </c>
      <c r="I211" s="43">
        <f t="shared" si="124"/>
        <v>0</v>
      </c>
      <c r="J211" s="43">
        <f t="shared" si="124"/>
        <v>0</v>
      </c>
      <c r="K211" s="43">
        <f t="shared" si="124"/>
        <v>0</v>
      </c>
      <c r="L211" s="43">
        <f t="shared" si="124"/>
        <v>0</v>
      </c>
      <c r="N211" s="45">
        <f>IF(EXACT(A211,LCI!A71),LCI!G71,-1*10^6)</f>
        <v>0</v>
      </c>
      <c r="O211" s="47">
        <f t="shared" si="90"/>
        <v>0</v>
      </c>
      <c r="P211" s="47">
        <f t="shared" si="91"/>
        <v>0</v>
      </c>
      <c r="Q211" s="47">
        <f t="shared" si="92"/>
        <v>0</v>
      </c>
      <c r="R211" s="47">
        <f t="shared" si="93"/>
        <v>0</v>
      </c>
      <c r="S211" s="47">
        <f t="shared" si="109"/>
        <v>0</v>
      </c>
      <c r="T211" s="47">
        <f t="shared" si="110"/>
        <v>0</v>
      </c>
      <c r="U211" s="47">
        <f t="shared" si="111"/>
        <v>0</v>
      </c>
      <c r="V211" s="47">
        <f t="shared" si="112"/>
        <v>0</v>
      </c>
      <c r="W211" s="47">
        <f t="shared" si="113"/>
        <v>0</v>
      </c>
      <c r="X211" s="47">
        <f t="shared" si="114"/>
        <v>0</v>
      </c>
      <c r="Z211" s="41">
        <f>IF(EXACT(A211,LCI!A75),LCI!H75,-1*10^6)</f>
        <v>-1000000</v>
      </c>
      <c r="AA211" s="71">
        <f t="shared" si="99"/>
        <v>0</v>
      </c>
      <c r="AB211" s="71">
        <f t="shared" si="100"/>
        <v>0</v>
      </c>
      <c r="AC211" s="71">
        <f t="shared" si="101"/>
        <v>0</v>
      </c>
      <c r="AD211" s="71">
        <f t="shared" si="102"/>
        <v>0</v>
      </c>
      <c r="AE211" s="71">
        <f t="shared" si="103"/>
        <v>0</v>
      </c>
      <c r="AF211" s="71">
        <f t="shared" si="104"/>
        <v>0</v>
      </c>
      <c r="AG211" s="71" t="e">
        <f>#REF!*$Z211</f>
        <v>#REF!</v>
      </c>
      <c r="AH211" s="71">
        <f t="shared" si="105"/>
        <v>0</v>
      </c>
      <c r="AI211" s="71">
        <f t="shared" si="106"/>
        <v>0</v>
      </c>
      <c r="AJ211" s="71">
        <f t="shared" si="107"/>
        <v>0</v>
      </c>
    </row>
    <row r="212" spans="1:36" x14ac:dyDescent="0.25">
      <c r="A212" s="14" t="str">
        <f>LCI!A72</f>
        <v>DDGS (kg/yr)</v>
      </c>
      <c r="B212" s="43">
        <f>B112</f>
        <v>0</v>
      </c>
      <c r="C212" s="43">
        <f t="shared" ref="C212:L212" si="125">C112</f>
        <v>0</v>
      </c>
      <c r="D212" s="43">
        <f t="shared" si="125"/>
        <v>0</v>
      </c>
      <c r="E212" s="43">
        <f t="shared" si="125"/>
        <v>0</v>
      </c>
      <c r="F212" s="43"/>
      <c r="G212" s="43">
        <f t="shared" si="125"/>
        <v>0</v>
      </c>
      <c r="H212" s="43">
        <f t="shared" si="125"/>
        <v>0</v>
      </c>
      <c r="I212" s="43">
        <f t="shared" si="125"/>
        <v>0</v>
      </c>
      <c r="J212" s="43">
        <f t="shared" si="125"/>
        <v>0</v>
      </c>
      <c r="K212" s="43">
        <f t="shared" si="125"/>
        <v>0</v>
      </c>
      <c r="L212" s="43">
        <f t="shared" si="125"/>
        <v>0</v>
      </c>
      <c r="N212" s="45">
        <f>IF(EXACT(A212,LCI!A72),LCI!G72,-1*10^6)</f>
        <v>0.15435501700000001</v>
      </c>
      <c r="O212" s="47">
        <f t="shared" si="90"/>
        <v>0</v>
      </c>
      <c r="P212" s="47">
        <f t="shared" si="91"/>
        <v>0</v>
      </c>
      <c r="Q212" s="47">
        <f t="shared" si="92"/>
        <v>0</v>
      </c>
      <c r="R212" s="47">
        <f t="shared" si="93"/>
        <v>0</v>
      </c>
      <c r="S212" s="47">
        <f t="shared" si="109"/>
        <v>0</v>
      </c>
      <c r="T212" s="47">
        <f t="shared" si="110"/>
        <v>0</v>
      </c>
      <c r="U212" s="47">
        <f t="shared" si="111"/>
        <v>0</v>
      </c>
      <c r="V212" s="47">
        <f t="shared" si="112"/>
        <v>0</v>
      </c>
      <c r="W212" s="47">
        <f t="shared" si="113"/>
        <v>0</v>
      </c>
      <c r="X212" s="47">
        <f t="shared" si="114"/>
        <v>0</v>
      </c>
      <c r="Z212" s="41">
        <f>IF(EXACT(A212,LCI!A77),LCI!H77,-1*10^6)</f>
        <v>-1000000</v>
      </c>
      <c r="AA212" s="71">
        <f t="shared" si="99"/>
        <v>0</v>
      </c>
      <c r="AB212" s="71">
        <f t="shared" si="100"/>
        <v>0</v>
      </c>
      <c r="AC212" s="71">
        <f t="shared" si="101"/>
        <v>0</v>
      </c>
      <c r="AD212" s="71">
        <f t="shared" si="102"/>
        <v>0</v>
      </c>
      <c r="AE212" s="71">
        <f t="shared" si="103"/>
        <v>0</v>
      </c>
      <c r="AF212" s="71">
        <f t="shared" si="104"/>
        <v>0</v>
      </c>
      <c r="AG212" s="71" t="e">
        <f>#REF!*$Z212</f>
        <v>#REF!</v>
      </c>
      <c r="AH212" s="71">
        <f t="shared" si="105"/>
        <v>0</v>
      </c>
      <c r="AI212" s="71">
        <f t="shared" si="106"/>
        <v>0</v>
      </c>
      <c r="AJ212" s="71">
        <f t="shared" si="107"/>
        <v>0</v>
      </c>
    </row>
    <row r="213" spans="1:36" x14ac:dyDescent="0.25">
      <c r="A213" s="14" t="str">
        <f>LCI!A73</f>
        <v>Glycerin (kg/yr)</v>
      </c>
      <c r="B213" s="43">
        <f>B131</f>
        <v>5928.5302777028282</v>
      </c>
      <c r="C213" s="43">
        <f t="shared" ref="C213:L213" si="126">C131</f>
        <v>0</v>
      </c>
      <c r="D213" s="43">
        <f t="shared" si="126"/>
        <v>0</v>
      </c>
      <c r="E213" s="43">
        <f t="shared" si="126"/>
        <v>0</v>
      </c>
      <c r="F213" s="43"/>
      <c r="G213" s="43">
        <f t="shared" si="126"/>
        <v>0</v>
      </c>
      <c r="H213" s="43">
        <f t="shared" si="126"/>
        <v>0</v>
      </c>
      <c r="I213" s="43">
        <f t="shared" si="126"/>
        <v>0</v>
      </c>
      <c r="J213" s="43">
        <f t="shared" si="126"/>
        <v>0</v>
      </c>
      <c r="K213" s="43">
        <f t="shared" si="126"/>
        <v>0</v>
      </c>
      <c r="L213" s="43">
        <f t="shared" si="126"/>
        <v>0</v>
      </c>
      <c r="N213" s="45">
        <f>IF(EXACT(A213,LCI!A73),LCI!G73,-1*10^6)</f>
        <v>0.13200000000000001</v>
      </c>
      <c r="O213" s="47">
        <f t="shared" si="90"/>
        <v>782.56599665677334</v>
      </c>
      <c r="P213" s="47">
        <f t="shared" si="91"/>
        <v>0</v>
      </c>
      <c r="Q213" s="47">
        <f t="shared" si="92"/>
        <v>0</v>
      </c>
      <c r="R213" s="47">
        <f t="shared" si="93"/>
        <v>0</v>
      </c>
      <c r="S213" s="47">
        <f t="shared" si="109"/>
        <v>0</v>
      </c>
      <c r="T213" s="47">
        <f t="shared" si="110"/>
        <v>0</v>
      </c>
      <c r="U213" s="47">
        <f t="shared" si="111"/>
        <v>0</v>
      </c>
      <c r="V213" s="47">
        <f t="shared" si="112"/>
        <v>0</v>
      </c>
      <c r="W213" s="47">
        <f t="shared" si="113"/>
        <v>0</v>
      </c>
      <c r="X213" s="47">
        <f t="shared" si="114"/>
        <v>0</v>
      </c>
      <c r="Z213" s="41">
        <f>IF(EXACT(A213,LCI!A78),LCI!H78,-1*10^6)</f>
        <v>-1000000</v>
      </c>
      <c r="AA213" s="71">
        <f t="shared" si="99"/>
        <v>0</v>
      </c>
      <c r="AB213" s="71">
        <f t="shared" si="100"/>
        <v>0</v>
      </c>
      <c r="AC213" s="71">
        <f t="shared" si="101"/>
        <v>0</v>
      </c>
      <c r="AD213" s="71">
        <f t="shared" si="102"/>
        <v>0</v>
      </c>
      <c r="AE213" s="71">
        <f t="shared" si="103"/>
        <v>0</v>
      </c>
      <c r="AF213" s="71">
        <f t="shared" si="104"/>
        <v>0</v>
      </c>
      <c r="AG213" s="71" t="e">
        <f>#REF!*$Z213</f>
        <v>#REF!</v>
      </c>
      <c r="AH213" s="71">
        <f t="shared" si="105"/>
        <v>0</v>
      </c>
      <c r="AI213" s="71">
        <f t="shared" si="106"/>
        <v>0</v>
      </c>
      <c r="AJ213" s="71">
        <f t="shared" si="107"/>
        <v>0</v>
      </c>
    </row>
    <row r="214" spans="1:36" x14ac:dyDescent="0.25">
      <c r="A214" s="14" t="str">
        <f>LCI!A74</f>
        <v>MSW Co-Products (kg/yr)</v>
      </c>
      <c r="B214" s="43">
        <f>B101</f>
        <v>0</v>
      </c>
      <c r="C214" s="43">
        <f t="shared" ref="C214:L214" si="127">C101</f>
        <v>0</v>
      </c>
      <c r="D214" s="43">
        <f t="shared" si="127"/>
        <v>0</v>
      </c>
      <c r="E214" s="43">
        <f t="shared" si="127"/>
        <v>0</v>
      </c>
      <c r="F214" s="43"/>
      <c r="G214" s="43">
        <f t="shared" si="127"/>
        <v>0</v>
      </c>
      <c r="H214" s="43">
        <f t="shared" si="127"/>
        <v>0</v>
      </c>
      <c r="I214" s="43">
        <f t="shared" si="127"/>
        <v>0</v>
      </c>
      <c r="J214" s="43">
        <f t="shared" si="127"/>
        <v>0</v>
      </c>
      <c r="K214" s="43">
        <f t="shared" si="127"/>
        <v>0</v>
      </c>
      <c r="L214" s="43">
        <f t="shared" si="127"/>
        <v>0</v>
      </c>
      <c r="N214" s="45">
        <f>IF(EXACT(A214,LCI!A74),LCI!G74,-1*10^6)</f>
        <v>0.33</v>
      </c>
      <c r="O214" s="47">
        <f t="shared" si="90"/>
        <v>0</v>
      </c>
      <c r="P214" s="47">
        <f t="shared" si="91"/>
        <v>0</v>
      </c>
      <c r="Q214" s="47">
        <f t="shared" si="92"/>
        <v>0</v>
      </c>
      <c r="R214" s="47">
        <f t="shared" si="93"/>
        <v>0</v>
      </c>
      <c r="S214" s="47">
        <f t="shared" si="109"/>
        <v>0</v>
      </c>
      <c r="T214" s="47">
        <f t="shared" si="110"/>
        <v>0</v>
      </c>
      <c r="U214" s="47">
        <f t="shared" si="111"/>
        <v>0</v>
      </c>
      <c r="V214" s="47">
        <f t="shared" si="112"/>
        <v>0</v>
      </c>
      <c r="W214" s="47">
        <f t="shared" si="113"/>
        <v>0</v>
      </c>
      <c r="X214" s="47">
        <f t="shared" si="114"/>
        <v>0</v>
      </c>
      <c r="Z214" s="41">
        <f>IF(EXACT(A214,LCI!A80),LCI!H80,-1*10^6)</f>
        <v>-1000000</v>
      </c>
      <c r="AA214" s="71">
        <f t="shared" si="99"/>
        <v>0</v>
      </c>
      <c r="AB214" s="71">
        <f t="shared" si="100"/>
        <v>0</v>
      </c>
      <c r="AC214" s="71">
        <f t="shared" si="101"/>
        <v>0</v>
      </c>
      <c r="AD214" s="71">
        <f t="shared" si="102"/>
        <v>0</v>
      </c>
      <c r="AE214" s="71">
        <f t="shared" si="103"/>
        <v>0</v>
      </c>
      <c r="AF214" s="71">
        <f t="shared" si="104"/>
        <v>0</v>
      </c>
      <c r="AG214" s="71" t="e">
        <f>#REF!*$Z214</f>
        <v>#REF!</v>
      </c>
      <c r="AH214" s="71">
        <f t="shared" si="105"/>
        <v>0</v>
      </c>
      <c r="AI214" s="71">
        <f t="shared" si="106"/>
        <v>0</v>
      </c>
      <c r="AJ214" s="71">
        <f t="shared" si="107"/>
        <v>0</v>
      </c>
    </row>
    <row r="215" spans="1:36" x14ac:dyDescent="0.25">
      <c r="A215" s="14" t="str">
        <f>LCI!A75</f>
        <v>Nitrogen Gas (kg/yr)</v>
      </c>
      <c r="B215" s="43">
        <f>B116</f>
        <v>0</v>
      </c>
      <c r="C215" s="43">
        <f t="shared" ref="C215:L215" si="128">C116</f>
        <v>0</v>
      </c>
      <c r="D215" s="43">
        <f t="shared" si="128"/>
        <v>0</v>
      </c>
      <c r="E215" s="43">
        <f t="shared" si="128"/>
        <v>0</v>
      </c>
      <c r="F215" s="43"/>
      <c r="G215" s="43">
        <f t="shared" si="128"/>
        <v>0</v>
      </c>
      <c r="H215" s="43">
        <f t="shared" si="128"/>
        <v>0</v>
      </c>
      <c r="I215" s="43">
        <f t="shared" si="128"/>
        <v>0</v>
      </c>
      <c r="J215" s="43">
        <f t="shared" si="128"/>
        <v>0</v>
      </c>
      <c r="K215" s="43">
        <f t="shared" si="128"/>
        <v>0</v>
      </c>
      <c r="L215" s="43">
        <f t="shared" si="128"/>
        <v>0</v>
      </c>
      <c r="N215" s="45">
        <f>IF(EXACT(A215,LCI!A75),LCI!G75,-1*10^6)</f>
        <v>0</v>
      </c>
      <c r="O215" s="47">
        <f t="shared" si="90"/>
        <v>0</v>
      </c>
      <c r="P215" s="47">
        <f t="shared" si="91"/>
        <v>0</v>
      </c>
      <c r="Q215" s="47">
        <f t="shared" si="92"/>
        <v>0</v>
      </c>
      <c r="R215" s="47">
        <f t="shared" si="93"/>
        <v>0</v>
      </c>
      <c r="S215" s="47">
        <f t="shared" si="109"/>
        <v>0</v>
      </c>
      <c r="T215" s="47">
        <f t="shared" si="110"/>
        <v>0</v>
      </c>
      <c r="U215" s="47">
        <f t="shared" si="111"/>
        <v>0</v>
      </c>
      <c r="V215" s="47">
        <f t="shared" si="112"/>
        <v>0</v>
      </c>
      <c r="W215" s="47">
        <f t="shared" si="113"/>
        <v>0</v>
      </c>
      <c r="X215" s="47">
        <f t="shared" si="114"/>
        <v>0</v>
      </c>
      <c r="Z215" s="41">
        <f>IF(EXACT(A215,LCI!A82),LCI!H82,-1*10^6)</f>
        <v>-1000000</v>
      </c>
      <c r="AA215" s="71">
        <f t="shared" si="99"/>
        <v>0</v>
      </c>
      <c r="AB215" s="71">
        <f t="shared" si="100"/>
        <v>0</v>
      </c>
      <c r="AC215" s="71">
        <f t="shared" si="101"/>
        <v>0</v>
      </c>
      <c r="AD215" s="71">
        <f t="shared" si="102"/>
        <v>0</v>
      </c>
      <c r="AE215" s="71">
        <f t="shared" si="103"/>
        <v>0</v>
      </c>
      <c r="AF215" s="71">
        <f t="shared" si="104"/>
        <v>0</v>
      </c>
      <c r="AG215" s="71" t="e">
        <f>#REF!*$Z215</f>
        <v>#REF!</v>
      </c>
      <c r="AH215" s="71">
        <f t="shared" si="105"/>
        <v>0</v>
      </c>
      <c r="AI215" s="71">
        <f t="shared" si="106"/>
        <v>0</v>
      </c>
      <c r="AJ215" s="71">
        <f t="shared" si="107"/>
        <v>0</v>
      </c>
    </row>
    <row r="216" spans="1:36" x14ac:dyDescent="0.25">
      <c r="A216" s="14" t="str">
        <f>LCI!A76</f>
        <v>Refused Derived Fuel (kg/yr)</v>
      </c>
      <c r="B216" s="43">
        <f>B102-B53</f>
        <v>0</v>
      </c>
      <c r="C216" s="43">
        <f t="shared" ref="C216:L216" si="129">C102-C53</f>
        <v>0</v>
      </c>
      <c r="D216" s="43">
        <f t="shared" si="129"/>
        <v>0</v>
      </c>
      <c r="E216" s="43">
        <f t="shared" si="129"/>
        <v>0</v>
      </c>
      <c r="F216" s="43"/>
      <c r="G216" s="43">
        <f t="shared" si="129"/>
        <v>0</v>
      </c>
      <c r="H216" s="43">
        <f t="shared" si="129"/>
        <v>0</v>
      </c>
      <c r="I216" s="43">
        <f t="shared" si="129"/>
        <v>0</v>
      </c>
      <c r="J216" s="43">
        <f t="shared" si="129"/>
        <v>0</v>
      </c>
      <c r="K216" s="43">
        <f t="shared" si="129"/>
        <v>0</v>
      </c>
      <c r="L216" s="43">
        <f t="shared" si="129"/>
        <v>0</v>
      </c>
      <c r="N216" s="45">
        <f>IF(EXACT(A216,LCI!A76),LCI!G76,-1*10^6)</f>
        <v>0</v>
      </c>
      <c r="O216" s="47">
        <f t="shared" si="90"/>
        <v>0</v>
      </c>
      <c r="P216" s="47">
        <f t="shared" si="91"/>
        <v>0</v>
      </c>
      <c r="Q216" s="47">
        <f t="shared" si="92"/>
        <v>0</v>
      </c>
      <c r="R216" s="47">
        <f t="shared" si="93"/>
        <v>0</v>
      </c>
      <c r="S216" s="47">
        <f t="shared" si="109"/>
        <v>0</v>
      </c>
      <c r="T216" s="47">
        <f t="shared" si="110"/>
        <v>0</v>
      </c>
      <c r="U216" s="47">
        <f t="shared" si="111"/>
        <v>0</v>
      </c>
      <c r="V216" s="47">
        <f t="shared" si="112"/>
        <v>0</v>
      </c>
      <c r="W216" s="47">
        <f t="shared" si="113"/>
        <v>0</v>
      </c>
      <c r="X216" s="47">
        <f t="shared" si="114"/>
        <v>0</v>
      </c>
      <c r="Z216" s="41">
        <f>IF(EXACT(A216,LCI!A83),LCI!H83,-1*10^6)</f>
        <v>-1000000</v>
      </c>
      <c r="AA216" s="71">
        <f t="shared" si="99"/>
        <v>0</v>
      </c>
      <c r="AB216" s="71">
        <f t="shared" ref="AB216:AB230" si="130">C216*$Z216</f>
        <v>0</v>
      </c>
      <c r="AC216" s="71">
        <f t="shared" ref="AC216:AC230" si="131">D216*$Z216</f>
        <v>0</v>
      </c>
      <c r="AD216" s="71">
        <f t="shared" ref="AD216:AD230" si="132">E216*$Z216</f>
        <v>0</v>
      </c>
      <c r="AE216" s="71">
        <f t="shared" ref="AE216:AE230" si="133">G216*$Z216</f>
        <v>0</v>
      </c>
      <c r="AF216" s="71">
        <f t="shared" ref="AF216:AF230" si="134">H216*$Z216</f>
        <v>0</v>
      </c>
      <c r="AG216" s="71" t="e">
        <f>#REF!*$Z216</f>
        <v>#REF!</v>
      </c>
      <c r="AH216" s="71">
        <f t="shared" ref="AH216:AH230" si="135">J216*$Z216</f>
        <v>0</v>
      </c>
      <c r="AI216" s="71">
        <f t="shared" ref="AI216:AI230" si="136">K216*$Z216</f>
        <v>0</v>
      </c>
      <c r="AJ216" s="71">
        <f t="shared" ref="AJ216:AJ230" si="137">L216*$Z216</f>
        <v>0</v>
      </c>
    </row>
    <row r="217" spans="1:36" x14ac:dyDescent="0.25">
      <c r="A217" s="14" t="str">
        <f>LCI!A77</f>
        <v>Slag (kg/yr)</v>
      </c>
      <c r="B217" s="43">
        <f>B117</f>
        <v>0</v>
      </c>
      <c r="C217" s="43">
        <f t="shared" ref="C217:L217" si="138">C117</f>
        <v>0</v>
      </c>
      <c r="D217" s="43">
        <f t="shared" si="138"/>
        <v>0</v>
      </c>
      <c r="E217" s="43">
        <f t="shared" si="138"/>
        <v>0</v>
      </c>
      <c r="F217" s="43"/>
      <c r="G217" s="43">
        <f t="shared" si="138"/>
        <v>0</v>
      </c>
      <c r="H217" s="43">
        <f t="shared" si="138"/>
        <v>0</v>
      </c>
      <c r="I217" s="43">
        <f t="shared" si="138"/>
        <v>0</v>
      </c>
      <c r="J217" s="43">
        <f t="shared" si="138"/>
        <v>0</v>
      </c>
      <c r="K217" s="43">
        <f t="shared" si="138"/>
        <v>0</v>
      </c>
      <c r="L217" s="43">
        <f t="shared" si="138"/>
        <v>0</v>
      </c>
      <c r="N217" s="45">
        <f>IF(EXACT(A217,LCI!A77),LCI!G77,-1*10^6)</f>
        <v>-2.5899999999999999E-2</v>
      </c>
      <c r="O217" s="47">
        <f t="shared" si="90"/>
        <v>0</v>
      </c>
      <c r="P217" s="47">
        <f t="shared" si="91"/>
        <v>0</v>
      </c>
      <c r="Q217" s="47">
        <f t="shared" si="92"/>
        <v>0</v>
      </c>
      <c r="R217" s="47">
        <f t="shared" si="93"/>
        <v>0</v>
      </c>
      <c r="S217" s="47">
        <f t="shared" si="109"/>
        <v>0</v>
      </c>
      <c r="T217" s="47">
        <f t="shared" si="110"/>
        <v>0</v>
      </c>
      <c r="U217" s="47">
        <f t="shared" si="111"/>
        <v>0</v>
      </c>
      <c r="V217" s="47">
        <f t="shared" si="112"/>
        <v>0</v>
      </c>
      <c r="W217" s="47">
        <f t="shared" si="113"/>
        <v>0</v>
      </c>
      <c r="X217" s="47">
        <f t="shared" si="114"/>
        <v>0</v>
      </c>
      <c r="Z217" s="41">
        <f>IF(EXACT(A217,LCI!A84),LCI!H84,-1*10^6)</f>
        <v>-1000000</v>
      </c>
      <c r="AA217" s="71">
        <f t="shared" si="99"/>
        <v>0</v>
      </c>
      <c r="AB217" s="71">
        <f t="shared" si="130"/>
        <v>0</v>
      </c>
      <c r="AC217" s="71">
        <f t="shared" si="131"/>
        <v>0</v>
      </c>
      <c r="AD217" s="71">
        <f t="shared" si="132"/>
        <v>0</v>
      </c>
      <c r="AE217" s="71">
        <f t="shared" si="133"/>
        <v>0</v>
      </c>
      <c r="AF217" s="71">
        <f t="shared" si="134"/>
        <v>0</v>
      </c>
      <c r="AG217" s="71" t="e">
        <f>#REF!*$Z217</f>
        <v>#REF!</v>
      </c>
      <c r="AH217" s="71">
        <f t="shared" si="135"/>
        <v>0</v>
      </c>
      <c r="AI217" s="71">
        <f t="shared" si="136"/>
        <v>0</v>
      </c>
      <c r="AJ217" s="71">
        <f t="shared" si="137"/>
        <v>0</v>
      </c>
    </row>
    <row r="218" spans="1:36" x14ac:dyDescent="0.25">
      <c r="A218" s="14" t="str">
        <f>LCI!A78</f>
        <v>Soybean Meal (kg/yr)</v>
      </c>
      <c r="B218" s="43">
        <f>B118</f>
        <v>234665.89692000009</v>
      </c>
      <c r="C218" s="43">
        <f t="shared" ref="C218:L218" si="139">C118</f>
        <v>234665.89692000009</v>
      </c>
      <c r="D218" s="43">
        <f t="shared" si="139"/>
        <v>0</v>
      </c>
      <c r="E218" s="43">
        <f t="shared" si="139"/>
        <v>0</v>
      </c>
      <c r="F218" s="43"/>
      <c r="G218" s="43">
        <f t="shared" si="139"/>
        <v>0</v>
      </c>
      <c r="H218" s="43">
        <f t="shared" si="139"/>
        <v>0</v>
      </c>
      <c r="I218" s="43">
        <f t="shared" si="139"/>
        <v>0</v>
      </c>
      <c r="J218" s="43">
        <f t="shared" si="139"/>
        <v>0</v>
      </c>
      <c r="K218" s="43">
        <f t="shared" si="139"/>
        <v>0</v>
      </c>
      <c r="L218" s="43">
        <f t="shared" si="139"/>
        <v>0</v>
      </c>
      <c r="N218" s="45">
        <f>IF(EXACT(A218,LCI!A78),LCI!G78,-1*10^6)</f>
        <v>0.35</v>
      </c>
      <c r="O218" s="47">
        <f t="shared" si="90"/>
        <v>82133.06392200003</v>
      </c>
      <c r="P218" s="47">
        <f t="shared" si="91"/>
        <v>82133.06392200003</v>
      </c>
      <c r="Q218" s="47">
        <f t="shared" si="92"/>
        <v>0</v>
      </c>
      <c r="R218" s="47">
        <f t="shared" si="93"/>
        <v>0</v>
      </c>
      <c r="S218" s="47">
        <f t="shared" si="109"/>
        <v>0</v>
      </c>
      <c r="T218" s="47">
        <f t="shared" si="110"/>
        <v>0</v>
      </c>
      <c r="U218" s="47">
        <f t="shared" si="111"/>
        <v>0</v>
      </c>
      <c r="V218" s="47">
        <f t="shared" si="112"/>
        <v>0</v>
      </c>
      <c r="W218" s="47">
        <f t="shared" si="113"/>
        <v>0</v>
      </c>
      <c r="X218" s="47">
        <f t="shared" si="114"/>
        <v>0</v>
      </c>
      <c r="Z218" s="41">
        <f>IF(EXACT(A218,LCI!A87),LCI!H87,-1*10^6)</f>
        <v>-1000000</v>
      </c>
      <c r="AA218" s="71">
        <f t="shared" si="99"/>
        <v>0</v>
      </c>
      <c r="AB218" s="71">
        <f t="shared" si="130"/>
        <v>-234665896920.00009</v>
      </c>
      <c r="AC218" s="71">
        <f t="shared" si="131"/>
        <v>0</v>
      </c>
      <c r="AD218" s="71">
        <f t="shared" si="132"/>
        <v>0</v>
      </c>
      <c r="AE218" s="71">
        <f t="shared" si="133"/>
        <v>0</v>
      </c>
      <c r="AF218" s="71">
        <f t="shared" si="134"/>
        <v>0</v>
      </c>
      <c r="AG218" s="71" t="e">
        <f>#REF!*$Z218</f>
        <v>#REF!</v>
      </c>
      <c r="AH218" s="71">
        <f t="shared" si="135"/>
        <v>0</v>
      </c>
      <c r="AI218" s="71">
        <f t="shared" si="136"/>
        <v>0</v>
      </c>
      <c r="AJ218" s="71">
        <f t="shared" si="137"/>
        <v>0</v>
      </c>
    </row>
    <row r="219" spans="1:36" x14ac:dyDescent="0.25">
      <c r="A219" s="14" t="str">
        <f>LCI!A79</f>
        <v>Soybean Oil (kg/yr)</v>
      </c>
      <c r="B219" s="43">
        <f>B119-B73</f>
        <v>0</v>
      </c>
      <c r="C219" s="43">
        <f t="shared" ref="C219:L219" si="140">C119-C73</f>
        <v>0</v>
      </c>
      <c r="D219" s="43">
        <f t="shared" si="140"/>
        <v>0</v>
      </c>
      <c r="E219" s="43">
        <f t="shared" si="140"/>
        <v>0</v>
      </c>
      <c r="F219" s="43"/>
      <c r="G219" s="43">
        <f t="shared" si="140"/>
        <v>0</v>
      </c>
      <c r="H219" s="43">
        <f t="shared" si="140"/>
        <v>0</v>
      </c>
      <c r="I219" s="43">
        <f t="shared" si="140"/>
        <v>0</v>
      </c>
      <c r="J219" s="43">
        <f t="shared" si="140"/>
        <v>0</v>
      </c>
      <c r="K219" s="43">
        <f t="shared" si="140"/>
        <v>0</v>
      </c>
      <c r="L219" s="43">
        <f t="shared" si="140"/>
        <v>0</v>
      </c>
      <c r="N219" s="45">
        <f>IF(EXACT(A219,LCI!A79),LCI!G79,-1*10^6)</f>
        <v>0</v>
      </c>
      <c r="O219" s="47">
        <f t="shared" si="90"/>
        <v>0</v>
      </c>
      <c r="P219" s="47">
        <f t="shared" si="91"/>
        <v>0</v>
      </c>
      <c r="Q219" s="47">
        <f t="shared" si="92"/>
        <v>0</v>
      </c>
      <c r="R219" s="47">
        <f t="shared" si="93"/>
        <v>0</v>
      </c>
      <c r="S219" s="47">
        <f t="shared" si="109"/>
        <v>0</v>
      </c>
      <c r="T219" s="47">
        <f t="shared" si="110"/>
        <v>0</v>
      </c>
      <c r="U219" s="47">
        <f t="shared" si="111"/>
        <v>0</v>
      </c>
      <c r="V219" s="47">
        <f t="shared" si="112"/>
        <v>0</v>
      </c>
      <c r="W219" s="47">
        <f t="shared" si="113"/>
        <v>0</v>
      </c>
      <c r="X219" s="47">
        <f t="shared" si="114"/>
        <v>0</v>
      </c>
      <c r="Z219" s="41">
        <f>IF(EXACT(A219,LCI!A88),LCI!H88,-1*10^6)</f>
        <v>-1000000</v>
      </c>
      <c r="AA219" s="71">
        <f t="shared" si="99"/>
        <v>0</v>
      </c>
      <c r="AB219" s="71">
        <f t="shared" si="130"/>
        <v>0</v>
      </c>
      <c r="AC219" s="71">
        <f t="shared" si="131"/>
        <v>0</v>
      </c>
      <c r="AD219" s="71">
        <f t="shared" si="132"/>
        <v>0</v>
      </c>
      <c r="AE219" s="71">
        <f t="shared" si="133"/>
        <v>0</v>
      </c>
      <c r="AF219" s="71">
        <f t="shared" si="134"/>
        <v>0</v>
      </c>
      <c r="AG219" s="71" t="e">
        <f>#REF!*$Z219</f>
        <v>#REF!</v>
      </c>
      <c r="AH219" s="71">
        <f t="shared" si="135"/>
        <v>0</v>
      </c>
      <c r="AI219" s="71">
        <f t="shared" si="136"/>
        <v>0</v>
      </c>
      <c r="AJ219" s="71">
        <f t="shared" si="137"/>
        <v>0</v>
      </c>
    </row>
    <row r="220" spans="1:36" x14ac:dyDescent="0.25">
      <c r="A220" s="14" t="str">
        <f>LCI!A80</f>
        <v>Soybeans (kg/yr)</v>
      </c>
      <c r="B220" s="43">
        <f>B103-B55</f>
        <v>0</v>
      </c>
      <c r="C220" s="43">
        <f t="shared" ref="C220:L220" si="141">C103-C55</f>
        <v>0</v>
      </c>
      <c r="D220" s="43">
        <f t="shared" si="141"/>
        <v>0</v>
      </c>
      <c r="E220" s="43">
        <f t="shared" si="141"/>
        <v>0</v>
      </c>
      <c r="F220" s="43"/>
      <c r="G220" s="43">
        <f t="shared" si="141"/>
        <v>0</v>
      </c>
      <c r="H220" s="43">
        <f t="shared" si="141"/>
        <v>0</v>
      </c>
      <c r="I220" s="43">
        <f t="shared" si="141"/>
        <v>0</v>
      </c>
      <c r="J220" s="43">
        <f t="shared" si="141"/>
        <v>0</v>
      </c>
      <c r="K220" s="43">
        <f t="shared" si="141"/>
        <v>0</v>
      </c>
      <c r="L220" s="43">
        <f t="shared" si="141"/>
        <v>0</v>
      </c>
      <c r="N220" s="45">
        <f>IF(EXACT(A220,LCI!A80),LCI!G80,-1*10^6)</f>
        <v>0.55000000000000004</v>
      </c>
      <c r="O220" s="47">
        <f t="shared" si="90"/>
        <v>0</v>
      </c>
      <c r="P220" s="47">
        <f t="shared" si="91"/>
        <v>0</v>
      </c>
      <c r="Q220" s="47">
        <f t="shared" si="92"/>
        <v>0</v>
      </c>
      <c r="R220" s="47">
        <f t="shared" si="93"/>
        <v>0</v>
      </c>
      <c r="S220" s="47">
        <f t="shared" si="109"/>
        <v>0</v>
      </c>
      <c r="T220" s="47">
        <f t="shared" si="110"/>
        <v>0</v>
      </c>
      <c r="U220" s="47">
        <f t="shared" si="111"/>
        <v>0</v>
      </c>
      <c r="V220" s="47">
        <f t="shared" si="112"/>
        <v>0</v>
      </c>
      <c r="W220" s="47">
        <f t="shared" si="113"/>
        <v>0</v>
      </c>
      <c r="X220" s="47">
        <f t="shared" si="114"/>
        <v>0</v>
      </c>
      <c r="Z220" s="41">
        <f>IF(EXACT(A220,LCI!A89),LCI!H89,-1*10^6)</f>
        <v>-1000000</v>
      </c>
      <c r="AA220" s="71">
        <f t="shared" si="99"/>
        <v>0</v>
      </c>
      <c r="AB220" s="71">
        <f t="shared" si="130"/>
        <v>0</v>
      </c>
      <c r="AC220" s="71">
        <f t="shared" si="131"/>
        <v>0</v>
      </c>
      <c r="AD220" s="71">
        <f t="shared" si="132"/>
        <v>0</v>
      </c>
      <c r="AE220" s="71">
        <f t="shared" si="133"/>
        <v>0</v>
      </c>
      <c r="AF220" s="71">
        <f t="shared" si="134"/>
        <v>0</v>
      </c>
      <c r="AG220" s="71" t="e">
        <f>#REF!*$Z220</f>
        <v>#REF!</v>
      </c>
      <c r="AH220" s="71">
        <f t="shared" si="135"/>
        <v>0</v>
      </c>
      <c r="AI220" s="71">
        <f t="shared" si="136"/>
        <v>0</v>
      </c>
      <c r="AJ220" s="71">
        <f t="shared" si="137"/>
        <v>0</v>
      </c>
    </row>
    <row r="221" spans="1:36" x14ac:dyDescent="0.25">
      <c r="A221" s="14" t="str">
        <f>LCI!A81</f>
        <v>Syncrude (kg/yr)</v>
      </c>
      <c r="B221" s="43">
        <f>B120-B74</f>
        <v>0</v>
      </c>
      <c r="C221" s="43">
        <f t="shared" ref="C221:L221" si="142">C120-C74</f>
        <v>0</v>
      </c>
      <c r="D221" s="43">
        <f t="shared" si="142"/>
        <v>0</v>
      </c>
      <c r="E221" s="43">
        <f t="shared" si="142"/>
        <v>0</v>
      </c>
      <c r="F221" s="43"/>
      <c r="G221" s="43">
        <f t="shared" si="142"/>
        <v>0</v>
      </c>
      <c r="H221" s="43">
        <f t="shared" si="142"/>
        <v>0</v>
      </c>
      <c r="I221" s="43">
        <f t="shared" si="142"/>
        <v>0</v>
      </c>
      <c r="J221" s="43">
        <f t="shared" si="142"/>
        <v>0</v>
      </c>
      <c r="K221" s="43">
        <f t="shared" si="142"/>
        <v>0</v>
      </c>
      <c r="L221" s="43">
        <f t="shared" si="142"/>
        <v>0</v>
      </c>
      <c r="N221" s="45">
        <f>IF(EXACT(A221,LCI!A81),LCI!G81,-1*10^6)</f>
        <v>0</v>
      </c>
      <c r="O221" s="47">
        <f t="shared" si="90"/>
        <v>0</v>
      </c>
      <c r="P221" s="47">
        <f t="shared" si="91"/>
        <v>0</v>
      </c>
      <c r="Q221" s="47">
        <f t="shared" si="92"/>
        <v>0</v>
      </c>
      <c r="R221" s="47">
        <f t="shared" si="93"/>
        <v>0</v>
      </c>
      <c r="S221" s="47">
        <f t="shared" si="109"/>
        <v>0</v>
      </c>
      <c r="T221" s="47">
        <f t="shared" si="110"/>
        <v>0</v>
      </c>
      <c r="U221" s="47">
        <f t="shared" si="111"/>
        <v>0</v>
      </c>
      <c r="V221" s="47">
        <f t="shared" si="112"/>
        <v>0</v>
      </c>
      <c r="W221" s="47">
        <f t="shared" si="113"/>
        <v>0</v>
      </c>
      <c r="X221" s="47">
        <f t="shared" si="114"/>
        <v>0</v>
      </c>
      <c r="Z221" s="41">
        <f>IF(EXACT(A221,LCI!A90),LCI!H90,-1*10^6)</f>
        <v>-1000000</v>
      </c>
      <c r="AA221" s="71">
        <f t="shared" si="99"/>
        <v>0</v>
      </c>
      <c r="AB221" s="71">
        <f t="shared" si="130"/>
        <v>0</v>
      </c>
      <c r="AC221" s="71">
        <f t="shared" si="131"/>
        <v>0</v>
      </c>
      <c r="AD221" s="71">
        <f t="shared" si="132"/>
        <v>0</v>
      </c>
      <c r="AE221" s="71">
        <f t="shared" si="133"/>
        <v>0</v>
      </c>
      <c r="AF221" s="71">
        <f t="shared" si="134"/>
        <v>0</v>
      </c>
      <c r="AG221" s="71" t="e">
        <f>#REF!*$Z221</f>
        <v>#REF!</v>
      </c>
      <c r="AH221" s="71">
        <f t="shared" si="135"/>
        <v>0</v>
      </c>
      <c r="AI221" s="71">
        <f t="shared" si="136"/>
        <v>0</v>
      </c>
      <c r="AJ221" s="71">
        <f t="shared" si="137"/>
        <v>0</v>
      </c>
    </row>
    <row r="222" spans="1:36" x14ac:dyDescent="0.25">
      <c r="A222" s="14" t="str">
        <f>LCI!A82</f>
        <v>Wastewater, Gasification (kg/yr)</v>
      </c>
      <c r="B222" s="43">
        <f>B121</f>
        <v>0</v>
      </c>
      <c r="C222" s="43">
        <f t="shared" ref="C222:L222" si="143">C121</f>
        <v>0</v>
      </c>
      <c r="D222" s="43">
        <f t="shared" si="143"/>
        <v>0</v>
      </c>
      <c r="E222" s="43">
        <f t="shared" si="143"/>
        <v>0</v>
      </c>
      <c r="F222" s="43"/>
      <c r="G222" s="43">
        <f t="shared" si="143"/>
        <v>0</v>
      </c>
      <c r="H222" s="43">
        <f t="shared" si="143"/>
        <v>0</v>
      </c>
      <c r="I222" s="43">
        <f t="shared" si="143"/>
        <v>0</v>
      </c>
      <c r="J222" s="43">
        <f t="shared" si="143"/>
        <v>0</v>
      </c>
      <c r="K222" s="43">
        <f t="shared" si="143"/>
        <v>0</v>
      </c>
      <c r="L222" s="43">
        <f t="shared" si="143"/>
        <v>0</v>
      </c>
      <c r="N222" s="45">
        <f>IF(EXACT(A222,LCI!A82),LCI!G82,-1*10^6)</f>
        <v>-1.17E-3</v>
      </c>
      <c r="O222" s="47">
        <f t="shared" si="90"/>
        <v>0</v>
      </c>
      <c r="P222" s="47">
        <f t="shared" si="91"/>
        <v>0</v>
      </c>
      <c r="Q222" s="47">
        <f t="shared" si="92"/>
        <v>0</v>
      </c>
      <c r="R222" s="47">
        <f t="shared" si="93"/>
        <v>0</v>
      </c>
      <c r="S222" s="47">
        <f t="shared" si="109"/>
        <v>0</v>
      </c>
      <c r="T222" s="47">
        <f t="shared" si="110"/>
        <v>0</v>
      </c>
      <c r="U222" s="47">
        <f t="shared" si="111"/>
        <v>0</v>
      </c>
      <c r="V222" s="47">
        <f t="shared" si="112"/>
        <v>0</v>
      </c>
      <c r="W222" s="47">
        <f t="shared" si="113"/>
        <v>0</v>
      </c>
      <c r="X222" s="47">
        <f t="shared" si="114"/>
        <v>0</v>
      </c>
      <c r="Z222" s="41" t="e">
        <f>IF(EXACT(A222,LCI!#REF!),LCI!#REF!,-1*10^6)</f>
        <v>#REF!</v>
      </c>
      <c r="AA222" s="71" t="e">
        <f t="shared" si="99"/>
        <v>#REF!</v>
      </c>
      <c r="AB222" s="71" t="e">
        <f t="shared" si="130"/>
        <v>#REF!</v>
      </c>
      <c r="AC222" s="71" t="e">
        <f t="shared" si="131"/>
        <v>#REF!</v>
      </c>
      <c r="AD222" s="71" t="e">
        <f t="shared" si="132"/>
        <v>#REF!</v>
      </c>
      <c r="AE222" s="71" t="e">
        <f t="shared" si="133"/>
        <v>#REF!</v>
      </c>
      <c r="AF222" s="71" t="e">
        <f t="shared" si="134"/>
        <v>#REF!</v>
      </c>
      <c r="AG222" s="71" t="e">
        <f>#REF!*$Z222</f>
        <v>#REF!</v>
      </c>
      <c r="AH222" s="71" t="e">
        <f t="shared" si="135"/>
        <v>#REF!</v>
      </c>
      <c r="AI222" s="71" t="e">
        <f t="shared" si="136"/>
        <v>#REF!</v>
      </c>
      <c r="AJ222" s="71" t="e">
        <f t="shared" si="137"/>
        <v>#REF!</v>
      </c>
    </row>
    <row r="223" spans="1:36" x14ac:dyDescent="0.25">
      <c r="A223" s="14" t="str">
        <f>LCI!A83</f>
        <v>Water, Output (kg/yr)</v>
      </c>
      <c r="B223" s="43">
        <f>B136</f>
        <v>0</v>
      </c>
      <c r="C223" s="43">
        <f t="shared" ref="C223:L223" si="144">C136</f>
        <v>5833.1237234400014</v>
      </c>
      <c r="D223" s="43">
        <f t="shared" si="144"/>
        <v>0</v>
      </c>
      <c r="E223" s="43">
        <f t="shared" si="144"/>
        <v>0</v>
      </c>
      <c r="F223" s="43"/>
      <c r="G223" s="43">
        <f t="shared" si="144"/>
        <v>0</v>
      </c>
      <c r="H223" s="43">
        <f t="shared" si="144"/>
        <v>0</v>
      </c>
      <c r="I223" s="43">
        <f t="shared" si="144"/>
        <v>86567.305499999988</v>
      </c>
      <c r="J223" s="43">
        <f t="shared" si="144"/>
        <v>0</v>
      </c>
      <c r="K223" s="43">
        <f t="shared" si="144"/>
        <v>0</v>
      </c>
      <c r="L223" s="43">
        <f t="shared" si="144"/>
        <v>0</v>
      </c>
      <c r="N223" s="45">
        <f>IF(EXACT(A223,LCI!A83),LCI!G83,-1*10^6)</f>
        <v>0</v>
      </c>
      <c r="O223" s="47">
        <f t="shared" si="90"/>
        <v>0</v>
      </c>
      <c r="P223" s="47">
        <f t="shared" si="91"/>
        <v>0</v>
      </c>
      <c r="Q223" s="47">
        <f t="shared" si="92"/>
        <v>0</v>
      </c>
      <c r="R223" s="47">
        <f t="shared" si="93"/>
        <v>0</v>
      </c>
      <c r="S223" s="47">
        <f t="shared" si="109"/>
        <v>0</v>
      </c>
      <c r="T223" s="47">
        <f t="shared" si="110"/>
        <v>0</v>
      </c>
      <c r="U223" s="47">
        <f t="shared" si="111"/>
        <v>0</v>
      </c>
      <c r="V223" s="47">
        <f t="shared" si="112"/>
        <v>0</v>
      </c>
      <c r="W223" s="47">
        <f t="shared" si="113"/>
        <v>0</v>
      </c>
      <c r="X223" s="47">
        <f t="shared" si="114"/>
        <v>0</v>
      </c>
      <c r="Z223" s="41">
        <f>IF(EXACT(A223,LCI!A91),LCI!H91,-1*10^6)</f>
        <v>-1000000</v>
      </c>
      <c r="AA223" s="71">
        <f t="shared" si="99"/>
        <v>-86567305499.999985</v>
      </c>
      <c r="AB223" s="71">
        <f t="shared" si="130"/>
        <v>-5833123723.4400015</v>
      </c>
      <c r="AC223" s="71">
        <f t="shared" si="131"/>
        <v>0</v>
      </c>
      <c r="AD223" s="71">
        <f t="shared" si="132"/>
        <v>0</v>
      </c>
      <c r="AE223" s="71">
        <f t="shared" si="133"/>
        <v>0</v>
      </c>
      <c r="AF223" s="71">
        <f t="shared" si="134"/>
        <v>0</v>
      </c>
      <c r="AG223" s="71" t="e">
        <f>#REF!*$Z223</f>
        <v>#REF!</v>
      </c>
      <c r="AH223" s="71">
        <f t="shared" si="135"/>
        <v>0</v>
      </c>
      <c r="AI223" s="71">
        <f t="shared" si="136"/>
        <v>0</v>
      </c>
      <c r="AJ223" s="71">
        <f t="shared" si="137"/>
        <v>0</v>
      </c>
    </row>
    <row r="224" spans="1:36" x14ac:dyDescent="0.25">
      <c r="A224" s="14" t="str">
        <f>LCI!A84</f>
        <v>WDGS (kg/yr)</v>
      </c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N224" s="45">
        <f>IF(EXACT(A224,LCI!A84),LCI!G84,-1*10^6)</f>
        <v>0</v>
      </c>
      <c r="O224" s="47">
        <f t="shared" si="90"/>
        <v>0</v>
      </c>
      <c r="P224" s="47">
        <f t="shared" si="91"/>
        <v>0</v>
      </c>
      <c r="Q224" s="47">
        <f t="shared" si="92"/>
        <v>0</v>
      </c>
      <c r="R224" s="47">
        <f t="shared" si="93"/>
        <v>0</v>
      </c>
      <c r="S224" s="47">
        <f t="shared" si="109"/>
        <v>0</v>
      </c>
      <c r="T224" s="47">
        <f t="shared" si="110"/>
        <v>0</v>
      </c>
      <c r="U224" s="47">
        <f t="shared" si="111"/>
        <v>0</v>
      </c>
      <c r="V224" s="47">
        <f t="shared" si="112"/>
        <v>0</v>
      </c>
      <c r="W224" s="47">
        <f t="shared" si="113"/>
        <v>0</v>
      </c>
      <c r="X224" s="47">
        <f t="shared" si="114"/>
        <v>0</v>
      </c>
      <c r="Z224" s="41">
        <f>IF(EXACT(A224,LCI!A92),LCI!H92,-1*10^6)</f>
        <v>-1000000</v>
      </c>
      <c r="AA224" s="71">
        <f t="shared" si="99"/>
        <v>0</v>
      </c>
      <c r="AB224" s="71">
        <f t="shared" si="130"/>
        <v>0</v>
      </c>
      <c r="AC224" s="71">
        <f t="shared" si="131"/>
        <v>0</v>
      </c>
      <c r="AD224" s="71">
        <f t="shared" si="132"/>
        <v>0</v>
      </c>
      <c r="AE224" s="71">
        <f t="shared" si="133"/>
        <v>0</v>
      </c>
      <c r="AF224" s="71">
        <f t="shared" si="134"/>
        <v>0</v>
      </c>
      <c r="AG224" s="71" t="e">
        <f>#REF!*$Z224</f>
        <v>#REF!</v>
      </c>
      <c r="AH224" s="71">
        <f t="shared" si="135"/>
        <v>0</v>
      </c>
      <c r="AI224" s="71">
        <f t="shared" si="136"/>
        <v>0</v>
      </c>
      <c r="AJ224" s="71">
        <f t="shared" si="137"/>
        <v>0</v>
      </c>
    </row>
    <row r="225" spans="1:36" x14ac:dyDescent="0.25">
      <c r="A225" s="14" t="str">
        <f>LCI!A85</f>
        <v>WOG, Delivered (kg/yr)</v>
      </c>
      <c r="B225" s="43">
        <f>B104-B76</f>
        <v>0</v>
      </c>
      <c r="C225" s="43">
        <f t="shared" ref="C225:L225" si="145">C104-C76</f>
        <v>0</v>
      </c>
      <c r="D225" s="43">
        <f t="shared" si="145"/>
        <v>0</v>
      </c>
      <c r="E225" s="43">
        <f t="shared" si="145"/>
        <v>0</v>
      </c>
      <c r="F225" s="43"/>
      <c r="G225" s="43">
        <f t="shared" si="145"/>
        <v>0</v>
      </c>
      <c r="H225" s="43">
        <f t="shared" si="145"/>
        <v>0</v>
      </c>
      <c r="I225" s="43">
        <f t="shared" si="145"/>
        <v>0</v>
      </c>
      <c r="J225" s="43">
        <f t="shared" si="145"/>
        <v>0</v>
      </c>
      <c r="K225" s="43">
        <f t="shared" si="145"/>
        <v>0</v>
      </c>
      <c r="L225" s="43">
        <f t="shared" si="145"/>
        <v>0</v>
      </c>
      <c r="N225" s="45">
        <f>IF(EXACT(A225,LCI!A85),LCI!G85,-1*10^6)</f>
        <v>0</v>
      </c>
      <c r="O225" s="47">
        <f t="shared" si="90"/>
        <v>0</v>
      </c>
      <c r="P225" s="47">
        <f t="shared" si="91"/>
        <v>0</v>
      </c>
      <c r="Q225" s="47">
        <f t="shared" si="92"/>
        <v>0</v>
      </c>
      <c r="R225" s="47">
        <f t="shared" si="93"/>
        <v>0</v>
      </c>
      <c r="S225" s="47">
        <f t="shared" si="109"/>
        <v>0</v>
      </c>
      <c r="T225" s="47">
        <f t="shared" si="110"/>
        <v>0</v>
      </c>
      <c r="U225" s="47">
        <f t="shared" si="111"/>
        <v>0</v>
      </c>
      <c r="V225" s="47">
        <f t="shared" si="112"/>
        <v>0</v>
      </c>
      <c r="W225" s="47">
        <f t="shared" si="113"/>
        <v>0</v>
      </c>
      <c r="X225" s="47">
        <f t="shared" si="114"/>
        <v>0</v>
      </c>
      <c r="Z225" s="41">
        <f>IF(EXACT(A225,LCI!A93),LCI!H93,-1*10^6)</f>
        <v>-1000000</v>
      </c>
      <c r="AA225" s="71">
        <f t="shared" si="99"/>
        <v>0</v>
      </c>
      <c r="AB225" s="71">
        <f t="shared" si="130"/>
        <v>0</v>
      </c>
      <c r="AC225" s="71">
        <f t="shared" si="131"/>
        <v>0</v>
      </c>
      <c r="AD225" s="71">
        <f t="shared" si="132"/>
        <v>0</v>
      </c>
      <c r="AE225" s="71">
        <f t="shared" si="133"/>
        <v>0</v>
      </c>
      <c r="AF225" s="71">
        <f t="shared" si="134"/>
        <v>0</v>
      </c>
      <c r="AG225" s="71" t="e">
        <f>#REF!*$Z225</f>
        <v>#REF!</v>
      </c>
      <c r="AH225" s="71">
        <f t="shared" si="135"/>
        <v>0</v>
      </c>
      <c r="AI225" s="71">
        <f t="shared" si="136"/>
        <v>0</v>
      </c>
      <c r="AJ225" s="71">
        <f t="shared" si="137"/>
        <v>0</v>
      </c>
    </row>
    <row r="226" spans="1:36" x14ac:dyDescent="0.25">
      <c r="A226" s="14" t="str">
        <f>LCI!A86</f>
        <v>Woody Biomass (kg/yr)</v>
      </c>
      <c r="B226" s="43">
        <f>B105-B59</f>
        <v>0</v>
      </c>
      <c r="C226" s="43">
        <f t="shared" ref="C226:L226" si="146">C105-C59</f>
        <v>0</v>
      </c>
      <c r="D226" s="43">
        <f t="shared" si="146"/>
        <v>0</v>
      </c>
      <c r="E226" s="43">
        <f t="shared" si="146"/>
        <v>0</v>
      </c>
      <c r="F226" s="43"/>
      <c r="G226" s="43">
        <f t="shared" si="146"/>
        <v>0</v>
      </c>
      <c r="H226" s="43">
        <f t="shared" si="146"/>
        <v>0</v>
      </c>
      <c r="I226" s="43">
        <f t="shared" si="146"/>
        <v>0</v>
      </c>
      <c r="J226" s="43">
        <f t="shared" si="146"/>
        <v>0</v>
      </c>
      <c r="K226" s="43">
        <f t="shared" si="146"/>
        <v>0</v>
      </c>
      <c r="L226" s="43">
        <f t="shared" si="146"/>
        <v>0</v>
      </c>
      <c r="N226" s="45">
        <f>IF(EXACT(A226,LCI!A86),LCI!G86,-1*10^6)</f>
        <v>0</v>
      </c>
      <c r="O226" s="47">
        <f t="shared" si="90"/>
        <v>0</v>
      </c>
      <c r="P226" s="47">
        <f t="shared" si="91"/>
        <v>0</v>
      </c>
      <c r="Q226" s="47">
        <f t="shared" si="92"/>
        <v>0</v>
      </c>
      <c r="R226" s="47">
        <f t="shared" si="93"/>
        <v>0</v>
      </c>
      <c r="S226" s="47">
        <f t="shared" si="109"/>
        <v>0</v>
      </c>
      <c r="T226" s="47">
        <f t="shared" si="110"/>
        <v>0</v>
      </c>
      <c r="U226" s="47">
        <f t="shared" si="111"/>
        <v>0</v>
      </c>
      <c r="V226" s="47">
        <f t="shared" si="112"/>
        <v>0</v>
      </c>
      <c r="W226" s="47">
        <f t="shared" si="113"/>
        <v>0</v>
      </c>
      <c r="X226" s="47">
        <f t="shared" si="114"/>
        <v>0</v>
      </c>
      <c r="Z226" s="41">
        <f>IF(EXACT(A226,LCI!A94),LCI!H94,-1*10^6)</f>
        <v>-1000000</v>
      </c>
      <c r="AA226" s="71">
        <f t="shared" si="99"/>
        <v>0</v>
      </c>
      <c r="AB226" s="71">
        <f t="shared" si="130"/>
        <v>0</v>
      </c>
      <c r="AC226" s="71">
        <f t="shared" si="131"/>
        <v>0</v>
      </c>
      <c r="AD226" s="71">
        <f t="shared" si="132"/>
        <v>0</v>
      </c>
      <c r="AE226" s="71">
        <f t="shared" si="133"/>
        <v>0</v>
      </c>
      <c r="AF226" s="71">
        <f t="shared" si="134"/>
        <v>0</v>
      </c>
      <c r="AG226" s="71" t="e">
        <f>#REF!*$Z226</f>
        <v>#REF!</v>
      </c>
      <c r="AH226" s="71">
        <f t="shared" si="135"/>
        <v>0</v>
      </c>
      <c r="AI226" s="71">
        <f t="shared" si="136"/>
        <v>0</v>
      </c>
      <c r="AJ226" s="71">
        <f t="shared" si="137"/>
        <v>0</v>
      </c>
    </row>
    <row r="227" spans="1:36" x14ac:dyDescent="0.25">
      <c r="A227" s="14" t="str">
        <f>LCI!A87</f>
        <v>Biodiesel, Produced (kg/yr)</v>
      </c>
      <c r="B227" s="43">
        <f>B128</f>
        <v>61118.86884229719</v>
      </c>
      <c r="C227" s="43">
        <f t="shared" ref="C227:L227" si="147">C128</f>
        <v>0</v>
      </c>
      <c r="D227" s="43">
        <f t="shared" si="147"/>
        <v>0</v>
      </c>
      <c r="E227" s="43">
        <f t="shared" si="147"/>
        <v>0</v>
      </c>
      <c r="F227" s="43"/>
      <c r="G227" s="43">
        <f t="shared" si="147"/>
        <v>0</v>
      </c>
      <c r="H227" s="43">
        <f t="shared" si="147"/>
        <v>0</v>
      </c>
      <c r="I227" s="43">
        <f t="shared" si="147"/>
        <v>0</v>
      </c>
      <c r="J227" s="43">
        <f t="shared" si="147"/>
        <v>0</v>
      </c>
      <c r="K227" s="43">
        <f t="shared" si="147"/>
        <v>0</v>
      </c>
      <c r="L227" s="43">
        <f t="shared" si="147"/>
        <v>0</v>
      </c>
      <c r="N227" s="45">
        <f>IF(EXACT(A227,LCI!A87),LCI!G87,-1*10^6)</f>
        <v>0.5</v>
      </c>
      <c r="O227" s="47">
        <f>B227*$N227</f>
        <v>30559.434421148595</v>
      </c>
      <c r="P227" s="47">
        <f t="shared" si="91"/>
        <v>0</v>
      </c>
      <c r="Q227" s="47">
        <f t="shared" si="92"/>
        <v>0</v>
      </c>
      <c r="R227" s="47">
        <f t="shared" si="93"/>
        <v>0</v>
      </c>
      <c r="S227" s="47">
        <f t="shared" si="109"/>
        <v>0</v>
      </c>
      <c r="T227" s="47">
        <f t="shared" si="110"/>
        <v>0</v>
      </c>
      <c r="U227" s="47">
        <f t="shared" si="111"/>
        <v>0</v>
      </c>
      <c r="V227" s="47">
        <f t="shared" si="112"/>
        <v>0</v>
      </c>
      <c r="W227" s="47">
        <f t="shared" si="113"/>
        <v>0</v>
      </c>
      <c r="X227" s="47">
        <f t="shared" si="114"/>
        <v>0</v>
      </c>
      <c r="Z227" s="41">
        <f>IF(EXACT(A227,LCI!A95),LCI!H95,-1*10^6)</f>
        <v>-1000000</v>
      </c>
      <c r="AA227" s="71">
        <f t="shared" si="99"/>
        <v>0</v>
      </c>
      <c r="AB227" s="71">
        <f t="shared" si="130"/>
        <v>0</v>
      </c>
      <c r="AC227" s="71">
        <f t="shared" si="131"/>
        <v>0</v>
      </c>
      <c r="AD227" s="71">
        <f t="shared" si="132"/>
        <v>0</v>
      </c>
      <c r="AE227" s="71">
        <f t="shared" si="133"/>
        <v>0</v>
      </c>
      <c r="AF227" s="71">
        <f t="shared" si="134"/>
        <v>0</v>
      </c>
      <c r="AG227" s="71" t="e">
        <f>#REF!*$Z227</f>
        <v>#REF!</v>
      </c>
      <c r="AH227" s="71">
        <f t="shared" si="135"/>
        <v>0</v>
      </c>
      <c r="AI227" s="71">
        <f t="shared" si="136"/>
        <v>0</v>
      </c>
      <c r="AJ227" s="71">
        <f t="shared" si="137"/>
        <v>0</v>
      </c>
    </row>
    <row r="228" spans="1:36" x14ac:dyDescent="0.25">
      <c r="A228" s="14" t="str">
        <f>LCI!A88</f>
        <v>Diesel, Produced (kg/yr)</v>
      </c>
      <c r="B228" s="43">
        <f>B129</f>
        <v>0</v>
      </c>
      <c r="C228" s="43">
        <f t="shared" ref="C228:L228" si="148">C129</f>
        <v>15622.043994960004</v>
      </c>
      <c r="D228" s="43">
        <f t="shared" si="148"/>
        <v>0</v>
      </c>
      <c r="E228" s="43">
        <f t="shared" si="148"/>
        <v>0</v>
      </c>
      <c r="F228" s="43"/>
      <c r="G228" s="43">
        <f t="shared" si="148"/>
        <v>0</v>
      </c>
      <c r="H228" s="43">
        <f t="shared" si="148"/>
        <v>0</v>
      </c>
      <c r="I228" s="43">
        <f t="shared" si="148"/>
        <v>231841.17450000002</v>
      </c>
      <c r="J228" s="43">
        <f t="shared" si="148"/>
        <v>0</v>
      </c>
      <c r="K228" s="43">
        <f t="shared" si="148"/>
        <v>0</v>
      </c>
      <c r="L228" s="43">
        <f t="shared" si="148"/>
        <v>0</v>
      </c>
      <c r="N228" s="45">
        <f>IF(EXACT(A228,LCI!A88),LCI!G88,-1*10^6)</f>
        <v>0.58711287199999995</v>
      </c>
      <c r="O228" s="47">
        <f t="shared" si="90"/>
        <v>0</v>
      </c>
      <c r="P228" s="47">
        <f t="shared" si="91"/>
        <v>9171.9031163913205</v>
      </c>
      <c r="Q228" s="47">
        <f t="shared" si="92"/>
        <v>0</v>
      </c>
      <c r="R228" s="47">
        <f t="shared" si="93"/>
        <v>0</v>
      </c>
      <c r="S228" s="47">
        <f t="shared" si="109"/>
        <v>0</v>
      </c>
      <c r="T228" s="47">
        <f t="shared" si="110"/>
        <v>0</v>
      </c>
      <c r="U228" s="47">
        <f t="shared" si="111"/>
        <v>136116.93780854816</v>
      </c>
      <c r="V228" s="47">
        <f t="shared" si="112"/>
        <v>0</v>
      </c>
      <c r="W228" s="47">
        <f t="shared" si="113"/>
        <v>0</v>
      </c>
      <c r="X228" s="47">
        <f t="shared" si="114"/>
        <v>0</v>
      </c>
      <c r="Z228" s="41">
        <f>IF(EXACT(A228,LCI!A96),LCI!H96,-1*10^6)</f>
        <v>-1000000</v>
      </c>
      <c r="AA228" s="71">
        <f t="shared" si="99"/>
        <v>-231841174500.00003</v>
      </c>
      <c r="AB228" s="71">
        <f t="shared" si="130"/>
        <v>-15622043994.960005</v>
      </c>
      <c r="AC228" s="71">
        <f t="shared" si="131"/>
        <v>0</v>
      </c>
      <c r="AD228" s="71">
        <f t="shared" si="132"/>
        <v>0</v>
      </c>
      <c r="AE228" s="71">
        <f t="shared" si="133"/>
        <v>0</v>
      </c>
      <c r="AF228" s="71">
        <f t="shared" si="134"/>
        <v>0</v>
      </c>
      <c r="AG228" s="71" t="e">
        <f>#REF!*$Z228</f>
        <v>#REF!</v>
      </c>
      <c r="AH228" s="71">
        <f t="shared" si="135"/>
        <v>0</v>
      </c>
      <c r="AI228" s="71">
        <f t="shared" si="136"/>
        <v>0</v>
      </c>
      <c r="AJ228" s="71">
        <f t="shared" si="137"/>
        <v>0</v>
      </c>
    </row>
    <row r="229" spans="1:36" x14ac:dyDescent="0.25">
      <c r="A229" s="14" t="str">
        <f>LCI!A89</f>
        <v>Electricity, Generated (MJ/yr)</v>
      </c>
      <c r="B229" s="43">
        <f>B113</f>
        <v>0</v>
      </c>
      <c r="C229" s="43">
        <f t="shared" ref="C229:L229" si="149">C113</f>
        <v>0</v>
      </c>
      <c r="D229" s="43">
        <f t="shared" si="149"/>
        <v>0</v>
      </c>
      <c r="E229" s="43">
        <f t="shared" si="149"/>
        <v>0</v>
      </c>
      <c r="F229" s="43"/>
      <c r="G229" s="43">
        <f t="shared" si="149"/>
        <v>0</v>
      </c>
      <c r="H229" s="43">
        <f t="shared" si="149"/>
        <v>0</v>
      </c>
      <c r="I229" s="43">
        <f t="shared" si="149"/>
        <v>0</v>
      </c>
      <c r="J229" s="43">
        <f t="shared" si="149"/>
        <v>0</v>
      </c>
      <c r="K229" s="43">
        <f t="shared" si="149"/>
        <v>0</v>
      </c>
      <c r="L229" s="43">
        <f t="shared" si="149"/>
        <v>0</v>
      </c>
      <c r="N229" s="45">
        <f>IF(EXACT(A229,LCI!A89),LCI!G89,-1*10^6)</f>
        <v>1.8722222E-2</v>
      </c>
      <c r="O229" s="47">
        <f t="shared" si="90"/>
        <v>0</v>
      </c>
      <c r="P229" s="47">
        <f t="shared" si="91"/>
        <v>0</v>
      </c>
      <c r="Q229" s="47">
        <f t="shared" si="92"/>
        <v>0</v>
      </c>
      <c r="R229" s="47">
        <f t="shared" si="93"/>
        <v>0</v>
      </c>
      <c r="S229" s="47">
        <f t="shared" si="109"/>
        <v>0</v>
      </c>
      <c r="T229" s="47">
        <f t="shared" si="110"/>
        <v>0</v>
      </c>
      <c r="U229" s="47">
        <f t="shared" si="111"/>
        <v>0</v>
      </c>
      <c r="V229" s="47">
        <f t="shared" si="112"/>
        <v>0</v>
      </c>
      <c r="W229" s="47">
        <f t="shared" si="113"/>
        <v>0</v>
      </c>
      <c r="X229" s="47">
        <f t="shared" si="114"/>
        <v>0</v>
      </c>
      <c r="Z229" s="41">
        <f>IF(EXACT(A229,LCI!A97),LCI!H97,-1*10^6)</f>
        <v>-1000000</v>
      </c>
      <c r="AA229" s="71">
        <f t="shared" si="99"/>
        <v>0</v>
      </c>
      <c r="AB229" s="71">
        <f t="shared" si="130"/>
        <v>0</v>
      </c>
      <c r="AC229" s="71">
        <f t="shared" si="131"/>
        <v>0</v>
      </c>
      <c r="AD229" s="71">
        <f t="shared" si="132"/>
        <v>0</v>
      </c>
      <c r="AE229" s="71">
        <f t="shared" si="133"/>
        <v>0</v>
      </c>
      <c r="AF229" s="71">
        <f t="shared" si="134"/>
        <v>0</v>
      </c>
      <c r="AG229" s="71" t="e">
        <f>#REF!*$Z229</f>
        <v>#REF!</v>
      </c>
      <c r="AH229" s="71">
        <f t="shared" si="135"/>
        <v>0</v>
      </c>
      <c r="AI229" s="71">
        <f t="shared" si="136"/>
        <v>0</v>
      </c>
      <c r="AJ229" s="71">
        <f t="shared" si="137"/>
        <v>0</v>
      </c>
    </row>
    <row r="230" spans="1:36" x14ac:dyDescent="0.25">
      <c r="A230" s="14" t="str">
        <f>LCI!A90</f>
        <v>Ethanol (kg/yr)</v>
      </c>
      <c r="B230" s="43">
        <f>B114-B78</f>
        <v>0</v>
      </c>
      <c r="C230" s="43">
        <f t="shared" ref="C230:L230" si="150">C114-C78</f>
        <v>0</v>
      </c>
      <c r="D230" s="43">
        <f t="shared" si="150"/>
        <v>0</v>
      </c>
      <c r="E230" s="43">
        <f t="shared" si="150"/>
        <v>0</v>
      </c>
      <c r="F230" s="43"/>
      <c r="G230" s="43">
        <f t="shared" si="150"/>
        <v>0</v>
      </c>
      <c r="H230" s="43">
        <f t="shared" si="150"/>
        <v>0</v>
      </c>
      <c r="I230" s="43">
        <f t="shared" si="150"/>
        <v>0</v>
      </c>
      <c r="J230" s="43">
        <f t="shared" si="150"/>
        <v>0</v>
      </c>
      <c r="K230" s="43">
        <f t="shared" si="150"/>
        <v>0</v>
      </c>
      <c r="L230" s="43">
        <f t="shared" si="150"/>
        <v>0</v>
      </c>
      <c r="N230" s="45">
        <f>IF(EXACT(A230,LCI!A90),LCI!G90,-1*10^6)</f>
        <v>0.42</v>
      </c>
      <c r="O230" s="47">
        <f t="shared" si="90"/>
        <v>0</v>
      </c>
      <c r="P230" s="47">
        <f t="shared" si="91"/>
        <v>0</v>
      </c>
      <c r="Q230" s="47">
        <f t="shared" si="92"/>
        <v>0</v>
      </c>
      <c r="R230" s="47">
        <f t="shared" si="93"/>
        <v>0</v>
      </c>
      <c r="S230" s="47">
        <f t="shared" si="109"/>
        <v>0</v>
      </c>
      <c r="T230" s="47">
        <f t="shared" si="110"/>
        <v>0</v>
      </c>
      <c r="U230" s="47">
        <f t="shared" si="111"/>
        <v>0</v>
      </c>
      <c r="V230" s="47">
        <f t="shared" si="112"/>
        <v>0</v>
      </c>
      <c r="W230" s="47">
        <f t="shared" si="113"/>
        <v>0</v>
      </c>
      <c r="X230" s="47">
        <f t="shared" si="114"/>
        <v>0</v>
      </c>
      <c r="Z230" s="41">
        <f>IF(EXACT(A230,LCI!A98),LCI!H98,-1*10^6)</f>
        <v>-1000000</v>
      </c>
      <c r="AA230" s="71">
        <f t="shared" si="99"/>
        <v>0</v>
      </c>
      <c r="AB230" s="71">
        <f t="shared" si="130"/>
        <v>0</v>
      </c>
      <c r="AC230" s="71">
        <f t="shared" si="131"/>
        <v>0</v>
      </c>
      <c r="AD230" s="71">
        <f t="shared" si="132"/>
        <v>0</v>
      </c>
      <c r="AE230" s="71">
        <f t="shared" si="133"/>
        <v>0</v>
      </c>
      <c r="AF230" s="71">
        <f t="shared" si="134"/>
        <v>0</v>
      </c>
      <c r="AG230" s="71" t="e">
        <f>#REF!*$Z230</f>
        <v>#REF!</v>
      </c>
      <c r="AH230" s="71">
        <f t="shared" si="135"/>
        <v>0</v>
      </c>
      <c r="AI230" s="71">
        <f t="shared" si="136"/>
        <v>0</v>
      </c>
      <c r="AJ230" s="71">
        <f t="shared" si="137"/>
        <v>0</v>
      </c>
    </row>
    <row r="231" spans="1:36" x14ac:dyDescent="0.25">
      <c r="A231" s="14" t="str">
        <f>LCI!A91</f>
        <v>Gasoline, Produced (kg/yr)</v>
      </c>
      <c r="B231" s="43">
        <f>B130</f>
        <v>0</v>
      </c>
      <c r="C231" s="43">
        <f t="shared" ref="C231:L231" si="151">C130</f>
        <v>4693.3179384000014</v>
      </c>
      <c r="D231" s="43">
        <f t="shared" si="151"/>
        <v>0</v>
      </c>
      <c r="E231" s="43">
        <f t="shared" si="151"/>
        <v>0</v>
      </c>
      <c r="F231" s="43"/>
      <c r="G231" s="43">
        <f t="shared" si="151"/>
        <v>0</v>
      </c>
      <c r="H231" s="43">
        <f t="shared" si="151"/>
        <v>0</v>
      </c>
      <c r="I231" s="43">
        <f t="shared" si="151"/>
        <v>57114.521100000005</v>
      </c>
      <c r="J231" s="43">
        <f t="shared" si="151"/>
        <v>0</v>
      </c>
      <c r="K231" s="43">
        <f t="shared" si="151"/>
        <v>0</v>
      </c>
      <c r="L231" s="43">
        <f t="shared" si="151"/>
        <v>0</v>
      </c>
      <c r="N231" s="45">
        <f>IF(EXACT(A231,LCI!A91),LCI!G91,-1*10^6)</f>
        <v>0.58711287199999995</v>
      </c>
      <c r="O231" s="47">
        <f t="shared" ref="O231:O239" si="152">B231*$N231</f>
        <v>0</v>
      </c>
      <c r="P231" s="47">
        <f t="shared" ref="P231:P239" si="153">C231*$N231</f>
        <v>2755.5073740231437</v>
      </c>
      <c r="Q231" s="47">
        <f t="shared" ref="Q231:Q239" si="154">D231*$N231</f>
        <v>0</v>
      </c>
      <c r="R231" s="47">
        <f t="shared" ref="R231:R239" si="155">E231*$N231</f>
        <v>0</v>
      </c>
      <c r="S231" s="47">
        <f t="shared" ref="S231:S239" si="156">G231*$N231</f>
        <v>0</v>
      </c>
      <c r="T231" s="47">
        <f t="shared" ref="T231:T239" si="157">H231*$N231</f>
        <v>0</v>
      </c>
      <c r="U231" s="47">
        <f t="shared" ref="U231:U239" si="158">I231*$N231</f>
        <v>33532.670515925602</v>
      </c>
      <c r="V231" s="47">
        <f t="shared" ref="V231:V239" si="159">J231*$N231</f>
        <v>0</v>
      </c>
      <c r="W231" s="47">
        <f t="shared" ref="W231:W239" si="160">K231*$N231</f>
        <v>0</v>
      </c>
      <c r="X231" s="47">
        <f t="shared" ref="X231:X239" si="161">L231*$N231</f>
        <v>0</v>
      </c>
    </row>
    <row r="232" spans="1:36" x14ac:dyDescent="0.25">
      <c r="A232" s="14" t="str">
        <f>LCI!A92</f>
        <v>Hydrogen, Produced (kg/yr)</v>
      </c>
      <c r="B232" s="43">
        <f>B115</f>
        <v>0</v>
      </c>
      <c r="C232" s="43">
        <f t="shared" ref="C232:L232" si="162">C115</f>
        <v>0</v>
      </c>
      <c r="D232" s="43">
        <f t="shared" si="162"/>
        <v>0</v>
      </c>
      <c r="E232" s="43">
        <f t="shared" si="162"/>
        <v>0</v>
      </c>
      <c r="F232" s="43"/>
      <c r="G232" s="43">
        <f t="shared" si="162"/>
        <v>0</v>
      </c>
      <c r="H232" s="43">
        <f t="shared" si="162"/>
        <v>0</v>
      </c>
      <c r="I232" s="43">
        <f t="shared" si="162"/>
        <v>0</v>
      </c>
      <c r="J232" s="43">
        <f t="shared" si="162"/>
        <v>0</v>
      </c>
      <c r="K232" s="43">
        <f t="shared" si="162"/>
        <v>0</v>
      </c>
      <c r="L232" s="43">
        <f t="shared" si="162"/>
        <v>0</v>
      </c>
      <c r="N232" s="45">
        <f>IF(EXACT(A232,LCI!A92),LCI!G92,-1*10^6)</f>
        <v>3.2160000000000002</v>
      </c>
      <c r="O232" s="47">
        <f t="shared" si="152"/>
        <v>0</v>
      </c>
      <c r="P232" s="47">
        <f t="shared" si="153"/>
        <v>0</v>
      </c>
      <c r="Q232" s="47">
        <f t="shared" si="154"/>
        <v>0</v>
      </c>
      <c r="R232" s="47">
        <f t="shared" si="155"/>
        <v>0</v>
      </c>
      <c r="S232" s="47">
        <f t="shared" si="156"/>
        <v>0</v>
      </c>
      <c r="T232" s="47">
        <f t="shared" si="157"/>
        <v>0</v>
      </c>
      <c r="U232" s="47">
        <f t="shared" si="158"/>
        <v>0</v>
      </c>
      <c r="V232" s="47">
        <f t="shared" si="159"/>
        <v>0</v>
      </c>
      <c r="W232" s="47">
        <f t="shared" si="160"/>
        <v>0</v>
      </c>
      <c r="X232" s="47">
        <f t="shared" si="161"/>
        <v>0</v>
      </c>
    </row>
    <row r="233" spans="1:36" x14ac:dyDescent="0.25">
      <c r="A233" s="14" t="str">
        <f>LCI!A93</f>
        <v>Jet A-1 (kg/yr)</v>
      </c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N233" s="45">
        <f>IF(EXACT(A233,LCI!A93),LCI!G93,-1*10^6)</f>
        <v>0.60735814391351217</v>
      </c>
      <c r="O233" s="47">
        <f t="shared" si="152"/>
        <v>0</v>
      </c>
      <c r="P233" s="47">
        <f t="shared" si="153"/>
        <v>0</v>
      </c>
      <c r="Q233" s="47">
        <f t="shared" si="154"/>
        <v>0</v>
      </c>
      <c r="R233" s="47">
        <f t="shared" si="155"/>
        <v>0</v>
      </c>
      <c r="S233" s="47">
        <f t="shared" si="156"/>
        <v>0</v>
      </c>
      <c r="T233" s="47">
        <f t="shared" si="157"/>
        <v>0</v>
      </c>
      <c r="U233" s="47">
        <f t="shared" si="158"/>
        <v>0</v>
      </c>
      <c r="V233" s="47">
        <f t="shared" si="159"/>
        <v>0</v>
      </c>
      <c r="W233" s="47">
        <f t="shared" si="160"/>
        <v>0</v>
      </c>
      <c r="X233" s="47">
        <f t="shared" si="161"/>
        <v>0</v>
      </c>
    </row>
    <row r="234" spans="1:36" x14ac:dyDescent="0.25">
      <c r="A234" s="14" t="str">
        <f>LCI!A94</f>
        <v>Jet-A (kg/yr)</v>
      </c>
      <c r="B234" s="43">
        <f>B132</f>
        <v>0</v>
      </c>
      <c r="C234" s="43">
        <f t="shared" ref="C234:L234" si="163">C132</f>
        <v>33121.415165280006</v>
      </c>
      <c r="D234" s="43">
        <f t="shared" si="163"/>
        <v>0</v>
      </c>
      <c r="E234" s="43">
        <f t="shared" si="163"/>
        <v>0</v>
      </c>
      <c r="F234" s="43"/>
      <c r="G234" s="43">
        <f t="shared" si="163"/>
        <v>0</v>
      </c>
      <c r="H234" s="43">
        <f t="shared" si="163"/>
        <v>0</v>
      </c>
      <c r="I234" s="43">
        <f t="shared" si="163"/>
        <v>491543.09100000001</v>
      </c>
      <c r="J234" s="43">
        <f t="shared" si="163"/>
        <v>0</v>
      </c>
      <c r="K234" s="43">
        <f t="shared" si="163"/>
        <v>0</v>
      </c>
      <c r="L234" s="43">
        <f t="shared" si="163"/>
        <v>0</v>
      </c>
      <c r="N234" s="45">
        <f>IF(EXACT(A234,LCI!A94),LCI!G94,-1*10^6)</f>
        <v>0.60735814391351217</v>
      </c>
      <c r="O234" s="47">
        <f t="shared" si="152"/>
        <v>0</v>
      </c>
      <c r="P234" s="47">
        <f t="shared" si="153"/>
        <v>20116.561238573318</v>
      </c>
      <c r="Q234" s="47">
        <f t="shared" si="154"/>
        <v>0</v>
      </c>
      <c r="R234" s="47">
        <f t="shared" si="155"/>
        <v>0</v>
      </c>
      <c r="S234" s="47">
        <f t="shared" si="156"/>
        <v>0</v>
      </c>
      <c r="T234" s="47">
        <f t="shared" si="157"/>
        <v>0</v>
      </c>
      <c r="U234" s="47">
        <f t="shared" si="158"/>
        <v>298542.69940327061</v>
      </c>
      <c r="V234" s="47">
        <f t="shared" si="159"/>
        <v>0</v>
      </c>
      <c r="W234" s="47">
        <f t="shared" si="160"/>
        <v>0</v>
      </c>
      <c r="X234" s="47">
        <f t="shared" si="161"/>
        <v>0</v>
      </c>
    </row>
    <row r="235" spans="1:36" x14ac:dyDescent="0.25">
      <c r="A235" s="14" t="str">
        <f>LCI!A95</f>
        <v>JP-5 (kg/yr)</v>
      </c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N235" s="45">
        <f>IF(EXACT(A235,LCI!A95),LCI!G95,-1*10^6)</f>
        <v>0.60735814391351217</v>
      </c>
      <c r="O235" s="47">
        <f t="shared" si="152"/>
        <v>0</v>
      </c>
      <c r="P235" s="47">
        <f t="shared" si="153"/>
        <v>0</v>
      </c>
      <c r="Q235" s="47">
        <f t="shared" si="154"/>
        <v>0</v>
      </c>
      <c r="R235" s="47">
        <f t="shared" si="155"/>
        <v>0</v>
      </c>
      <c r="S235" s="47">
        <f t="shared" si="156"/>
        <v>0</v>
      </c>
      <c r="T235" s="47">
        <f t="shared" si="157"/>
        <v>0</v>
      </c>
      <c r="U235" s="47">
        <f t="shared" si="158"/>
        <v>0</v>
      </c>
      <c r="V235" s="47">
        <f t="shared" si="159"/>
        <v>0</v>
      </c>
      <c r="W235" s="47">
        <f t="shared" si="160"/>
        <v>0</v>
      </c>
      <c r="X235" s="47">
        <f t="shared" si="161"/>
        <v>0</v>
      </c>
    </row>
    <row r="236" spans="1:36" x14ac:dyDescent="0.25">
      <c r="A236" s="14" t="str">
        <f>LCI!A96</f>
        <v>JP-8 (kg/yr)</v>
      </c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N236" s="45">
        <f>IF(EXACT(A236,LCI!A96),LCI!G96,-1*10^6)</f>
        <v>0.60735814391351217</v>
      </c>
      <c r="O236" s="47">
        <f t="shared" si="152"/>
        <v>0</v>
      </c>
      <c r="P236" s="47">
        <f t="shared" si="153"/>
        <v>0</v>
      </c>
      <c r="Q236" s="47">
        <f t="shared" si="154"/>
        <v>0</v>
      </c>
      <c r="R236" s="47">
        <f t="shared" si="155"/>
        <v>0</v>
      </c>
      <c r="S236" s="47">
        <f t="shared" si="156"/>
        <v>0</v>
      </c>
      <c r="T236" s="47">
        <f t="shared" si="157"/>
        <v>0</v>
      </c>
      <c r="U236" s="47">
        <f t="shared" si="158"/>
        <v>0</v>
      </c>
      <c r="V236" s="47">
        <f t="shared" si="159"/>
        <v>0</v>
      </c>
      <c r="W236" s="47">
        <f t="shared" si="160"/>
        <v>0</v>
      </c>
      <c r="X236" s="47">
        <f t="shared" si="161"/>
        <v>0</v>
      </c>
    </row>
    <row r="237" spans="1:36" x14ac:dyDescent="0.25">
      <c r="A237" s="14" t="str">
        <f>LCI!A97</f>
        <v>LPG, Produced (kg/yr)</v>
      </c>
      <c r="B237" s="43">
        <f>B133</f>
        <v>0</v>
      </c>
      <c r="C237" s="43">
        <f t="shared" ref="C237:L237" si="164">C133</f>
        <v>4022.8439472000009</v>
      </c>
      <c r="D237" s="43">
        <f t="shared" si="164"/>
        <v>0</v>
      </c>
      <c r="E237" s="43">
        <f t="shared" si="164"/>
        <v>0</v>
      </c>
      <c r="F237" s="43"/>
      <c r="G237" s="43">
        <f t="shared" si="164"/>
        <v>0</v>
      </c>
      <c r="H237" s="43">
        <f t="shared" si="164"/>
        <v>0</v>
      </c>
      <c r="I237" s="43">
        <f t="shared" si="164"/>
        <v>59701.59</v>
      </c>
      <c r="J237" s="43">
        <f t="shared" si="164"/>
        <v>0</v>
      </c>
      <c r="K237" s="43">
        <f t="shared" si="164"/>
        <v>0</v>
      </c>
      <c r="L237" s="43">
        <f t="shared" si="164"/>
        <v>0</v>
      </c>
      <c r="N237" s="45">
        <f>IF(EXACT(A237,LCI!A97),LCI!G97,-1*10^6)</f>
        <v>0.64400000000000002</v>
      </c>
      <c r="O237" s="47">
        <f t="shared" si="152"/>
        <v>0</v>
      </c>
      <c r="P237" s="47">
        <f t="shared" si="153"/>
        <v>2590.7115019968005</v>
      </c>
      <c r="Q237" s="47">
        <f t="shared" si="154"/>
        <v>0</v>
      </c>
      <c r="R237" s="47">
        <f t="shared" si="155"/>
        <v>0</v>
      </c>
      <c r="S237" s="47">
        <f t="shared" si="156"/>
        <v>0</v>
      </c>
      <c r="T237" s="47">
        <f t="shared" si="157"/>
        <v>0</v>
      </c>
      <c r="U237" s="47">
        <f t="shared" si="158"/>
        <v>38447.823960000002</v>
      </c>
      <c r="V237" s="47">
        <f t="shared" si="159"/>
        <v>0</v>
      </c>
      <c r="W237" s="47">
        <f t="shared" si="160"/>
        <v>0</v>
      </c>
      <c r="X237" s="47">
        <f t="shared" si="161"/>
        <v>0</v>
      </c>
    </row>
    <row r="238" spans="1:36" x14ac:dyDescent="0.25">
      <c r="A238" s="14" t="str">
        <f>LCI!A98</f>
        <v>Naptha (kg/yr)</v>
      </c>
      <c r="B238" s="43">
        <f>B134</f>
        <v>0</v>
      </c>
      <c r="C238" s="43">
        <f t="shared" ref="C238:L238" si="165">C134</f>
        <v>0</v>
      </c>
      <c r="D238" s="43">
        <f t="shared" si="165"/>
        <v>0</v>
      </c>
      <c r="E238" s="43">
        <f t="shared" si="165"/>
        <v>0</v>
      </c>
      <c r="F238" s="43"/>
      <c r="G238" s="43">
        <f t="shared" si="165"/>
        <v>0</v>
      </c>
      <c r="H238" s="43">
        <f t="shared" si="165"/>
        <v>0</v>
      </c>
      <c r="I238" s="43">
        <f t="shared" si="165"/>
        <v>0</v>
      </c>
      <c r="J238" s="43">
        <f t="shared" si="165"/>
        <v>0</v>
      </c>
      <c r="K238" s="43">
        <f t="shared" si="165"/>
        <v>0</v>
      </c>
      <c r="L238" s="43">
        <f t="shared" si="165"/>
        <v>0</v>
      </c>
      <c r="N238" s="45">
        <f>IF(EXACT(A238,LCI!A98),LCI!G98,-1*10^6)</f>
        <v>0.55000000000000004</v>
      </c>
      <c r="O238" s="47">
        <f t="shared" si="152"/>
        <v>0</v>
      </c>
      <c r="P238" s="47">
        <f t="shared" si="153"/>
        <v>0</v>
      </c>
      <c r="Q238" s="47">
        <f t="shared" si="154"/>
        <v>0</v>
      </c>
      <c r="R238" s="47">
        <f t="shared" si="155"/>
        <v>0</v>
      </c>
      <c r="S238" s="47">
        <f t="shared" si="156"/>
        <v>0</v>
      </c>
      <c r="T238" s="47">
        <f t="shared" si="157"/>
        <v>0</v>
      </c>
      <c r="U238" s="47">
        <f t="shared" si="158"/>
        <v>0</v>
      </c>
      <c r="V238" s="47">
        <f t="shared" si="159"/>
        <v>0</v>
      </c>
      <c r="W238" s="47">
        <f t="shared" si="160"/>
        <v>0</v>
      </c>
      <c r="X238" s="47">
        <f t="shared" si="161"/>
        <v>0</v>
      </c>
    </row>
    <row r="239" spans="1:36" x14ac:dyDescent="0.25">
      <c r="A239" s="14" t="str">
        <f>LCI!A99</f>
        <v>Propane, Produced (kg/yr)</v>
      </c>
      <c r="B239" s="43">
        <f>B135</f>
        <v>0</v>
      </c>
      <c r="C239" s="43">
        <f t="shared" ref="C239:L239" si="166">C135</f>
        <v>2815.9907630400007</v>
      </c>
      <c r="D239" s="43">
        <f t="shared" si="166"/>
        <v>0</v>
      </c>
      <c r="E239" s="43">
        <f t="shared" si="166"/>
        <v>0</v>
      </c>
      <c r="F239" s="43"/>
      <c r="G239" s="43">
        <f t="shared" si="166"/>
        <v>0</v>
      </c>
      <c r="H239" s="43">
        <f t="shared" si="166"/>
        <v>0</v>
      </c>
      <c r="I239" s="43">
        <f t="shared" si="166"/>
        <v>41791.113000000005</v>
      </c>
      <c r="J239" s="43">
        <f t="shared" si="166"/>
        <v>0</v>
      </c>
      <c r="K239" s="43">
        <f t="shared" si="166"/>
        <v>0</v>
      </c>
      <c r="L239" s="43">
        <f t="shared" si="166"/>
        <v>0</v>
      </c>
      <c r="N239" s="45">
        <f>IF(EXACT(A239,LCI!A99),LCI!G99,-1*10^6)</f>
        <v>0.19768720400000001</v>
      </c>
      <c r="O239" s="47">
        <f t="shared" si="152"/>
        <v>0</v>
      </c>
      <c r="P239" s="47">
        <f t="shared" si="153"/>
        <v>556.68534043520435</v>
      </c>
      <c r="Q239" s="47">
        <f t="shared" si="154"/>
        <v>0</v>
      </c>
      <c r="R239" s="47">
        <f t="shared" si="155"/>
        <v>0</v>
      </c>
      <c r="S239" s="47">
        <f t="shared" si="156"/>
        <v>0</v>
      </c>
      <c r="T239" s="47">
        <f t="shared" si="157"/>
        <v>0</v>
      </c>
      <c r="U239" s="47">
        <f t="shared" si="158"/>
        <v>8261.5682810180533</v>
      </c>
      <c r="V239" s="47">
        <f t="shared" si="159"/>
        <v>0</v>
      </c>
      <c r="W239" s="47">
        <f t="shared" si="160"/>
        <v>0</v>
      </c>
      <c r="X239" s="47">
        <f t="shared" si="161"/>
        <v>0</v>
      </c>
    </row>
    <row r="242" spans="14:36" x14ac:dyDescent="0.25">
      <c r="N242" s="48" t="str">
        <f>A148</f>
        <v>Land Cost ($)</v>
      </c>
      <c r="O242" s="49">
        <f t="shared" ref="O242:X242" si="167">O148</f>
        <v>1654900</v>
      </c>
      <c r="P242" s="49">
        <f t="shared" si="167"/>
        <v>1654900</v>
      </c>
      <c r="Q242" s="49">
        <f t="shared" si="167"/>
        <v>1654900</v>
      </c>
      <c r="R242" s="49">
        <f t="shared" si="167"/>
        <v>1654900</v>
      </c>
      <c r="S242" s="49">
        <f t="shared" si="167"/>
        <v>0</v>
      </c>
      <c r="T242" s="49">
        <f t="shared" si="167"/>
        <v>0</v>
      </c>
      <c r="U242" s="49">
        <f t="shared" si="167"/>
        <v>508079</v>
      </c>
      <c r="V242" s="49">
        <f t="shared" si="167"/>
        <v>0</v>
      </c>
      <c r="W242" s="49">
        <f t="shared" si="167"/>
        <v>0</v>
      </c>
      <c r="X242" s="49">
        <f t="shared" si="167"/>
        <v>0</v>
      </c>
      <c r="Z242" s="73" t="s">
        <v>380</v>
      </c>
      <c r="AA242" s="72">
        <f t="shared" ref="AA242:AJ242" si="168">SUM(AA148:AA195,AA200:AA204)</f>
        <v>-6052379224349.1992</v>
      </c>
      <c r="AB242" s="72">
        <f t="shared" si="168"/>
        <v>-3221426266.6454334</v>
      </c>
      <c r="AC242" s="72" t="e">
        <f t="shared" si="168"/>
        <v>#VALUE!</v>
      </c>
      <c r="AD242" s="72">
        <f t="shared" si="168"/>
        <v>-1259374109.321584</v>
      </c>
      <c r="AE242" s="72">
        <f t="shared" si="168"/>
        <v>0</v>
      </c>
      <c r="AF242" s="72">
        <f t="shared" si="168"/>
        <v>0</v>
      </c>
      <c r="AG242" s="72" t="e">
        <f t="shared" si="168"/>
        <v>#REF!</v>
      </c>
      <c r="AH242" s="72">
        <f t="shared" si="168"/>
        <v>0</v>
      </c>
      <c r="AI242" s="72">
        <f t="shared" si="168"/>
        <v>0</v>
      </c>
      <c r="AJ242" s="72">
        <f t="shared" si="168"/>
        <v>0</v>
      </c>
    </row>
    <row r="243" spans="14:36" x14ac:dyDescent="0.25">
      <c r="N243" s="48" t="str">
        <f>A149</f>
        <v>Capital Cost ($)</v>
      </c>
      <c r="O243" s="49">
        <f t="shared" ref="O243:X243" si="169">O149</f>
        <v>892360.31424937642</v>
      </c>
      <c r="P243" s="49">
        <f t="shared" si="169"/>
        <v>867930.2880618216</v>
      </c>
      <c r="Q243" s="49">
        <f t="shared" si="169"/>
        <v>3526700.6</v>
      </c>
      <c r="R243" s="49">
        <f t="shared" si="169"/>
        <v>597740</v>
      </c>
      <c r="S243" s="49">
        <f t="shared" si="169"/>
        <v>0</v>
      </c>
      <c r="T243" s="49">
        <f t="shared" si="169"/>
        <v>0</v>
      </c>
      <c r="U243" s="49">
        <f t="shared" si="169"/>
        <v>43796587.548854999</v>
      </c>
      <c r="V243" s="49">
        <f t="shared" si="169"/>
        <v>0</v>
      </c>
      <c r="W243" s="49">
        <f t="shared" si="169"/>
        <v>0</v>
      </c>
      <c r="X243" s="49">
        <f t="shared" si="169"/>
        <v>0</v>
      </c>
      <c r="Z243" s="73" t="s">
        <v>381</v>
      </c>
      <c r="AA243" s="72" t="e">
        <f>SUM(AA205:AA217,AA220,AA224,#REF!)</f>
        <v>#REF!</v>
      </c>
      <c r="AB243" s="72" t="e">
        <f>SUM(AB205:AB217,AB220,AB224,#REF!)</f>
        <v>#REF!</v>
      </c>
      <c r="AC243" s="72" t="e">
        <f>SUM(AC205:AC217,AC220,AC224,#REF!)</f>
        <v>#REF!</v>
      </c>
      <c r="AD243" s="72" t="e">
        <f>SUM(AD205:AD217,AD220,AD224,#REF!)</f>
        <v>#REF!</v>
      </c>
      <c r="AE243" s="72" t="e">
        <f>SUM(AE205:AE217,AE220,AE224,#REF!)</f>
        <v>#REF!</v>
      </c>
      <c r="AF243" s="72" t="e">
        <f>SUM(AF205:AF217,AF220,AF224,#REF!)</f>
        <v>#REF!</v>
      </c>
      <c r="AG243" s="72" t="e">
        <f>SUM(AG205:AG217,AG220,AG224,#REF!)</f>
        <v>#REF!</v>
      </c>
      <c r="AH243" s="72" t="e">
        <f>SUM(AH205:AH217,AH220,AH224,#REF!)</f>
        <v>#REF!</v>
      </c>
      <c r="AI243" s="72" t="e">
        <f>SUM(AI205:AI217,AI220,AI224,#REF!)</f>
        <v>#REF!</v>
      </c>
      <c r="AJ243" s="72" t="e">
        <f>SUM(AJ205:AJ217,AJ220,AJ224,#REF!)</f>
        <v>#REF!</v>
      </c>
    </row>
    <row r="244" spans="14:36" x14ac:dyDescent="0.25">
      <c r="N244" s="48" t="str">
        <f>A150</f>
        <v>Labor ($/yr)</v>
      </c>
      <c r="O244" s="49">
        <f t="shared" ref="O244:X244" si="170">O150</f>
        <v>7760.0671445288344</v>
      </c>
      <c r="P244" s="49">
        <f t="shared" si="170"/>
        <v>7760.0671445288344</v>
      </c>
      <c r="Q244" s="49">
        <f t="shared" si="170"/>
        <v>36296.839999999997</v>
      </c>
      <c r="R244" s="49">
        <f t="shared" si="170"/>
        <v>8148.5300000000007</v>
      </c>
      <c r="S244" s="49">
        <f t="shared" si="170"/>
        <v>0</v>
      </c>
      <c r="T244" s="49">
        <f t="shared" si="170"/>
        <v>0</v>
      </c>
      <c r="U244" s="49">
        <f t="shared" si="170"/>
        <v>1374828.5328768231</v>
      </c>
      <c r="V244" s="49">
        <f t="shared" si="170"/>
        <v>0</v>
      </c>
      <c r="W244" s="49">
        <f t="shared" si="170"/>
        <v>0</v>
      </c>
      <c r="X244" s="49">
        <f t="shared" si="170"/>
        <v>0</v>
      </c>
    </row>
    <row r="245" spans="14:36" x14ac:dyDescent="0.25">
      <c r="N245" s="48" t="s">
        <v>382</v>
      </c>
      <c r="O245" s="49">
        <f>SUM(O153:O197)</f>
        <v>21777.423459186804</v>
      </c>
      <c r="P245" s="49">
        <f t="shared" ref="P245:X245" si="171">SUM(P153:P197)</f>
        <v>30441.528697789232</v>
      </c>
      <c r="Q245" s="49" t="e">
        <f t="shared" si="171"/>
        <v>#VALUE!</v>
      </c>
      <c r="R245" s="49" t="e">
        <f t="shared" si="171"/>
        <v>#VALUE!</v>
      </c>
      <c r="S245" s="49">
        <f t="shared" si="171"/>
        <v>0</v>
      </c>
      <c r="T245" s="49">
        <f t="shared" si="171"/>
        <v>0</v>
      </c>
      <c r="U245" s="49">
        <f t="shared" si="171"/>
        <v>2531580.1635603141</v>
      </c>
      <c r="V245" s="49">
        <f t="shared" si="171"/>
        <v>0</v>
      </c>
      <c r="W245" s="49">
        <f t="shared" si="171"/>
        <v>0</v>
      </c>
      <c r="X245" s="49">
        <f t="shared" si="171"/>
        <v>0</v>
      </c>
    </row>
    <row r="246" spans="14:36" x14ac:dyDescent="0.25">
      <c r="N246" s="48" t="s">
        <v>383</v>
      </c>
      <c r="O246" s="49">
        <f t="shared" ref="O246:X246" si="172">SUM(O201:O204)</f>
        <v>0</v>
      </c>
      <c r="P246" s="49">
        <f t="shared" si="172"/>
        <v>0</v>
      </c>
      <c r="Q246" s="49">
        <f t="shared" si="172"/>
        <v>0</v>
      </c>
      <c r="R246" s="49">
        <f t="shared" si="172"/>
        <v>0</v>
      </c>
      <c r="S246" s="49">
        <f t="shared" si="172"/>
        <v>0</v>
      </c>
      <c r="T246" s="49">
        <f t="shared" si="172"/>
        <v>0</v>
      </c>
      <c r="U246" s="49">
        <f t="shared" si="172"/>
        <v>0</v>
      </c>
      <c r="V246" s="49">
        <f t="shared" si="172"/>
        <v>0</v>
      </c>
      <c r="W246" s="49">
        <f t="shared" si="172"/>
        <v>0</v>
      </c>
      <c r="X246" s="49">
        <f t="shared" si="172"/>
        <v>0</v>
      </c>
    </row>
    <row r="247" spans="14:36" x14ac:dyDescent="0.25">
      <c r="N247" s="48" t="s">
        <v>384</v>
      </c>
      <c r="O247" s="49">
        <f>SUM(O200:O239)</f>
        <v>113475.06433980539</v>
      </c>
      <c r="P247" s="49">
        <f>SUM(P200:P239)</f>
        <v>117324.43249341982</v>
      </c>
      <c r="Q247" s="49">
        <f t="shared" ref="Q247:X247" si="173">SUM(Q200:Q239)</f>
        <v>0</v>
      </c>
      <c r="R247" s="49">
        <f t="shared" si="173"/>
        <v>0</v>
      </c>
      <c r="S247" s="49">
        <f t="shared" si="173"/>
        <v>0</v>
      </c>
      <c r="T247" s="49">
        <f t="shared" si="173"/>
        <v>0</v>
      </c>
      <c r="U247" s="49">
        <f t="shared" si="173"/>
        <v>1891497.374968762</v>
      </c>
      <c r="V247" s="49">
        <f t="shared" si="173"/>
        <v>0</v>
      </c>
      <c r="W247" s="49">
        <f t="shared" si="173"/>
        <v>0</v>
      </c>
      <c r="X247" s="49">
        <f t="shared" si="173"/>
        <v>0</v>
      </c>
    </row>
  </sheetData>
  <sortState xmlns:xlrd2="http://schemas.microsoft.com/office/spreadsheetml/2017/richdata2" ref="A110:AJ121">
    <sortCondition ref="A110:A12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EEE1-82D1-9C4E-B93D-91928C993A63}">
  <sheetPr codeName="Sheet1"/>
  <dimension ref="A1:Q38"/>
  <sheetViews>
    <sheetView zoomScale="140" zoomScaleNormal="140" workbookViewId="0">
      <selection activeCell="B19" sqref="B19"/>
    </sheetView>
  </sheetViews>
  <sheetFormatPr defaultColWidth="8.875" defaultRowHeight="15" x14ac:dyDescent="0.25"/>
  <cols>
    <col min="1" max="1" width="27.5" style="89" customWidth="1"/>
    <col min="2" max="2" width="17.375" style="88" customWidth="1"/>
    <col min="3" max="3" width="21.125" style="88" customWidth="1"/>
    <col min="4" max="4" width="62.5" style="88" customWidth="1"/>
    <col min="5" max="13" width="8.875" style="88"/>
    <col min="14" max="14" width="27.5" style="88" customWidth="1"/>
    <col min="15" max="15" width="17.375" style="88" customWidth="1"/>
    <col min="16" max="16" width="21.125" style="88" customWidth="1"/>
    <col min="17" max="17" width="62.5" style="88" customWidth="1"/>
    <col min="18" max="16384" width="8.875" style="88"/>
  </cols>
  <sheetData>
    <row r="1" spans="1:17" ht="18" customHeight="1" x14ac:dyDescent="0.25">
      <c r="A1" s="104" t="s">
        <v>385</v>
      </c>
      <c r="B1" s="105" t="s">
        <v>386</v>
      </c>
      <c r="C1" s="106" t="s">
        <v>387</v>
      </c>
      <c r="D1" s="107" t="s">
        <v>388</v>
      </c>
      <c r="E1" s="107" t="s">
        <v>389</v>
      </c>
      <c r="F1" s="85" t="s">
        <v>35</v>
      </c>
      <c r="G1" s="85" t="s">
        <v>36</v>
      </c>
      <c r="H1" s="85" t="s">
        <v>37</v>
      </c>
      <c r="I1" s="85" t="s">
        <v>38</v>
      </c>
      <c r="J1" s="85" t="s">
        <v>39</v>
      </c>
      <c r="L1" s="88" t="s">
        <v>390</v>
      </c>
      <c r="N1" s="123" t="s">
        <v>391</v>
      </c>
      <c r="O1" s="123"/>
      <c r="P1" s="123"/>
      <c r="Q1" s="123"/>
    </row>
    <row r="2" spans="1:17" x14ac:dyDescent="0.25">
      <c r="A2" s="227" t="s">
        <v>392</v>
      </c>
      <c r="B2" s="120">
        <v>100</v>
      </c>
      <c r="C2" s="228" t="s">
        <v>393</v>
      </c>
      <c r="D2" s="107"/>
      <c r="E2" s="229"/>
      <c r="N2" s="269" t="s">
        <v>394</v>
      </c>
      <c r="O2" s="269"/>
      <c r="P2" s="269"/>
      <c r="Q2" s="269"/>
    </row>
    <row r="3" spans="1:17" x14ac:dyDescent="0.25">
      <c r="A3" s="272" t="s">
        <v>146</v>
      </c>
      <c r="B3" s="109">
        <v>16549</v>
      </c>
      <c r="C3" s="229" t="s">
        <v>396</v>
      </c>
      <c r="D3" s="132" t="s">
        <v>397</v>
      </c>
      <c r="E3" s="229" t="s">
        <v>398</v>
      </c>
      <c r="N3" s="104" t="s">
        <v>399</v>
      </c>
      <c r="O3" s="104" t="s">
        <v>400</v>
      </c>
      <c r="P3" s="106" t="s">
        <v>387</v>
      </c>
      <c r="Q3" s="107" t="s">
        <v>388</v>
      </c>
    </row>
    <row r="4" spans="1:17" x14ac:dyDescent="0.25">
      <c r="A4" s="230" t="s">
        <v>150</v>
      </c>
      <c r="B4" s="109">
        <v>6817</v>
      </c>
      <c r="C4" s="229" t="s">
        <v>396</v>
      </c>
      <c r="D4" s="110" t="s">
        <v>401</v>
      </c>
      <c r="E4" s="229" t="s">
        <v>398</v>
      </c>
      <c r="N4" s="199" t="s">
        <v>402</v>
      </c>
      <c r="O4" s="225">
        <f>O24*B7*(44/12)/100</f>
        <v>508889.75932080013</v>
      </c>
      <c r="P4" s="200" t="s">
        <v>403</v>
      </c>
      <c r="Q4" s="110"/>
    </row>
    <row r="5" spans="1:17" x14ac:dyDescent="0.25">
      <c r="A5" s="230" t="s">
        <v>152</v>
      </c>
      <c r="B5" s="109">
        <f>25*2.47</f>
        <v>61.750000000000007</v>
      </c>
      <c r="C5" s="229" t="s">
        <v>404</v>
      </c>
      <c r="D5" s="110" t="s">
        <v>401</v>
      </c>
      <c r="E5" s="229" t="s">
        <v>398</v>
      </c>
      <c r="N5" s="116" t="s">
        <v>235</v>
      </c>
      <c r="O5" s="110">
        <f>0.00194595*B6*B2</f>
        <v>23351.399999999998</v>
      </c>
      <c r="P5" s="110" t="s">
        <v>403</v>
      </c>
      <c r="Q5" s="110"/>
    </row>
    <row r="6" spans="1:17" x14ac:dyDescent="0.25">
      <c r="A6" s="108" t="s">
        <v>235</v>
      </c>
      <c r="B6" s="109">
        <v>120000</v>
      </c>
      <c r="C6" s="229" t="s">
        <v>405</v>
      </c>
      <c r="D6" s="110" t="s">
        <v>406</v>
      </c>
      <c r="E6" s="229" t="s">
        <v>398</v>
      </c>
      <c r="N6" s="116" t="s">
        <v>218</v>
      </c>
      <c r="O6" s="121">
        <f>B8*$O$24</f>
        <v>603.4265920800002</v>
      </c>
      <c r="P6" s="110" t="s">
        <v>403</v>
      </c>
      <c r="Q6" s="110"/>
    </row>
    <row r="7" spans="1:17" x14ac:dyDescent="0.25">
      <c r="A7" s="108" t="s">
        <v>407</v>
      </c>
      <c r="B7" s="109">
        <v>46</v>
      </c>
      <c r="C7" s="229" t="s">
        <v>408</v>
      </c>
      <c r="D7" s="110"/>
      <c r="E7" s="229" t="s">
        <v>398</v>
      </c>
      <c r="N7" s="116" t="s">
        <v>224</v>
      </c>
      <c r="O7" s="121">
        <f t="shared" ref="O7:O8" si="0">B9*$O$24</f>
        <v>1074.2693132241131</v>
      </c>
      <c r="P7" s="110" t="s">
        <v>403</v>
      </c>
      <c r="Q7" s="110"/>
    </row>
    <row r="8" spans="1:17" x14ac:dyDescent="0.25">
      <c r="A8" s="108" t="s">
        <v>218</v>
      </c>
      <c r="B8" s="109">
        <v>2E-3</v>
      </c>
      <c r="C8" s="229" t="s">
        <v>409</v>
      </c>
      <c r="D8" s="110" t="s">
        <v>410</v>
      </c>
      <c r="E8" s="229" t="s">
        <v>398</v>
      </c>
      <c r="N8" s="116" t="s">
        <v>230</v>
      </c>
      <c r="O8" s="121">
        <f t="shared" si="0"/>
        <v>3379.8308588310647</v>
      </c>
      <c r="P8" s="110" t="s">
        <v>403</v>
      </c>
      <c r="Q8" s="110"/>
    </row>
    <row r="9" spans="1:17" x14ac:dyDescent="0.25">
      <c r="A9" s="108" t="s">
        <v>224</v>
      </c>
      <c r="B9" s="109">
        <f>0.0079*(64/142)</f>
        <v>3.5605633802816908E-3</v>
      </c>
      <c r="C9" s="229" t="s">
        <v>409</v>
      </c>
      <c r="D9" s="110" t="s">
        <v>410</v>
      </c>
      <c r="E9" s="229" t="s">
        <v>398</v>
      </c>
      <c r="N9" s="116" t="s">
        <v>411</v>
      </c>
      <c r="O9" s="121">
        <f>B11*B$2</f>
        <v>0</v>
      </c>
      <c r="P9" s="110" t="s">
        <v>403</v>
      </c>
      <c r="Q9" s="110"/>
    </row>
    <row r="10" spans="1:17" x14ac:dyDescent="0.25">
      <c r="A10" s="108" t="s">
        <v>230</v>
      </c>
      <c r="B10" s="109">
        <f>0.0135*(78/94)</f>
        <v>1.1202127659574467E-2</v>
      </c>
      <c r="C10" s="229" t="s">
        <v>409</v>
      </c>
      <c r="D10" s="110" t="s">
        <v>412</v>
      </c>
      <c r="E10" s="229" t="s">
        <v>398</v>
      </c>
      <c r="N10" s="116" t="s">
        <v>196</v>
      </c>
      <c r="O10" s="121">
        <f>B12*O24</f>
        <v>241.37063683200009</v>
      </c>
      <c r="P10" s="110" t="s">
        <v>403</v>
      </c>
      <c r="Q10" s="110"/>
    </row>
    <row r="11" spans="1:17" x14ac:dyDescent="0.25">
      <c r="A11" s="272" t="s">
        <v>209</v>
      </c>
      <c r="B11" s="128">
        <v>0</v>
      </c>
      <c r="C11" s="229" t="s">
        <v>413</v>
      </c>
      <c r="D11" s="129" t="s">
        <v>414</v>
      </c>
      <c r="E11" s="110" t="s">
        <v>398</v>
      </c>
      <c r="N11" s="116" t="s">
        <v>207</v>
      </c>
      <c r="O11" s="121">
        <f>B13*O24</f>
        <v>6.0342659208000029</v>
      </c>
      <c r="P11" s="110" t="s">
        <v>403</v>
      </c>
      <c r="Q11" s="110"/>
    </row>
    <row r="12" spans="1:17" x14ac:dyDescent="0.25">
      <c r="A12" s="272" t="s">
        <v>201</v>
      </c>
      <c r="B12" s="128">
        <v>8.0000000000000004E-4</v>
      </c>
      <c r="C12" s="229" t="s">
        <v>409</v>
      </c>
      <c r="D12" s="129" t="s">
        <v>415</v>
      </c>
      <c r="E12" s="229" t="s">
        <v>398</v>
      </c>
      <c r="N12" s="116" t="s">
        <v>416</v>
      </c>
      <c r="O12" s="110">
        <f>B16*B2</f>
        <v>575000</v>
      </c>
      <c r="P12" s="110" t="s">
        <v>417</v>
      </c>
      <c r="Q12" s="110"/>
    </row>
    <row r="13" spans="1:17" x14ac:dyDescent="0.25">
      <c r="A13" s="108" t="s">
        <v>207</v>
      </c>
      <c r="B13" s="130">
        <v>2.0000000000000002E-5</v>
      </c>
      <c r="C13" s="229" t="s">
        <v>409</v>
      </c>
      <c r="D13" s="131" t="s">
        <v>390</v>
      </c>
      <c r="E13" s="229" t="s">
        <v>398</v>
      </c>
      <c r="N13" s="116" t="s">
        <v>260</v>
      </c>
      <c r="O13" s="121">
        <f>B17*O$24</f>
        <v>4676.5560886200019</v>
      </c>
      <c r="P13" s="110" t="s">
        <v>403</v>
      </c>
      <c r="Q13" s="110"/>
    </row>
    <row r="14" spans="1:17" x14ac:dyDescent="0.25">
      <c r="A14" s="108" t="s">
        <v>325</v>
      </c>
      <c r="B14" s="128">
        <f>((51.6*52.2)/2000)*0.907*2.47*1000</f>
        <v>3017.1329604000011</v>
      </c>
      <c r="C14" s="229" t="s">
        <v>413</v>
      </c>
      <c r="D14" s="129" t="s">
        <v>418</v>
      </c>
      <c r="E14" s="110" t="s">
        <v>419</v>
      </c>
      <c r="N14" s="116" t="s">
        <v>268</v>
      </c>
      <c r="O14" s="121">
        <f>B18*O$24</f>
        <v>1055.9965361400004</v>
      </c>
      <c r="P14" s="110" t="s">
        <v>403</v>
      </c>
      <c r="Q14" s="110"/>
    </row>
    <row r="15" spans="1:17" x14ac:dyDescent="0.25">
      <c r="A15" s="108" t="s">
        <v>420</v>
      </c>
      <c r="B15" s="109">
        <v>1.325E-2</v>
      </c>
      <c r="C15" s="110" t="s">
        <v>421</v>
      </c>
      <c r="D15" s="110" t="s">
        <v>422</v>
      </c>
      <c r="E15" s="229"/>
      <c r="N15" s="116" t="s">
        <v>273</v>
      </c>
      <c r="O15" s="121">
        <f>B19*O$24</f>
        <v>205.76846789928007</v>
      </c>
      <c r="P15" s="110" t="s">
        <v>403</v>
      </c>
      <c r="Q15" s="110"/>
    </row>
    <row r="16" spans="1:17" x14ac:dyDescent="0.25">
      <c r="A16" s="230" t="s">
        <v>423</v>
      </c>
      <c r="B16" s="122">
        <v>5750</v>
      </c>
      <c r="C16" s="231" t="s">
        <v>424</v>
      </c>
      <c r="D16" s="110"/>
      <c r="E16" s="229" t="s">
        <v>398</v>
      </c>
      <c r="N16" s="116" t="s">
        <v>280</v>
      </c>
      <c r="O16" s="121">
        <f>B20*O$24</f>
        <v>264.90427392312006</v>
      </c>
      <c r="P16" s="110" t="s">
        <v>403</v>
      </c>
      <c r="Q16" s="110"/>
    </row>
    <row r="17" spans="1:17" x14ac:dyDescent="0.25">
      <c r="A17" s="108" t="s">
        <v>260</v>
      </c>
      <c r="B17" s="109">
        <v>1.55E-2</v>
      </c>
      <c r="C17" s="232" t="s">
        <v>409</v>
      </c>
      <c r="D17" s="110" t="s">
        <v>425</v>
      </c>
      <c r="E17" s="229" t="s">
        <v>398</v>
      </c>
      <c r="N17" s="116" t="s">
        <v>426</v>
      </c>
      <c r="O17" s="121">
        <f>B21*O$24</f>
        <v>10740.993339024004</v>
      </c>
      <c r="P17" s="110" t="s">
        <v>427</v>
      </c>
      <c r="Q17" s="110"/>
    </row>
    <row r="18" spans="1:17" x14ac:dyDescent="0.25">
      <c r="A18" s="108" t="s">
        <v>268</v>
      </c>
      <c r="B18" s="109">
        <v>3.5000000000000001E-3</v>
      </c>
      <c r="C18" s="232" t="s">
        <v>409</v>
      </c>
      <c r="D18" s="110" t="s">
        <v>425</v>
      </c>
      <c r="E18" s="229" t="s">
        <v>398</v>
      </c>
      <c r="N18" s="116" t="s">
        <v>150</v>
      </c>
      <c r="O18" s="121">
        <f>B4*B$2</f>
        <v>681700</v>
      </c>
      <c r="P18" s="110" t="s">
        <v>428</v>
      </c>
      <c r="Q18" s="110"/>
    </row>
    <row r="19" spans="1:17" x14ac:dyDescent="0.25">
      <c r="A19" s="108" t="s">
        <v>273</v>
      </c>
      <c r="B19" s="109">
        <f>0.0341/LCI!E53</f>
        <v>6.8199999999999999E-4</v>
      </c>
      <c r="C19" s="232" t="s">
        <v>409</v>
      </c>
      <c r="D19" s="110" t="s">
        <v>390</v>
      </c>
      <c r="E19" s="229" t="s">
        <v>398</v>
      </c>
      <c r="N19" s="116" t="s">
        <v>395</v>
      </c>
      <c r="O19" s="121">
        <f>B3*B$2</f>
        <v>1654900</v>
      </c>
      <c r="P19" s="110" t="s">
        <v>428</v>
      </c>
      <c r="Q19" s="110"/>
    </row>
    <row r="20" spans="1:17" x14ac:dyDescent="0.25">
      <c r="A20" s="272" t="s">
        <v>280</v>
      </c>
      <c r="B20" s="109">
        <f>(0.0439)/LCI!E56</f>
        <v>8.7799999999999998E-4</v>
      </c>
      <c r="C20" s="232" t="s">
        <v>409</v>
      </c>
      <c r="D20" s="110" t="s">
        <v>390</v>
      </c>
      <c r="E20" s="229" t="s">
        <v>398</v>
      </c>
      <c r="N20" s="116" t="s">
        <v>152</v>
      </c>
      <c r="O20" s="121">
        <f>B5*B$2</f>
        <v>6175.0000000000009</v>
      </c>
      <c r="P20" s="110" t="s">
        <v>429</v>
      </c>
      <c r="Q20" s="110"/>
    </row>
    <row r="21" spans="1:17" x14ac:dyDescent="0.25">
      <c r="A21" s="272" t="s">
        <v>262</v>
      </c>
      <c r="B21" s="109">
        <v>3.56E-2</v>
      </c>
      <c r="C21" s="232" t="s">
        <v>430</v>
      </c>
      <c r="D21" s="110" t="s">
        <v>425</v>
      </c>
      <c r="E21" s="229" t="s">
        <v>398</v>
      </c>
      <c r="N21" s="89"/>
    </row>
    <row r="22" spans="1:17" x14ac:dyDescent="0.25">
      <c r="A22" s="113" t="s">
        <v>431</v>
      </c>
      <c r="B22" s="116" t="s">
        <v>432</v>
      </c>
      <c r="C22" s="110" t="s">
        <v>433</v>
      </c>
      <c r="D22" s="228">
        <v>0.38</v>
      </c>
      <c r="E22" s="229" t="s">
        <v>20</v>
      </c>
      <c r="N22" s="269" t="s">
        <v>434</v>
      </c>
      <c r="O22" s="269"/>
      <c r="P22" s="269"/>
      <c r="Q22" s="269"/>
    </row>
    <row r="23" spans="1:17" x14ac:dyDescent="0.25">
      <c r="A23" s="113" t="s">
        <v>435</v>
      </c>
      <c r="B23" s="116" t="s">
        <v>432</v>
      </c>
      <c r="C23" s="110" t="s">
        <v>433</v>
      </c>
      <c r="D23" s="228">
        <v>1.5</v>
      </c>
      <c r="E23" s="110" t="s">
        <v>20</v>
      </c>
      <c r="N23" s="104" t="s">
        <v>399</v>
      </c>
      <c r="O23" s="104" t="s">
        <v>400</v>
      </c>
      <c r="P23" s="106" t="s">
        <v>387</v>
      </c>
      <c r="Q23" s="107" t="s">
        <v>388</v>
      </c>
    </row>
    <row r="24" spans="1:17" x14ac:dyDescent="0.25">
      <c r="A24" s="113" t="s">
        <v>436</v>
      </c>
      <c r="B24" s="116" t="s">
        <v>432</v>
      </c>
      <c r="C24" s="110" t="s">
        <v>433</v>
      </c>
      <c r="D24" s="228">
        <v>0.12</v>
      </c>
      <c r="E24" s="110" t="s">
        <v>20</v>
      </c>
      <c r="N24" s="116" t="s">
        <v>325</v>
      </c>
      <c r="O24" s="110">
        <f>B14*B2</f>
        <v>301713.2960400001</v>
      </c>
      <c r="P24" s="110" t="s">
        <v>403</v>
      </c>
      <c r="Q24" s="110" t="s">
        <v>437</v>
      </c>
    </row>
    <row r="25" spans="1:17" x14ac:dyDescent="0.25">
      <c r="A25" s="113" t="s">
        <v>438</v>
      </c>
      <c r="B25" s="116" t="s">
        <v>432</v>
      </c>
      <c r="C25" s="110" t="s">
        <v>433</v>
      </c>
      <c r="D25" s="228">
        <v>0.37</v>
      </c>
      <c r="E25" s="110" t="s">
        <v>20</v>
      </c>
      <c r="N25" s="116" t="s">
        <v>439</v>
      </c>
      <c r="O25" s="121">
        <f>O6*B15</f>
        <v>7.9954023450600022</v>
      </c>
      <c r="P25" s="110" t="s">
        <v>403</v>
      </c>
      <c r="Q25" s="110" t="s">
        <v>440</v>
      </c>
    </row>
    <row r="26" spans="1:17" x14ac:dyDescent="0.25">
      <c r="A26" s="113" t="s">
        <v>441</v>
      </c>
      <c r="B26" s="116" t="s">
        <v>432</v>
      </c>
      <c r="C26" s="110" t="s">
        <v>433</v>
      </c>
      <c r="D26" s="228">
        <v>0.34</v>
      </c>
      <c r="E26" s="110" t="s">
        <v>20</v>
      </c>
      <c r="N26" s="116"/>
      <c r="O26" s="121"/>
      <c r="P26" s="110"/>
      <c r="Q26" s="110"/>
    </row>
    <row r="27" spans="1:17" x14ac:dyDescent="0.25">
      <c r="A27" s="113" t="s">
        <v>442</v>
      </c>
      <c r="B27" s="116" t="s">
        <v>432</v>
      </c>
      <c r="C27" s="110" t="s">
        <v>433</v>
      </c>
      <c r="D27" s="228">
        <v>1.7000000000000001E-2</v>
      </c>
      <c r="E27" s="110" t="s">
        <v>20</v>
      </c>
    </row>
    <row r="28" spans="1:17" x14ac:dyDescent="0.25">
      <c r="A28" s="113" t="s">
        <v>443</v>
      </c>
      <c r="B28" s="116" t="s">
        <v>432</v>
      </c>
      <c r="C28" s="110" t="s">
        <v>444</v>
      </c>
      <c r="D28" s="228">
        <v>9.4786000000000002E-4</v>
      </c>
      <c r="E28" s="110" t="s">
        <v>20</v>
      </c>
    </row>
    <row r="29" spans="1:17" x14ac:dyDescent="0.25">
      <c r="A29" s="113" t="s">
        <v>445</v>
      </c>
      <c r="B29" s="116" t="s">
        <v>432</v>
      </c>
      <c r="C29" s="110" t="s">
        <v>444</v>
      </c>
      <c r="D29" s="228">
        <v>6.7400000000000002E-2</v>
      </c>
      <c r="E29" s="110" t="s">
        <v>20</v>
      </c>
    </row>
    <row r="30" spans="1:17" x14ac:dyDescent="0.25">
      <c r="B30" s="124"/>
      <c r="C30" s="233"/>
      <c r="D30" s="124"/>
    </row>
    <row r="38" ht="15" customHeight="1" x14ac:dyDescent="0.25"/>
  </sheetData>
  <phoneticPr fontId="19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4B83-5563-F94A-A29F-F324AF862CF4}">
  <sheetPr codeName="Sheet11"/>
  <dimension ref="A1:M48"/>
  <sheetViews>
    <sheetView zoomScale="180" zoomScaleNormal="180" workbookViewId="0">
      <selection activeCell="A6" sqref="A6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</cols>
  <sheetData>
    <row r="1" spans="1:13" ht="18.75" x14ac:dyDescent="0.3">
      <c r="A1" s="104" t="s">
        <v>385</v>
      </c>
      <c r="B1" s="152" t="s">
        <v>386</v>
      </c>
      <c r="C1" s="153" t="s">
        <v>387</v>
      </c>
      <c r="D1" s="153" t="s">
        <v>388</v>
      </c>
      <c r="E1" s="153" t="s">
        <v>389</v>
      </c>
      <c r="G1" s="90" t="s">
        <v>73</v>
      </c>
      <c r="H1" s="90" t="s">
        <v>446</v>
      </c>
      <c r="J1" s="201"/>
      <c r="K1" s="201"/>
      <c r="L1" s="201" t="s">
        <v>391</v>
      </c>
      <c r="M1" s="201"/>
    </row>
    <row r="2" spans="1:13" x14ac:dyDescent="0.25">
      <c r="A2" s="227" t="s">
        <v>392</v>
      </c>
      <c r="B2" s="150">
        <v>100</v>
      </c>
      <c r="C2" s="234" t="s">
        <v>393</v>
      </c>
      <c r="D2" s="234"/>
      <c r="E2" s="234"/>
      <c r="J2" s="269" t="s">
        <v>394</v>
      </c>
      <c r="K2" s="269"/>
      <c r="L2" s="269"/>
      <c r="M2" s="269"/>
    </row>
    <row r="3" spans="1:13" x14ac:dyDescent="0.25">
      <c r="A3" s="230" t="s">
        <v>395</v>
      </c>
      <c r="B3" s="150">
        <v>16549</v>
      </c>
      <c r="C3" s="234" t="s">
        <v>396</v>
      </c>
      <c r="D3" s="234" t="s">
        <v>447</v>
      </c>
      <c r="E3" s="234" t="s">
        <v>398</v>
      </c>
      <c r="J3" s="114" t="s">
        <v>399</v>
      </c>
      <c r="K3" s="104" t="s">
        <v>400</v>
      </c>
      <c r="L3" s="106" t="s">
        <v>387</v>
      </c>
      <c r="M3" s="107" t="s">
        <v>388</v>
      </c>
    </row>
    <row r="4" spans="1:13" x14ac:dyDescent="0.25">
      <c r="A4" s="230" t="s">
        <v>150</v>
      </c>
      <c r="B4" s="150">
        <v>5977.4</v>
      </c>
      <c r="C4" s="234" t="s">
        <v>396</v>
      </c>
      <c r="D4" s="234" t="s">
        <v>448</v>
      </c>
      <c r="E4" s="234" t="s">
        <v>398</v>
      </c>
      <c r="J4" s="235" t="s">
        <v>402</v>
      </c>
      <c r="K4" s="236">
        <f>(44/12)*(B7/100)*(K24+K25)</f>
        <v>2456328.71</v>
      </c>
      <c r="L4" s="234" t="s">
        <v>403</v>
      </c>
      <c r="M4" s="234"/>
    </row>
    <row r="5" spans="1:13" x14ac:dyDescent="0.25">
      <c r="A5" s="230" t="s">
        <v>152</v>
      </c>
      <c r="B5" s="151">
        <f>32.99*2.47</f>
        <v>81.485300000000009</v>
      </c>
      <c r="C5" s="234" t="s">
        <v>404</v>
      </c>
      <c r="D5" s="234" t="s">
        <v>449</v>
      </c>
      <c r="E5" s="234" t="s">
        <v>398</v>
      </c>
      <c r="J5" s="235" t="s">
        <v>174</v>
      </c>
      <c r="K5" s="237">
        <f>B6/1695.433*B2</f>
        <v>1769.4594832116632</v>
      </c>
      <c r="L5" s="234" t="s">
        <v>403</v>
      </c>
      <c r="M5" s="234"/>
    </row>
    <row r="6" spans="1:13" x14ac:dyDescent="0.25">
      <c r="A6" s="230" t="s">
        <v>174</v>
      </c>
      <c r="B6" s="150">
        <v>30000</v>
      </c>
      <c r="C6" s="234" t="s">
        <v>405</v>
      </c>
      <c r="D6" s="234" t="s">
        <v>450</v>
      </c>
      <c r="E6" s="234" t="s">
        <v>398</v>
      </c>
      <c r="J6" s="235" t="s">
        <v>218</v>
      </c>
      <c r="K6" s="234">
        <f t="shared" ref="K6:K11" si="0">B8*$B$2</f>
        <v>18460</v>
      </c>
      <c r="L6" s="234" t="s">
        <v>403</v>
      </c>
      <c r="M6" s="234"/>
    </row>
    <row r="7" spans="1:13" x14ac:dyDescent="0.25">
      <c r="A7" s="230" t="s">
        <v>407</v>
      </c>
      <c r="B7" s="150">
        <v>42.1</v>
      </c>
      <c r="C7" s="234" t="s">
        <v>408</v>
      </c>
      <c r="D7" s="234" t="s">
        <v>451</v>
      </c>
      <c r="E7" s="234"/>
      <c r="J7" s="235" t="s">
        <v>224</v>
      </c>
      <c r="K7" s="234">
        <f t="shared" si="0"/>
        <v>6300</v>
      </c>
      <c r="L7" s="234" t="s">
        <v>403</v>
      </c>
      <c r="M7" s="234"/>
    </row>
    <row r="8" spans="1:13" x14ac:dyDescent="0.25">
      <c r="A8" s="230" t="s">
        <v>218</v>
      </c>
      <c r="B8" s="150">
        <v>184.6</v>
      </c>
      <c r="C8" s="234" t="s">
        <v>413</v>
      </c>
      <c r="D8" s="234" t="s">
        <v>452</v>
      </c>
      <c r="E8" s="234" t="s">
        <v>398</v>
      </c>
      <c r="J8" s="235" t="s">
        <v>230</v>
      </c>
      <c r="K8" s="234">
        <f t="shared" si="0"/>
        <v>9550</v>
      </c>
      <c r="L8" s="234" t="s">
        <v>403</v>
      </c>
      <c r="M8" s="234"/>
    </row>
    <row r="9" spans="1:13" x14ac:dyDescent="0.25">
      <c r="A9" s="230" t="s">
        <v>224</v>
      </c>
      <c r="B9" s="150">
        <v>63</v>
      </c>
      <c r="C9" s="234" t="s">
        <v>413</v>
      </c>
      <c r="D9" s="234" t="s">
        <v>452</v>
      </c>
      <c r="E9" s="234" t="s">
        <v>398</v>
      </c>
      <c r="J9" s="235" t="s">
        <v>411</v>
      </c>
      <c r="K9" s="234">
        <f t="shared" si="0"/>
        <v>52900</v>
      </c>
      <c r="L9" s="234" t="s">
        <v>403</v>
      </c>
      <c r="M9" s="234"/>
    </row>
    <row r="10" spans="1:13" x14ac:dyDescent="0.25">
      <c r="A10" s="230" t="s">
        <v>230</v>
      </c>
      <c r="B10" s="150">
        <v>95.5</v>
      </c>
      <c r="C10" s="234" t="s">
        <v>413</v>
      </c>
      <c r="D10" s="234" t="s">
        <v>452</v>
      </c>
      <c r="E10" s="234" t="s">
        <v>398</v>
      </c>
      <c r="J10" s="235" t="s">
        <v>453</v>
      </c>
      <c r="K10" s="234">
        <f t="shared" si="0"/>
        <v>121.30000000000001</v>
      </c>
      <c r="L10" s="234" t="s">
        <v>403</v>
      </c>
      <c r="M10" s="234"/>
    </row>
    <row r="11" spans="1:13" x14ac:dyDescent="0.25">
      <c r="A11" s="230" t="s">
        <v>411</v>
      </c>
      <c r="B11" s="150">
        <v>529</v>
      </c>
      <c r="C11" s="234" t="s">
        <v>413</v>
      </c>
      <c r="D11" s="234" t="s">
        <v>452</v>
      </c>
      <c r="E11" s="234" t="s">
        <v>398</v>
      </c>
      <c r="J11" s="235" t="s">
        <v>207</v>
      </c>
      <c r="K11" s="234">
        <f t="shared" si="0"/>
        <v>0</v>
      </c>
      <c r="L11" s="234" t="s">
        <v>403</v>
      </c>
      <c r="M11" s="234"/>
    </row>
    <row r="12" spans="1:13" x14ac:dyDescent="0.25">
      <c r="A12" s="230" t="s">
        <v>201</v>
      </c>
      <c r="B12" s="150">
        <v>1.2130000000000001</v>
      </c>
      <c r="C12" s="234" t="s">
        <v>413</v>
      </c>
      <c r="D12" s="234" t="s">
        <v>454</v>
      </c>
      <c r="E12" s="234" t="s">
        <v>398</v>
      </c>
      <c r="J12" s="235" t="s">
        <v>416</v>
      </c>
      <c r="K12" s="234">
        <f t="shared" ref="K12:K17" si="1">B16*$B$2</f>
        <v>650000</v>
      </c>
      <c r="L12" s="234" t="s">
        <v>417</v>
      </c>
      <c r="M12" s="234"/>
    </row>
    <row r="13" spans="1:13" x14ac:dyDescent="0.25">
      <c r="A13" s="230" t="s">
        <v>207</v>
      </c>
      <c r="B13" s="150">
        <v>0</v>
      </c>
      <c r="C13" s="234" t="s">
        <v>413</v>
      </c>
      <c r="D13" s="234" t="s">
        <v>455</v>
      </c>
      <c r="E13" s="234" t="s">
        <v>398</v>
      </c>
      <c r="J13" s="235" t="s">
        <v>260</v>
      </c>
      <c r="K13" s="234">
        <f t="shared" si="1"/>
        <v>128108.6</v>
      </c>
      <c r="L13" s="234" t="s">
        <v>403</v>
      </c>
      <c r="M13" s="234"/>
    </row>
    <row r="14" spans="1:13" x14ac:dyDescent="0.25">
      <c r="A14" s="230" t="s">
        <v>172</v>
      </c>
      <c r="B14" s="150">
        <v>10974</v>
      </c>
      <c r="C14" s="234" t="s">
        <v>413</v>
      </c>
      <c r="D14" s="234" t="s">
        <v>456</v>
      </c>
      <c r="E14" s="234" t="s">
        <v>419</v>
      </c>
      <c r="J14" s="235" t="s">
        <v>268</v>
      </c>
      <c r="K14" s="234">
        <f t="shared" si="1"/>
        <v>0</v>
      </c>
      <c r="L14" s="234" t="s">
        <v>403</v>
      </c>
      <c r="M14" s="234"/>
    </row>
    <row r="15" spans="1:13" x14ac:dyDescent="0.25">
      <c r="A15" s="230" t="s">
        <v>177</v>
      </c>
      <c r="B15" s="150">
        <v>9876.6</v>
      </c>
      <c r="C15" s="234" t="s">
        <v>413</v>
      </c>
      <c r="D15" s="234" t="s">
        <v>457</v>
      </c>
      <c r="E15" s="234" t="s">
        <v>419</v>
      </c>
      <c r="J15" s="235" t="s">
        <v>273</v>
      </c>
      <c r="K15" s="234">
        <f t="shared" si="1"/>
        <v>0</v>
      </c>
      <c r="L15" s="234" t="s">
        <v>403</v>
      </c>
      <c r="M15" s="234"/>
    </row>
    <row r="16" spans="1:13" x14ac:dyDescent="0.25">
      <c r="A16" s="230" t="s">
        <v>423</v>
      </c>
      <c r="B16" s="150">
        <v>6500</v>
      </c>
      <c r="C16" s="234" t="s">
        <v>424</v>
      </c>
      <c r="D16" s="234" t="s">
        <v>458</v>
      </c>
      <c r="E16" s="234" t="s">
        <v>398</v>
      </c>
      <c r="J16" s="235" t="s">
        <v>280</v>
      </c>
      <c r="K16" s="234">
        <f t="shared" si="1"/>
        <v>996189.89999999991</v>
      </c>
      <c r="L16" s="234" t="s">
        <v>427</v>
      </c>
      <c r="M16" s="234"/>
    </row>
    <row r="17" spans="1:13" x14ac:dyDescent="0.25">
      <c r="A17" s="230" t="s">
        <v>260</v>
      </c>
      <c r="B17" s="150">
        <v>1281.086</v>
      </c>
      <c r="C17" s="234" t="s">
        <v>413</v>
      </c>
      <c r="D17" s="234" t="s">
        <v>458</v>
      </c>
      <c r="E17" s="234" t="s">
        <v>398</v>
      </c>
      <c r="J17" s="235" t="s">
        <v>426</v>
      </c>
      <c r="K17" s="234">
        <f t="shared" si="1"/>
        <v>145379.79999999999</v>
      </c>
      <c r="L17" s="234" t="s">
        <v>427</v>
      </c>
      <c r="M17" s="234"/>
    </row>
    <row r="18" spans="1:13" x14ac:dyDescent="0.25">
      <c r="A18" s="230" t="s">
        <v>268</v>
      </c>
      <c r="B18" s="148">
        <v>0</v>
      </c>
      <c r="C18" s="234" t="s">
        <v>413</v>
      </c>
      <c r="D18" s="234" t="s">
        <v>458</v>
      </c>
      <c r="E18" s="234" t="s">
        <v>398</v>
      </c>
      <c r="J18" s="235" t="s">
        <v>150</v>
      </c>
      <c r="K18" s="234">
        <f>B4*B2</f>
        <v>597740</v>
      </c>
      <c r="L18" s="234" t="s">
        <v>428</v>
      </c>
      <c r="M18" s="234"/>
    </row>
    <row r="19" spans="1:13" x14ac:dyDescent="0.25">
      <c r="A19" s="230" t="s">
        <v>273</v>
      </c>
      <c r="B19" s="148">
        <v>0</v>
      </c>
      <c r="C19" s="234" t="s">
        <v>413</v>
      </c>
      <c r="D19" s="234" t="s">
        <v>458</v>
      </c>
      <c r="E19" s="234" t="s">
        <v>398</v>
      </c>
      <c r="J19" s="235" t="s">
        <v>395</v>
      </c>
      <c r="K19" s="234">
        <f>B2*B3</f>
        <v>1654900</v>
      </c>
      <c r="L19" s="234" t="s">
        <v>428</v>
      </c>
      <c r="M19" s="234"/>
    </row>
    <row r="20" spans="1:13" x14ac:dyDescent="0.25">
      <c r="A20" s="230" t="s">
        <v>270</v>
      </c>
      <c r="B20" s="150">
        <v>9961.8989999999994</v>
      </c>
      <c r="C20" s="234" t="s">
        <v>459</v>
      </c>
      <c r="D20" s="234" t="s">
        <v>458</v>
      </c>
      <c r="E20" s="234" t="s">
        <v>398</v>
      </c>
      <c r="J20" s="235" t="s">
        <v>152</v>
      </c>
      <c r="K20" s="234">
        <f>B2*B5</f>
        <v>8148.5300000000007</v>
      </c>
      <c r="L20" s="234" t="s">
        <v>429</v>
      </c>
      <c r="M20" s="234"/>
    </row>
    <row r="21" spans="1:13" x14ac:dyDescent="0.25">
      <c r="A21" s="230" t="s">
        <v>426</v>
      </c>
      <c r="B21" s="150">
        <v>1453.798</v>
      </c>
      <c r="C21" s="234" t="s">
        <v>459</v>
      </c>
      <c r="D21" s="234" t="s">
        <v>458</v>
      </c>
      <c r="E21" s="234" t="s">
        <v>398</v>
      </c>
      <c r="J21" s="238"/>
      <c r="K21" s="239"/>
      <c r="L21" s="239"/>
      <c r="M21" s="239"/>
    </row>
    <row r="22" spans="1:13" x14ac:dyDescent="0.25">
      <c r="A22" s="230" t="s">
        <v>460</v>
      </c>
      <c r="B22" s="150">
        <v>50</v>
      </c>
      <c r="C22" s="234" t="s">
        <v>408</v>
      </c>
      <c r="D22" s="234"/>
      <c r="E22" s="234"/>
      <c r="J22" s="269" t="s">
        <v>434</v>
      </c>
      <c r="K22" s="269"/>
      <c r="L22" s="269"/>
      <c r="M22" s="269"/>
    </row>
    <row r="23" spans="1:13" x14ac:dyDescent="0.25">
      <c r="A23" s="238"/>
      <c r="B23" s="239"/>
      <c r="C23" s="239"/>
      <c r="D23" s="239"/>
      <c r="E23" s="239"/>
      <c r="J23" s="114" t="s">
        <v>399</v>
      </c>
      <c r="K23" s="104" t="s">
        <v>400</v>
      </c>
      <c r="L23" s="106" t="s">
        <v>387</v>
      </c>
      <c r="M23" s="107" t="s">
        <v>388</v>
      </c>
    </row>
    <row r="24" spans="1:13" x14ac:dyDescent="0.25">
      <c r="E24" s="239"/>
      <c r="J24" s="235" t="s">
        <v>172</v>
      </c>
      <c r="K24" s="234">
        <f>B14*$B$2</f>
        <v>1097400</v>
      </c>
      <c r="L24" s="234" t="s">
        <v>403</v>
      </c>
      <c r="M24" s="234"/>
    </row>
    <row r="25" spans="1:13" x14ac:dyDescent="0.25">
      <c r="E25" s="239"/>
      <c r="J25" s="235" t="s">
        <v>177</v>
      </c>
      <c r="K25" s="234">
        <f>B15*$B$2*(B22/100)</f>
        <v>493830</v>
      </c>
      <c r="L25" s="234" t="s">
        <v>403</v>
      </c>
      <c r="M25" s="234"/>
    </row>
    <row r="26" spans="1:13" x14ac:dyDescent="0.25">
      <c r="E26" s="239"/>
      <c r="J26" s="5" t="s">
        <v>461</v>
      </c>
    </row>
    <row r="27" spans="1:13" x14ac:dyDescent="0.25">
      <c r="E27" s="239"/>
    </row>
    <row r="28" spans="1:13" x14ac:dyDescent="0.25">
      <c r="E28" s="239"/>
    </row>
    <row r="29" spans="1:13" x14ac:dyDescent="0.25">
      <c r="E29" s="239"/>
    </row>
    <row r="30" spans="1:13" x14ac:dyDescent="0.25">
      <c r="E30" s="239"/>
    </row>
    <row r="31" spans="1:13" x14ac:dyDescent="0.25">
      <c r="E31" s="239"/>
    </row>
    <row r="32" spans="1:13" x14ac:dyDescent="0.25">
      <c r="E32" s="239"/>
    </row>
    <row r="33" spans="5:5" x14ac:dyDescent="0.25">
      <c r="E33" s="239"/>
    </row>
    <row r="34" spans="5:5" x14ac:dyDescent="0.25">
      <c r="E34" s="239"/>
    </row>
    <row r="35" spans="5:5" x14ac:dyDescent="0.25">
      <c r="E35" s="239"/>
    </row>
    <row r="36" spans="5:5" x14ac:dyDescent="0.25">
      <c r="E36" s="239"/>
    </row>
    <row r="37" spans="5:5" x14ac:dyDescent="0.25">
      <c r="E37" s="239"/>
    </row>
    <row r="38" spans="5:5" x14ac:dyDescent="0.25">
      <c r="E38" s="239"/>
    </row>
    <row r="39" spans="5:5" x14ac:dyDescent="0.25">
      <c r="E39" s="239"/>
    </row>
    <row r="40" spans="5:5" x14ac:dyDescent="0.25">
      <c r="E40" s="239"/>
    </row>
    <row r="41" spans="5:5" x14ac:dyDescent="0.25">
      <c r="E41" s="239"/>
    </row>
    <row r="42" spans="5:5" x14ac:dyDescent="0.25">
      <c r="E42" s="239"/>
    </row>
    <row r="43" spans="5:5" x14ac:dyDescent="0.25">
      <c r="E43" s="239"/>
    </row>
    <row r="44" spans="5:5" x14ac:dyDescent="0.25">
      <c r="E44" s="239"/>
    </row>
    <row r="45" spans="5:5" x14ac:dyDescent="0.25">
      <c r="E45" s="239"/>
    </row>
    <row r="46" spans="5:5" x14ac:dyDescent="0.25">
      <c r="E46" s="239"/>
    </row>
    <row r="47" spans="5:5" x14ac:dyDescent="0.25">
      <c r="E47" s="239"/>
    </row>
    <row r="48" spans="5:5" x14ac:dyDescent="0.25">
      <c r="E48" s="239"/>
    </row>
  </sheetData>
  <phoneticPr fontId="19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CE34-AD14-A94A-81A9-D7571770FEB7}">
  <sheetPr codeName="Sheet12"/>
  <dimension ref="A1:M18"/>
  <sheetViews>
    <sheetView zoomScale="150" zoomScaleNormal="150" workbookViewId="0">
      <selection activeCell="A17" sqref="A17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</cols>
  <sheetData>
    <row r="1" spans="1:13" ht="18.75" x14ac:dyDescent="0.3">
      <c r="A1" s="104" t="s">
        <v>385</v>
      </c>
      <c r="B1" s="152" t="s">
        <v>386</v>
      </c>
      <c r="C1" s="153" t="s">
        <v>387</v>
      </c>
      <c r="D1" s="153" t="s">
        <v>388</v>
      </c>
      <c r="E1" s="153" t="s">
        <v>389</v>
      </c>
      <c r="G1" s="149" t="s">
        <v>73</v>
      </c>
      <c r="H1" s="90" t="s">
        <v>446</v>
      </c>
      <c r="J1" s="207" t="s">
        <v>462</v>
      </c>
      <c r="K1" s="207" t="s">
        <v>391</v>
      </c>
      <c r="L1" s="207" t="s">
        <v>462</v>
      </c>
      <c r="M1" s="207" t="s">
        <v>462</v>
      </c>
    </row>
    <row r="2" spans="1:13" x14ac:dyDescent="0.25">
      <c r="A2" s="173" t="s">
        <v>392</v>
      </c>
      <c r="B2" s="160">
        <v>100</v>
      </c>
      <c r="C2" s="157" t="s">
        <v>393</v>
      </c>
      <c r="D2" s="157" t="s">
        <v>463</v>
      </c>
      <c r="E2" s="170" t="s">
        <v>462</v>
      </c>
      <c r="J2" s="208" t="s">
        <v>394</v>
      </c>
      <c r="K2" s="209" t="s">
        <v>462</v>
      </c>
      <c r="L2" s="209" t="s">
        <v>462</v>
      </c>
      <c r="M2" s="209" t="s">
        <v>462</v>
      </c>
    </row>
    <row r="3" spans="1:13" x14ac:dyDescent="0.25">
      <c r="A3" s="180" t="s">
        <v>407</v>
      </c>
      <c r="B3" s="161">
        <v>50</v>
      </c>
      <c r="C3" s="159" t="s">
        <v>408</v>
      </c>
      <c r="D3" s="159" t="s">
        <v>464</v>
      </c>
      <c r="E3" s="176"/>
      <c r="J3" s="210" t="s">
        <v>399</v>
      </c>
      <c r="K3" s="211" t="s">
        <v>400</v>
      </c>
      <c r="L3" s="211" t="s">
        <v>387</v>
      </c>
      <c r="M3" s="212" t="s">
        <v>388</v>
      </c>
    </row>
    <row r="4" spans="1:13" x14ac:dyDescent="0.25">
      <c r="A4" s="178" t="s">
        <v>465</v>
      </c>
      <c r="B4" s="161">
        <v>17297.349999999999</v>
      </c>
      <c r="C4" s="159" t="s">
        <v>405</v>
      </c>
      <c r="D4" s="159" t="s">
        <v>466</v>
      </c>
      <c r="E4" s="159" t="s">
        <v>398</v>
      </c>
      <c r="J4" s="213" t="s">
        <v>402</v>
      </c>
      <c r="K4" s="214">
        <f>(44/12)*(B3/100)*K18</f>
        <v>4033333.333333333</v>
      </c>
      <c r="L4" s="215" t="s">
        <v>403</v>
      </c>
      <c r="M4" s="216"/>
    </row>
    <row r="5" spans="1:13" x14ac:dyDescent="0.25">
      <c r="A5" s="178" t="s">
        <v>218</v>
      </c>
      <c r="B5" s="161">
        <v>4.0000000000000001E-3</v>
      </c>
      <c r="C5" s="159" t="s">
        <v>409</v>
      </c>
      <c r="D5" s="159" t="s">
        <v>467</v>
      </c>
      <c r="E5" s="159" t="s">
        <v>398</v>
      </c>
      <c r="J5" s="217" t="s">
        <v>465</v>
      </c>
      <c r="K5" s="214">
        <f>B4</f>
        <v>17297.349999999999</v>
      </c>
      <c r="L5" s="215" t="s">
        <v>468</v>
      </c>
      <c r="M5" s="215" t="s">
        <v>462</v>
      </c>
    </row>
    <row r="6" spans="1:13" x14ac:dyDescent="0.25">
      <c r="A6" s="178" t="s">
        <v>224</v>
      </c>
      <c r="B6" s="161">
        <v>7.5000000000000002E-4</v>
      </c>
      <c r="C6" s="159" t="s">
        <v>409</v>
      </c>
      <c r="D6" s="159" t="s">
        <v>467</v>
      </c>
      <c r="E6" s="159" t="s">
        <v>398</v>
      </c>
      <c r="J6" s="217" t="s">
        <v>218</v>
      </c>
      <c r="K6" s="218">
        <f>B5*$K$18</f>
        <v>8800</v>
      </c>
      <c r="L6" s="215" t="s">
        <v>403</v>
      </c>
      <c r="M6" s="215" t="s">
        <v>462</v>
      </c>
    </row>
    <row r="7" spans="1:13" x14ac:dyDescent="0.25">
      <c r="A7" s="178" t="s">
        <v>230</v>
      </c>
      <c r="B7" s="161">
        <v>4.0000000000000001E-3</v>
      </c>
      <c r="C7" s="159" t="s">
        <v>409</v>
      </c>
      <c r="D7" s="159" t="s">
        <v>467</v>
      </c>
      <c r="E7" s="159" t="s">
        <v>398</v>
      </c>
      <c r="J7" s="217" t="s">
        <v>224</v>
      </c>
      <c r="K7" s="218">
        <f>B6*$K$18</f>
        <v>1650</v>
      </c>
      <c r="L7" s="215" t="s">
        <v>403</v>
      </c>
      <c r="M7" s="215" t="s">
        <v>462</v>
      </c>
    </row>
    <row r="8" spans="1:13" x14ac:dyDescent="0.25">
      <c r="A8" s="178" t="s">
        <v>411</v>
      </c>
      <c r="B8" s="171">
        <v>452</v>
      </c>
      <c r="C8" s="158" t="s">
        <v>413</v>
      </c>
      <c r="D8" s="159" t="s">
        <v>469</v>
      </c>
      <c r="E8" s="159" t="s">
        <v>398</v>
      </c>
      <c r="J8" s="217" t="s">
        <v>230</v>
      </c>
      <c r="K8" s="218">
        <f>B7*$K$18</f>
        <v>8800</v>
      </c>
      <c r="L8" s="215" t="s">
        <v>403</v>
      </c>
      <c r="M8" s="215" t="s">
        <v>462</v>
      </c>
    </row>
    <row r="9" spans="1:13" x14ac:dyDescent="0.25">
      <c r="A9" s="178" t="s">
        <v>201</v>
      </c>
      <c r="B9" s="160">
        <v>5.5648046000000004</v>
      </c>
      <c r="C9" s="158" t="s">
        <v>413</v>
      </c>
      <c r="D9" s="159" t="s">
        <v>470</v>
      </c>
      <c r="E9" s="159" t="s">
        <v>398</v>
      </c>
      <c r="J9" s="217" t="s">
        <v>411</v>
      </c>
      <c r="K9" s="215">
        <f>B2*B8</f>
        <v>45200</v>
      </c>
      <c r="L9" s="215" t="s">
        <v>403</v>
      </c>
      <c r="M9" s="215" t="s">
        <v>462</v>
      </c>
    </row>
    <row r="10" spans="1:13" x14ac:dyDescent="0.25">
      <c r="A10" s="178" t="s">
        <v>260</v>
      </c>
      <c r="B10" s="161">
        <v>15.656499999999999</v>
      </c>
      <c r="C10" s="158" t="s">
        <v>413</v>
      </c>
      <c r="D10" s="159" t="s">
        <v>458</v>
      </c>
      <c r="E10" s="159" t="s">
        <v>398</v>
      </c>
      <c r="J10" s="217" t="s">
        <v>201</v>
      </c>
      <c r="K10" s="218">
        <f>B9*B2</f>
        <v>556.48045999999999</v>
      </c>
      <c r="L10" s="215" t="s">
        <v>403</v>
      </c>
      <c r="M10" s="215" t="s">
        <v>462</v>
      </c>
    </row>
    <row r="11" spans="1:13" x14ac:dyDescent="0.25">
      <c r="A11" s="178" t="s">
        <v>150</v>
      </c>
      <c r="B11" s="161">
        <v>1345.86</v>
      </c>
      <c r="C11" s="159" t="s">
        <v>396</v>
      </c>
      <c r="D11" s="159" t="s">
        <v>470</v>
      </c>
      <c r="E11" s="159" t="s">
        <v>398</v>
      </c>
      <c r="J11" s="217" t="s">
        <v>260</v>
      </c>
      <c r="K11" s="218">
        <f>B10*B2</f>
        <v>1565.6499999999999</v>
      </c>
      <c r="L11" s="215" t="s">
        <v>403</v>
      </c>
      <c r="M11" s="215" t="s">
        <v>462</v>
      </c>
    </row>
    <row r="12" spans="1:13" x14ac:dyDescent="0.25">
      <c r="A12" s="178" t="s">
        <v>395</v>
      </c>
      <c r="B12" s="161">
        <v>15649</v>
      </c>
      <c r="C12" s="159" t="s">
        <v>396</v>
      </c>
      <c r="D12" s="159" t="s">
        <v>458</v>
      </c>
      <c r="E12" s="159" t="s">
        <v>398</v>
      </c>
      <c r="J12" s="217" t="s">
        <v>150</v>
      </c>
      <c r="K12" s="214">
        <f>B11*B2</f>
        <v>134586</v>
      </c>
      <c r="L12" s="215" t="s">
        <v>428</v>
      </c>
      <c r="M12" s="215" t="s">
        <v>462</v>
      </c>
    </row>
    <row r="13" spans="1:13" x14ac:dyDescent="0.25">
      <c r="A13" s="178" t="s">
        <v>152</v>
      </c>
      <c r="B13" s="161">
        <v>33.33</v>
      </c>
      <c r="C13" s="159" t="s">
        <v>404</v>
      </c>
      <c r="D13" s="159" t="s">
        <v>458</v>
      </c>
      <c r="E13" s="159" t="s">
        <v>398</v>
      </c>
      <c r="J13" s="217" t="s">
        <v>395</v>
      </c>
      <c r="K13" s="215">
        <f>B12*B2</f>
        <v>1564900</v>
      </c>
      <c r="L13" s="215" t="s">
        <v>428</v>
      </c>
      <c r="M13" s="215" t="s">
        <v>462</v>
      </c>
    </row>
    <row r="14" spans="1:13" x14ac:dyDescent="0.25">
      <c r="A14" s="178" t="s">
        <v>471</v>
      </c>
      <c r="B14" s="161">
        <v>22000</v>
      </c>
      <c r="C14" s="159" t="s">
        <v>413</v>
      </c>
      <c r="D14" s="159" t="s">
        <v>472</v>
      </c>
      <c r="E14" s="172" t="s">
        <v>419</v>
      </c>
      <c r="J14" s="217" t="s">
        <v>152</v>
      </c>
      <c r="K14" s="215">
        <f>B13*B2</f>
        <v>3333</v>
      </c>
      <c r="L14" s="215" t="s">
        <v>429</v>
      </c>
      <c r="M14" s="215" t="s">
        <v>462</v>
      </c>
    </row>
    <row r="15" spans="1:13" x14ac:dyDescent="0.25">
      <c r="J15" s="5"/>
      <c r="K15" s="219"/>
      <c r="L15" s="219"/>
      <c r="M15" s="219"/>
    </row>
    <row r="16" spans="1:13" ht="15.75" customHeight="1" x14ac:dyDescent="0.25">
      <c r="J16" s="208" t="s">
        <v>434</v>
      </c>
      <c r="K16" s="209" t="s">
        <v>462</v>
      </c>
      <c r="L16" s="209" t="s">
        <v>462</v>
      </c>
      <c r="M16" s="209" t="s">
        <v>462</v>
      </c>
    </row>
    <row r="17" spans="10:13" x14ac:dyDescent="0.25">
      <c r="J17" s="220" t="s">
        <v>399</v>
      </c>
      <c r="K17" s="221" t="s">
        <v>400</v>
      </c>
      <c r="L17" s="221" t="s">
        <v>387</v>
      </c>
      <c r="M17" s="216" t="s">
        <v>388</v>
      </c>
    </row>
    <row r="18" spans="10:13" x14ac:dyDescent="0.25">
      <c r="J18" s="217" t="s">
        <v>471</v>
      </c>
      <c r="K18" s="215">
        <f>B2*B14</f>
        <v>2200000</v>
      </c>
      <c r="L18" s="215" t="s">
        <v>403</v>
      </c>
      <c r="M18" s="215" t="s">
        <v>462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8CA5-257F-C54D-8C4B-09F4DE6D9A7E}">
  <sheetPr codeName="Sheet13"/>
  <dimension ref="A1:M72"/>
  <sheetViews>
    <sheetView zoomScale="150" zoomScaleNormal="150" workbookViewId="0">
      <selection activeCell="C16" sqref="C16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</cols>
  <sheetData>
    <row r="1" spans="1:13" ht="18.75" x14ac:dyDescent="0.3">
      <c r="A1" s="188" t="s">
        <v>385</v>
      </c>
      <c r="B1" s="189" t="s">
        <v>386</v>
      </c>
      <c r="C1" s="190" t="s">
        <v>387</v>
      </c>
      <c r="D1" s="190" t="s">
        <v>388</v>
      </c>
      <c r="E1" s="190" t="s">
        <v>389</v>
      </c>
      <c r="G1" s="149" t="s">
        <v>73</v>
      </c>
      <c r="H1" s="90" t="s">
        <v>446</v>
      </c>
      <c r="J1" s="207" t="s">
        <v>462</v>
      </c>
      <c r="K1" s="207" t="s">
        <v>391</v>
      </c>
      <c r="L1" s="207" t="s">
        <v>462</v>
      </c>
      <c r="M1" s="207" t="s">
        <v>462</v>
      </c>
    </row>
    <row r="2" spans="1:13" x14ac:dyDescent="0.25">
      <c r="A2" s="185" t="s">
        <v>392</v>
      </c>
      <c r="B2" s="186">
        <v>100</v>
      </c>
      <c r="C2" s="165" t="s">
        <v>393</v>
      </c>
      <c r="D2" s="240" t="s">
        <v>473</v>
      </c>
      <c r="E2" s="165" t="s">
        <v>398</v>
      </c>
      <c r="J2" s="208" t="s">
        <v>394</v>
      </c>
      <c r="K2" s="209" t="s">
        <v>462</v>
      </c>
      <c r="L2" s="209" t="s">
        <v>462</v>
      </c>
      <c r="M2" s="209" t="s">
        <v>462</v>
      </c>
    </row>
    <row r="3" spans="1:13" x14ac:dyDescent="0.25">
      <c r="A3" s="241" t="s">
        <v>407</v>
      </c>
      <c r="B3" s="187">
        <v>50</v>
      </c>
      <c r="C3" s="240" t="s">
        <v>408</v>
      </c>
      <c r="D3" s="240" t="s">
        <v>458</v>
      </c>
      <c r="E3" s="165" t="s">
        <v>398</v>
      </c>
      <c r="F3" s="239"/>
      <c r="J3" s="222" t="s">
        <v>399</v>
      </c>
      <c r="K3" s="223" t="s">
        <v>400</v>
      </c>
      <c r="L3" s="223" t="s">
        <v>387</v>
      </c>
      <c r="M3" s="224" t="s">
        <v>388</v>
      </c>
    </row>
    <row r="4" spans="1:13" x14ac:dyDescent="0.25">
      <c r="A4" s="241" t="s">
        <v>423</v>
      </c>
      <c r="B4" s="187">
        <v>6350</v>
      </c>
      <c r="C4" s="240" t="s">
        <v>424</v>
      </c>
      <c r="D4" s="240" t="s">
        <v>474</v>
      </c>
      <c r="E4" s="165" t="s">
        <v>398</v>
      </c>
      <c r="F4" s="239"/>
      <c r="J4" s="241" t="s">
        <v>395</v>
      </c>
      <c r="K4" s="242">
        <f>$K$7*B13</f>
        <v>1654900</v>
      </c>
      <c r="L4" s="243" t="s">
        <v>428</v>
      </c>
      <c r="M4" s="243"/>
    </row>
    <row r="5" spans="1:13" x14ac:dyDescent="0.25">
      <c r="A5" s="241" t="s">
        <v>218</v>
      </c>
      <c r="B5" s="187">
        <v>118</v>
      </c>
      <c r="C5" s="240" t="s">
        <v>413</v>
      </c>
      <c r="D5" s="240" t="s">
        <v>475</v>
      </c>
      <c r="E5" s="165" t="s">
        <v>398</v>
      </c>
      <c r="F5" s="239"/>
      <c r="J5" s="241" t="s">
        <v>150</v>
      </c>
      <c r="K5" s="242">
        <f>$K$7*B14</f>
        <v>230000</v>
      </c>
      <c r="L5" s="243" t="s">
        <v>428</v>
      </c>
      <c r="M5" s="243"/>
    </row>
    <row r="6" spans="1:13" x14ac:dyDescent="0.25">
      <c r="A6" s="241" t="s">
        <v>224</v>
      </c>
      <c r="B6" s="187">
        <v>22.25</v>
      </c>
      <c r="C6" s="240" t="s">
        <v>413</v>
      </c>
      <c r="D6" s="240" t="s">
        <v>476</v>
      </c>
      <c r="E6" s="165" t="s">
        <v>398</v>
      </c>
      <c r="F6" s="239"/>
      <c r="J6" s="241" t="s">
        <v>152</v>
      </c>
      <c r="K6" s="244">
        <f>$K$7*B15</f>
        <v>3333</v>
      </c>
      <c r="L6" s="240" t="s">
        <v>429</v>
      </c>
      <c r="M6" s="240"/>
    </row>
    <row r="7" spans="1:13" x14ac:dyDescent="0.25">
      <c r="A7" s="241" t="s">
        <v>230</v>
      </c>
      <c r="B7" s="187">
        <v>10</v>
      </c>
      <c r="C7" s="240" t="s">
        <v>413</v>
      </c>
      <c r="D7" s="240" t="s">
        <v>476</v>
      </c>
      <c r="E7" s="165" t="s">
        <v>398</v>
      </c>
      <c r="F7" s="239"/>
      <c r="J7" s="241" t="s">
        <v>155</v>
      </c>
      <c r="K7" s="244">
        <f>B2</f>
        <v>100</v>
      </c>
      <c r="L7" s="240" t="s">
        <v>477</v>
      </c>
      <c r="M7" s="240"/>
    </row>
    <row r="8" spans="1:13" x14ac:dyDescent="0.25">
      <c r="A8" s="241" t="s">
        <v>411</v>
      </c>
      <c r="B8" s="187">
        <v>0</v>
      </c>
      <c r="C8" s="240" t="s">
        <v>413</v>
      </c>
      <c r="D8" s="240" t="s">
        <v>478</v>
      </c>
      <c r="E8" s="165" t="s">
        <v>398</v>
      </c>
      <c r="F8" s="239"/>
      <c r="J8" s="241" t="s">
        <v>479</v>
      </c>
      <c r="K8" s="244">
        <f>B8*K7</f>
        <v>0</v>
      </c>
      <c r="L8" s="240" t="s">
        <v>403</v>
      </c>
      <c r="M8" s="240"/>
    </row>
    <row r="9" spans="1:13" x14ac:dyDescent="0.25">
      <c r="A9" s="241" t="s">
        <v>201</v>
      </c>
      <c r="B9" s="187">
        <v>23.99</v>
      </c>
      <c r="C9" s="240" t="s">
        <v>413</v>
      </c>
      <c r="D9" s="240" t="s">
        <v>458</v>
      </c>
      <c r="E9" s="165" t="s">
        <v>398</v>
      </c>
      <c r="F9" s="239"/>
      <c r="J9" s="241" t="s">
        <v>402</v>
      </c>
      <c r="K9" s="244">
        <f>(B3/100)*(44/12)*K21</f>
        <v>1642666.6666666665</v>
      </c>
      <c r="L9" s="240" t="s">
        <v>403</v>
      </c>
      <c r="M9" s="240"/>
    </row>
    <row r="10" spans="1:13" x14ac:dyDescent="0.25">
      <c r="A10" s="241" t="s">
        <v>207</v>
      </c>
      <c r="B10" s="187">
        <v>5.1000000000000004E-3</v>
      </c>
      <c r="C10" s="240" t="s">
        <v>413</v>
      </c>
      <c r="D10" s="240" t="s">
        <v>480</v>
      </c>
      <c r="E10" s="165" t="s">
        <v>398</v>
      </c>
      <c r="F10" s="239"/>
      <c r="J10" s="241" t="s">
        <v>198</v>
      </c>
      <c r="K10" s="244">
        <f>K7*B11</f>
        <v>112.27000000000001</v>
      </c>
      <c r="L10" s="240" t="s">
        <v>403</v>
      </c>
      <c r="M10" s="240"/>
    </row>
    <row r="11" spans="1:13" x14ac:dyDescent="0.25">
      <c r="A11" s="241" t="s">
        <v>198</v>
      </c>
      <c r="B11" s="187">
        <v>1.1227</v>
      </c>
      <c r="C11" s="240" t="s">
        <v>413</v>
      </c>
      <c r="D11" s="240" t="s">
        <v>458</v>
      </c>
      <c r="E11" s="165" t="s">
        <v>398</v>
      </c>
      <c r="F11" s="239"/>
      <c r="J11" s="241" t="s">
        <v>201</v>
      </c>
      <c r="K11" s="244">
        <f>K7*B9</f>
        <v>2399</v>
      </c>
      <c r="L11" s="240" t="s">
        <v>403</v>
      </c>
      <c r="M11" s="240"/>
    </row>
    <row r="12" spans="1:13" x14ac:dyDescent="0.25">
      <c r="A12" s="241" t="s">
        <v>260</v>
      </c>
      <c r="B12" s="187">
        <v>15.656499999999999</v>
      </c>
      <c r="C12" s="240" t="s">
        <v>413</v>
      </c>
      <c r="D12" s="240" t="s">
        <v>481</v>
      </c>
      <c r="E12" s="165" t="s">
        <v>398</v>
      </c>
      <c r="F12" s="239"/>
      <c r="J12" s="241" t="s">
        <v>207</v>
      </c>
      <c r="K12" s="244">
        <f>B10*K7</f>
        <v>0.51</v>
      </c>
      <c r="L12" s="240" t="s">
        <v>403</v>
      </c>
      <c r="M12" s="240"/>
    </row>
    <row r="13" spans="1:13" x14ac:dyDescent="0.25">
      <c r="A13" s="241" t="s">
        <v>395</v>
      </c>
      <c r="B13" s="187">
        <v>16549</v>
      </c>
      <c r="C13" s="240" t="s">
        <v>396</v>
      </c>
      <c r="D13" s="240" t="s">
        <v>458</v>
      </c>
      <c r="E13" s="165" t="s">
        <v>398</v>
      </c>
      <c r="F13" s="239"/>
      <c r="J13" s="241" t="s">
        <v>218</v>
      </c>
      <c r="K13" s="244">
        <f>B5*$K$7</f>
        <v>11800</v>
      </c>
      <c r="L13" s="240" t="s">
        <v>403</v>
      </c>
      <c r="M13" s="240"/>
    </row>
    <row r="14" spans="1:13" x14ac:dyDescent="0.25">
      <c r="A14" s="241" t="s">
        <v>150</v>
      </c>
      <c r="B14" s="187">
        <v>2300</v>
      </c>
      <c r="C14" s="240" t="s">
        <v>396</v>
      </c>
      <c r="D14" s="240" t="s">
        <v>458</v>
      </c>
      <c r="E14" s="165" t="s">
        <v>398</v>
      </c>
      <c r="F14" s="239"/>
      <c r="J14" s="241" t="s">
        <v>224</v>
      </c>
      <c r="K14" s="244">
        <f>B6*$K$7</f>
        <v>2225</v>
      </c>
      <c r="L14" s="240" t="s">
        <v>403</v>
      </c>
      <c r="M14" s="240"/>
    </row>
    <row r="15" spans="1:13" x14ac:dyDescent="0.25">
      <c r="A15" s="245" t="s">
        <v>152</v>
      </c>
      <c r="B15" s="191">
        <v>33.33</v>
      </c>
      <c r="C15" s="246" t="s">
        <v>404</v>
      </c>
      <c r="D15" s="246" t="s">
        <v>458</v>
      </c>
      <c r="E15" s="165" t="s">
        <v>398</v>
      </c>
      <c r="F15" s="239"/>
      <c r="J15" s="241" t="s">
        <v>230</v>
      </c>
      <c r="K15" s="244">
        <f>B7*$K$7</f>
        <v>1000</v>
      </c>
      <c r="L15" s="240" t="s">
        <v>403</v>
      </c>
      <c r="M15" s="240"/>
    </row>
    <row r="16" spans="1:13" x14ac:dyDescent="0.25">
      <c r="A16" s="241" t="s">
        <v>253</v>
      </c>
      <c r="B16" s="187">
        <v>8960</v>
      </c>
      <c r="C16" s="240" t="s">
        <v>413</v>
      </c>
      <c r="D16" s="240" t="s">
        <v>482</v>
      </c>
      <c r="E16" s="240" t="s">
        <v>419</v>
      </c>
      <c r="F16" s="239"/>
      <c r="J16" s="241" t="s">
        <v>483</v>
      </c>
      <c r="K16" s="244">
        <f>K7*B4</f>
        <v>635000</v>
      </c>
      <c r="L16" s="240" t="s">
        <v>417</v>
      </c>
      <c r="M16" s="240"/>
    </row>
    <row r="17" spans="1:13" x14ac:dyDescent="0.25">
      <c r="A17" s="238"/>
      <c r="B17" s="239"/>
      <c r="C17" s="239"/>
      <c r="D17" s="239"/>
      <c r="E17" s="239"/>
      <c r="F17" s="239"/>
      <c r="J17" s="241" t="s">
        <v>484</v>
      </c>
      <c r="K17" s="244">
        <f>B12*K7</f>
        <v>1565.6499999999999</v>
      </c>
      <c r="L17" s="240" t="s">
        <v>403</v>
      </c>
      <c r="M17" s="240"/>
    </row>
    <row r="18" spans="1:13" ht="15.75" customHeight="1" x14ac:dyDescent="0.25">
      <c r="E18" s="239"/>
      <c r="F18" s="239"/>
      <c r="J18" s="238"/>
      <c r="K18" s="239"/>
      <c r="L18" s="239"/>
      <c r="M18" s="239"/>
    </row>
    <row r="19" spans="1:13" ht="30" x14ac:dyDescent="0.25">
      <c r="E19" s="239"/>
      <c r="F19" s="239"/>
      <c r="J19" s="174" t="s">
        <v>434</v>
      </c>
      <c r="K19" s="175" t="s">
        <v>462</v>
      </c>
      <c r="L19" s="175" t="s">
        <v>462</v>
      </c>
      <c r="M19" s="175" t="s">
        <v>462</v>
      </c>
    </row>
    <row r="20" spans="1:13" x14ac:dyDescent="0.25">
      <c r="E20" s="239"/>
      <c r="F20" s="239"/>
      <c r="J20" s="179" t="s">
        <v>399</v>
      </c>
      <c r="K20" s="176" t="s">
        <v>400</v>
      </c>
      <c r="L20" s="176" t="s">
        <v>387</v>
      </c>
      <c r="M20" s="177" t="s">
        <v>388</v>
      </c>
    </row>
    <row r="21" spans="1:13" x14ac:dyDescent="0.25">
      <c r="E21" s="239"/>
      <c r="F21" s="239"/>
      <c r="J21" s="241" t="s">
        <v>44</v>
      </c>
      <c r="K21" s="192">
        <f>B16*K7</f>
        <v>896000</v>
      </c>
      <c r="L21" s="240" t="s">
        <v>485</v>
      </c>
      <c r="M21" s="240" t="s">
        <v>482</v>
      </c>
    </row>
    <row r="22" spans="1:13" x14ac:dyDescent="0.25">
      <c r="E22" s="239"/>
      <c r="F22" s="239"/>
    </row>
    <row r="23" spans="1:13" x14ac:dyDescent="0.25">
      <c r="E23" s="239"/>
      <c r="F23" s="239"/>
    </row>
    <row r="24" spans="1:13" x14ac:dyDescent="0.25">
      <c r="E24" s="239"/>
      <c r="F24" s="239"/>
    </row>
    <row r="25" spans="1:13" x14ac:dyDescent="0.25">
      <c r="E25" s="239"/>
      <c r="F25" s="239"/>
    </row>
    <row r="26" spans="1:13" x14ac:dyDescent="0.25">
      <c r="E26" s="239"/>
      <c r="F26" s="239"/>
    </row>
    <row r="27" spans="1:13" x14ac:dyDescent="0.25">
      <c r="E27" s="239"/>
      <c r="F27" s="239"/>
    </row>
    <row r="28" spans="1:13" x14ac:dyDescent="0.25">
      <c r="E28" s="239"/>
      <c r="F28" s="239"/>
    </row>
    <row r="29" spans="1:13" x14ac:dyDescent="0.25">
      <c r="E29" s="239"/>
      <c r="F29" s="239"/>
    </row>
    <row r="30" spans="1:13" x14ac:dyDescent="0.25">
      <c r="E30" s="239"/>
      <c r="F30" s="239"/>
    </row>
    <row r="31" spans="1:13" x14ac:dyDescent="0.25">
      <c r="E31" s="239"/>
      <c r="F31" s="239"/>
    </row>
    <row r="32" spans="1:13" x14ac:dyDescent="0.25">
      <c r="E32" s="239"/>
      <c r="F32" s="239"/>
    </row>
    <row r="33" spans="1:6" x14ac:dyDescent="0.25">
      <c r="E33" s="239"/>
      <c r="F33" s="239"/>
    </row>
    <row r="34" spans="1:6" x14ac:dyDescent="0.25">
      <c r="E34" s="239"/>
      <c r="F34" s="239"/>
    </row>
    <row r="35" spans="1:6" x14ac:dyDescent="0.25">
      <c r="E35" s="239"/>
      <c r="F35" s="239"/>
    </row>
    <row r="36" spans="1:6" x14ac:dyDescent="0.25">
      <c r="E36" s="239"/>
      <c r="F36" s="239"/>
    </row>
    <row r="37" spans="1:6" x14ac:dyDescent="0.25">
      <c r="E37" s="239"/>
      <c r="F37" s="239"/>
    </row>
    <row r="38" spans="1:6" x14ac:dyDescent="0.25">
      <c r="E38" s="239"/>
      <c r="F38" s="239"/>
    </row>
    <row r="39" spans="1:6" x14ac:dyDescent="0.25">
      <c r="A39" s="238"/>
      <c r="B39" s="239"/>
      <c r="C39" s="239"/>
      <c r="D39" s="239"/>
      <c r="E39" s="239"/>
      <c r="F39" s="239"/>
    </row>
    <row r="40" spans="1:6" x14ac:dyDescent="0.25">
      <c r="A40" s="238"/>
      <c r="B40" s="239"/>
      <c r="C40" s="239"/>
      <c r="D40" s="239"/>
      <c r="E40" s="239"/>
      <c r="F40" s="239"/>
    </row>
    <row r="41" spans="1:6" x14ac:dyDescent="0.25">
      <c r="A41" s="238"/>
      <c r="B41" s="239"/>
      <c r="C41" s="239"/>
      <c r="D41" s="239"/>
      <c r="E41" s="239"/>
      <c r="F41" s="239"/>
    </row>
    <row r="42" spans="1:6" x14ac:dyDescent="0.25">
      <c r="A42" s="238"/>
      <c r="B42" s="239"/>
      <c r="C42" s="239"/>
      <c r="D42" s="239"/>
      <c r="E42" s="239"/>
      <c r="F42" s="239"/>
    </row>
    <row r="43" spans="1:6" x14ac:dyDescent="0.25">
      <c r="A43" s="238"/>
      <c r="B43" s="239"/>
      <c r="C43" s="239"/>
      <c r="D43" s="239"/>
      <c r="E43" s="239"/>
      <c r="F43" s="239"/>
    </row>
    <row r="44" spans="1:6" x14ac:dyDescent="0.25">
      <c r="A44" s="238"/>
      <c r="B44" s="239"/>
      <c r="C44" s="239"/>
      <c r="D44" s="239"/>
      <c r="E44" s="239"/>
      <c r="F44" s="239"/>
    </row>
    <row r="45" spans="1:6" x14ac:dyDescent="0.25">
      <c r="A45" s="238"/>
      <c r="B45" s="239"/>
      <c r="C45" s="239"/>
      <c r="D45" s="239"/>
      <c r="E45" s="239"/>
      <c r="F45" s="239"/>
    </row>
    <row r="46" spans="1:6" x14ac:dyDescent="0.25">
      <c r="A46" s="238"/>
      <c r="B46" s="239"/>
      <c r="C46" s="239"/>
      <c r="D46" s="239"/>
      <c r="E46" s="239"/>
      <c r="F46" s="239"/>
    </row>
    <row r="47" spans="1:6" x14ac:dyDescent="0.25">
      <c r="A47" s="238"/>
      <c r="B47" s="239"/>
      <c r="C47" s="239"/>
      <c r="D47" s="239"/>
      <c r="E47" s="239"/>
      <c r="F47" s="239"/>
    </row>
    <row r="48" spans="1:6" x14ac:dyDescent="0.25">
      <c r="A48" s="238"/>
      <c r="B48" s="239"/>
      <c r="C48" s="239"/>
      <c r="D48" s="239"/>
      <c r="E48" s="239"/>
      <c r="F48" s="239"/>
    </row>
    <row r="49" spans="1:6" x14ac:dyDescent="0.25">
      <c r="A49" s="238"/>
      <c r="B49" s="239"/>
      <c r="C49" s="239"/>
      <c r="D49" s="239"/>
      <c r="E49" s="239"/>
      <c r="F49" s="239"/>
    </row>
    <row r="50" spans="1:6" x14ac:dyDescent="0.25">
      <c r="A50" s="238"/>
      <c r="B50" s="239"/>
      <c r="C50" s="239"/>
      <c r="D50" s="239"/>
      <c r="E50" s="239"/>
      <c r="F50" s="239"/>
    </row>
    <row r="51" spans="1:6" x14ac:dyDescent="0.25">
      <c r="A51" s="238"/>
      <c r="B51" s="239"/>
      <c r="C51" s="239"/>
      <c r="D51" s="239"/>
      <c r="E51" s="239"/>
      <c r="F51" s="239"/>
    </row>
    <row r="52" spans="1:6" x14ac:dyDescent="0.25">
      <c r="A52" s="238"/>
      <c r="B52" s="239"/>
      <c r="C52" s="239"/>
      <c r="D52" s="239"/>
      <c r="E52" s="239"/>
      <c r="F52" s="239"/>
    </row>
    <row r="53" spans="1:6" x14ac:dyDescent="0.25">
      <c r="A53" s="238"/>
      <c r="B53" s="239"/>
      <c r="C53" s="239"/>
      <c r="D53" s="239"/>
      <c r="E53" s="239"/>
      <c r="F53" s="239"/>
    </row>
    <row r="54" spans="1:6" x14ac:dyDescent="0.25">
      <c r="A54" s="238"/>
      <c r="B54" s="239"/>
      <c r="C54" s="239"/>
      <c r="D54" s="239"/>
      <c r="E54" s="239"/>
      <c r="F54" s="239"/>
    </row>
    <row r="55" spans="1:6" x14ac:dyDescent="0.25">
      <c r="A55" s="238"/>
      <c r="B55" s="239"/>
      <c r="C55" s="239"/>
      <c r="D55" s="239"/>
      <c r="E55" s="239"/>
      <c r="F55" s="239"/>
    </row>
    <row r="56" spans="1:6" x14ac:dyDescent="0.25">
      <c r="A56" s="238"/>
      <c r="B56" s="239"/>
      <c r="C56" s="239"/>
      <c r="D56" s="239"/>
      <c r="E56" s="239"/>
      <c r="F56" s="239"/>
    </row>
    <row r="57" spans="1:6" x14ac:dyDescent="0.25">
      <c r="A57" s="238"/>
      <c r="B57" s="239"/>
      <c r="C57" s="239"/>
      <c r="D57" s="239"/>
      <c r="E57" s="239"/>
      <c r="F57" s="239"/>
    </row>
    <row r="58" spans="1:6" x14ac:dyDescent="0.25">
      <c r="A58" s="238"/>
      <c r="B58" s="239"/>
      <c r="C58" s="239"/>
      <c r="D58" s="239"/>
      <c r="E58" s="239"/>
      <c r="F58" s="239"/>
    </row>
    <row r="59" spans="1:6" x14ac:dyDescent="0.25">
      <c r="A59" s="238"/>
      <c r="B59" s="239"/>
      <c r="C59" s="239"/>
      <c r="D59" s="239"/>
      <c r="E59" s="239"/>
      <c r="F59" s="239"/>
    </row>
    <row r="60" spans="1:6" x14ac:dyDescent="0.25">
      <c r="A60" s="238"/>
      <c r="B60" s="239"/>
      <c r="C60" s="239"/>
      <c r="D60" s="239"/>
      <c r="E60" s="239"/>
      <c r="F60" s="239"/>
    </row>
    <row r="61" spans="1:6" x14ac:dyDescent="0.25">
      <c r="A61" s="238"/>
      <c r="B61" s="239"/>
      <c r="C61" s="239"/>
      <c r="D61" s="239"/>
      <c r="E61" s="239"/>
      <c r="F61" s="239"/>
    </row>
    <row r="62" spans="1:6" x14ac:dyDescent="0.25">
      <c r="A62" s="238"/>
      <c r="B62" s="239"/>
      <c r="C62" s="239"/>
      <c r="D62" s="239"/>
      <c r="E62" s="239"/>
      <c r="F62" s="239"/>
    </row>
    <row r="63" spans="1:6" x14ac:dyDescent="0.25">
      <c r="A63" s="238"/>
      <c r="B63" s="239"/>
      <c r="C63" s="239"/>
      <c r="D63" s="239"/>
      <c r="E63" s="239"/>
      <c r="F63" s="239"/>
    </row>
    <row r="64" spans="1:6" x14ac:dyDescent="0.25">
      <c r="A64" s="238"/>
      <c r="B64" s="239"/>
      <c r="C64" s="239"/>
      <c r="D64" s="239"/>
      <c r="E64" s="239"/>
      <c r="F64" s="239"/>
    </row>
    <row r="65" spans="1:6" x14ac:dyDescent="0.25">
      <c r="A65" s="238"/>
      <c r="B65" s="239"/>
      <c r="C65" s="239"/>
      <c r="D65" s="239"/>
      <c r="E65" s="239"/>
      <c r="F65" s="239"/>
    </row>
    <row r="66" spans="1:6" x14ac:dyDescent="0.25">
      <c r="A66" s="238"/>
      <c r="B66" s="239"/>
      <c r="C66" s="239"/>
      <c r="D66" s="239"/>
      <c r="E66" s="239"/>
      <c r="F66" s="239"/>
    </row>
    <row r="67" spans="1:6" x14ac:dyDescent="0.25">
      <c r="A67" s="238"/>
      <c r="B67" s="239"/>
      <c r="C67" s="239"/>
      <c r="D67" s="239"/>
      <c r="E67" s="239"/>
      <c r="F67" s="239"/>
    </row>
    <row r="68" spans="1:6" x14ac:dyDescent="0.25">
      <c r="A68" s="238"/>
      <c r="B68" s="239"/>
      <c r="C68" s="239"/>
      <c r="D68" s="239"/>
      <c r="E68" s="239"/>
      <c r="F68" s="239"/>
    </row>
    <row r="69" spans="1:6" x14ac:dyDescent="0.25">
      <c r="A69" s="238"/>
      <c r="B69" s="239"/>
      <c r="C69" s="239"/>
      <c r="D69" s="239"/>
      <c r="E69" s="239"/>
      <c r="F69" s="239"/>
    </row>
    <row r="70" spans="1:6" x14ac:dyDescent="0.25">
      <c r="A70" s="238"/>
      <c r="B70" s="239"/>
      <c r="C70" s="239"/>
      <c r="D70" s="239"/>
      <c r="E70" s="239"/>
      <c r="F70" s="239"/>
    </row>
    <row r="71" spans="1:6" x14ac:dyDescent="0.25">
      <c r="A71" s="238"/>
      <c r="B71" s="239"/>
      <c r="C71" s="239"/>
      <c r="D71" s="239"/>
      <c r="E71" s="239"/>
      <c r="F71" s="239"/>
    </row>
    <row r="72" spans="1:6" x14ac:dyDescent="0.25">
      <c r="A72" s="238"/>
      <c r="B72" s="239"/>
      <c r="C72" s="239"/>
      <c r="D72" s="239"/>
      <c r="E72" s="239"/>
      <c r="F72" s="239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C583-8812-E345-AF20-216FCEF48A3F}">
  <sheetPr codeName="Sheet14"/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4214-5B71-F54F-999B-5DED227D1030}">
  <sheetPr codeName="Sheet15"/>
  <dimension ref="A1:H30"/>
  <sheetViews>
    <sheetView workbookViewId="0">
      <selection activeCell="D14" sqref="D14"/>
    </sheetView>
  </sheetViews>
  <sheetFormatPr defaultColWidth="11" defaultRowHeight="15.75" x14ac:dyDescent="0.25"/>
  <cols>
    <col min="1" max="1" width="28.5" bestFit="1" customWidth="1"/>
    <col min="2" max="2" width="16" customWidth="1"/>
    <col min="3" max="3" width="9.375" bestFit="1" customWidth="1"/>
    <col min="4" max="4" width="15.125" bestFit="1" customWidth="1"/>
    <col min="5" max="5" width="17.875" bestFit="1" customWidth="1"/>
    <col min="6" max="6" width="17.375" bestFit="1" customWidth="1"/>
    <col min="7" max="7" width="20.875" bestFit="1" customWidth="1"/>
    <col min="8" max="8" width="17.125" bestFit="1" customWidth="1"/>
  </cols>
  <sheetData>
    <row r="1" spans="1:8" ht="18.75" x14ac:dyDescent="0.3">
      <c r="A1" s="90" t="s">
        <v>73</v>
      </c>
      <c r="B1" s="90" t="s">
        <v>1</v>
      </c>
    </row>
    <row r="2" spans="1:8" x14ac:dyDescent="0.25">
      <c r="D2" s="5" t="s">
        <v>486</v>
      </c>
      <c r="E2" s="5" t="s">
        <v>487</v>
      </c>
      <c r="F2" s="5" t="s">
        <v>488</v>
      </c>
      <c r="G2" s="5" t="s">
        <v>489</v>
      </c>
      <c r="H2" s="5" t="s">
        <v>490</v>
      </c>
    </row>
    <row r="3" spans="1:8" x14ac:dyDescent="0.25">
      <c r="A3" t="s">
        <v>491</v>
      </c>
      <c r="B3" s="76">
        <v>121</v>
      </c>
      <c r="C3" t="s">
        <v>393</v>
      </c>
      <c r="D3" s="77">
        <v>100</v>
      </c>
      <c r="E3" s="5">
        <v>111</v>
      </c>
      <c r="F3" s="5">
        <v>155.4</v>
      </c>
      <c r="G3" s="5">
        <f>7615*0.404</f>
        <v>3076.46</v>
      </c>
      <c r="H3" s="77">
        <v>100</v>
      </c>
    </row>
    <row r="4" spans="1:8" x14ac:dyDescent="0.25">
      <c r="A4" t="s">
        <v>492</v>
      </c>
      <c r="B4" s="76">
        <v>328.5</v>
      </c>
      <c r="D4" s="77"/>
      <c r="E4" s="5"/>
      <c r="F4" s="5"/>
      <c r="G4" s="5"/>
      <c r="H4" s="77"/>
    </row>
    <row r="5" spans="1:8" x14ac:dyDescent="0.25">
      <c r="A5" t="s">
        <v>493</v>
      </c>
      <c r="B5" s="76"/>
      <c r="D5" s="77"/>
      <c r="E5" s="5"/>
      <c r="F5" s="5"/>
      <c r="G5" s="5"/>
      <c r="H5" s="77"/>
    </row>
    <row r="6" spans="1:8" x14ac:dyDescent="0.25">
      <c r="A6" t="s">
        <v>494</v>
      </c>
      <c r="B6" s="76">
        <v>0.8</v>
      </c>
      <c r="D6" s="77">
        <v>0.8</v>
      </c>
      <c r="E6" s="78">
        <f>92/111</f>
        <v>0.8288288288288288</v>
      </c>
      <c r="F6" s="78">
        <f>100/155.4</f>
        <v>0.64350064350064351</v>
      </c>
      <c r="G6" s="78">
        <f>G7/G3</f>
        <v>0.65659881812212739</v>
      </c>
      <c r="H6" s="77">
        <v>0.8</v>
      </c>
    </row>
    <row r="7" spans="1:8" x14ac:dyDescent="0.25">
      <c r="A7" t="s">
        <v>495</v>
      </c>
      <c r="B7">
        <f>B3*B6</f>
        <v>96.800000000000011</v>
      </c>
      <c r="C7" t="s">
        <v>393</v>
      </c>
      <c r="D7" s="5">
        <f>D3*D6</f>
        <v>80</v>
      </c>
      <c r="E7" s="5">
        <v>92</v>
      </c>
      <c r="F7" s="5">
        <v>100</v>
      </c>
      <c r="G7" s="5">
        <f>5000*0.404</f>
        <v>2020.0000000000002</v>
      </c>
      <c r="H7" s="5">
        <f>H3*H6</f>
        <v>80</v>
      </c>
    </row>
    <row r="8" spans="1:8" x14ac:dyDescent="0.25">
      <c r="A8" t="s">
        <v>496</v>
      </c>
      <c r="B8" s="79">
        <v>13.5</v>
      </c>
      <c r="C8" t="s">
        <v>497</v>
      </c>
      <c r="D8" s="5" t="s">
        <v>498</v>
      </c>
      <c r="E8" s="78">
        <f>23.84/1.03</f>
        <v>23.145631067961165</v>
      </c>
      <c r="F8" s="5" t="s">
        <v>499</v>
      </c>
      <c r="G8" s="80" t="s">
        <v>500</v>
      </c>
      <c r="H8" s="5" t="s">
        <v>501</v>
      </c>
    </row>
    <row r="9" spans="1:8" x14ac:dyDescent="0.25">
      <c r="A9" t="s">
        <v>502</v>
      </c>
      <c r="B9">
        <f>(B8*B7*10000)/10^6</f>
        <v>13.068000000000001</v>
      </c>
      <c r="C9" t="s">
        <v>503</v>
      </c>
      <c r="D9" s="78">
        <f>(25*80*10000)/10^6</f>
        <v>20</v>
      </c>
      <c r="E9" s="78">
        <f>(E8*92*10000)/10^6</f>
        <v>21.293980582524274</v>
      </c>
      <c r="F9" s="5">
        <f>(100*10000*22)/10^6</f>
        <v>22</v>
      </c>
      <c r="G9" s="5">
        <f>(2020*10000*30)/10^6</f>
        <v>606</v>
      </c>
      <c r="H9">
        <f>13*H7*10000/10^6</f>
        <v>10.4</v>
      </c>
    </row>
    <row r="10" spans="1:8" x14ac:dyDescent="0.25">
      <c r="A10" t="s">
        <v>504</v>
      </c>
      <c r="B10" s="76">
        <v>0.2</v>
      </c>
      <c r="C10" t="s">
        <v>505</v>
      </c>
      <c r="D10" s="77">
        <v>0.2</v>
      </c>
      <c r="E10" s="5">
        <v>0.15</v>
      </c>
      <c r="F10" s="5" t="s">
        <v>506</v>
      </c>
      <c r="G10" s="5" t="s">
        <v>507</v>
      </c>
      <c r="H10" s="77">
        <v>0.2</v>
      </c>
    </row>
    <row r="11" spans="1:8" x14ac:dyDescent="0.25">
      <c r="A11" t="s">
        <v>508</v>
      </c>
      <c r="B11" s="81">
        <f>B10*B7*10000*10^3</f>
        <v>193600000.00000003</v>
      </c>
      <c r="C11" t="s">
        <v>509</v>
      </c>
      <c r="D11" s="82">
        <f>(D10*D7*10000)*1000</f>
        <v>160000000</v>
      </c>
      <c r="E11" s="82">
        <v>114000000</v>
      </c>
      <c r="F11" s="82" t="s">
        <v>510</v>
      </c>
      <c r="G11" s="83">
        <f>(9*0.0254)*2020*10000*10^3</f>
        <v>4617720000</v>
      </c>
      <c r="H11" s="82">
        <f>(H10*H7*10000)*1000</f>
        <v>160000000</v>
      </c>
    </row>
    <row r="12" spans="1:8" x14ac:dyDescent="0.25">
      <c r="A12" t="s">
        <v>511</v>
      </c>
      <c r="B12" s="76">
        <v>0.5</v>
      </c>
      <c r="C12" t="s">
        <v>512</v>
      </c>
      <c r="D12" s="77">
        <v>0.5</v>
      </c>
      <c r="E12" s="5" t="s">
        <v>513</v>
      </c>
      <c r="F12" s="5" t="s">
        <v>514</v>
      </c>
      <c r="G12" s="5" t="s">
        <v>515</v>
      </c>
      <c r="H12" s="5" t="s">
        <v>516</v>
      </c>
    </row>
    <row r="13" spans="1:8" x14ac:dyDescent="0.25">
      <c r="A13" t="s">
        <v>517</v>
      </c>
      <c r="B13" s="81">
        <f>(B9*10^6)/B12</f>
        <v>26136000.000000004</v>
      </c>
      <c r="C13" t="s">
        <v>518</v>
      </c>
      <c r="D13" s="82">
        <f>(D9*10^6)/0.5</f>
        <v>40000000</v>
      </c>
      <c r="E13" s="82">
        <f>(E9*10^6)/0.433</f>
        <v>49177784.255252361</v>
      </c>
      <c r="F13" s="82">
        <f>(F9*10^6)/0.38</f>
        <v>57894736.842105262</v>
      </c>
      <c r="G13" s="82">
        <f>(G9*10^6)/0.5</f>
        <v>1212000000</v>
      </c>
      <c r="H13" s="82">
        <f>(H9*10^6)/0.5</f>
        <v>20800000</v>
      </c>
    </row>
    <row r="14" spans="1:8" x14ac:dyDescent="0.25">
      <c r="A14" t="s">
        <v>519</v>
      </c>
      <c r="B14" s="76">
        <v>0.25</v>
      </c>
      <c r="D14" s="5" t="s">
        <v>520</v>
      </c>
      <c r="E14" s="5">
        <v>0.379</v>
      </c>
      <c r="F14" s="5" t="s">
        <v>521</v>
      </c>
      <c r="G14" s="5" t="s">
        <v>522</v>
      </c>
      <c r="H14" s="5" t="s">
        <v>523</v>
      </c>
    </row>
    <row r="15" spans="1:8" x14ac:dyDescent="0.25">
      <c r="A15" t="s">
        <v>524</v>
      </c>
      <c r="B15">
        <f>B9*B14</f>
        <v>3.2670000000000003</v>
      </c>
      <c r="C15" t="s">
        <v>503</v>
      </c>
      <c r="D15" s="78">
        <f>D9*0.5</f>
        <v>10</v>
      </c>
      <c r="E15" s="78">
        <f>E9*E14</f>
        <v>8.0704186407766993</v>
      </c>
      <c r="F15" s="78">
        <f>F9*0.25</f>
        <v>5.5</v>
      </c>
      <c r="G15" s="78">
        <f>G9*0.274</f>
        <v>166.04400000000001</v>
      </c>
      <c r="H15" s="5" t="s">
        <v>523</v>
      </c>
    </row>
    <row r="16" spans="1:8" x14ac:dyDescent="0.25">
      <c r="A16" t="s">
        <v>525</v>
      </c>
      <c r="B16" s="76">
        <v>0.75</v>
      </c>
      <c r="D16" s="5" t="s">
        <v>526</v>
      </c>
      <c r="E16" s="5">
        <v>0.78800000000000003</v>
      </c>
      <c r="F16" s="5" t="s">
        <v>527</v>
      </c>
      <c r="G16" s="5" t="s">
        <v>528</v>
      </c>
      <c r="H16" s="5"/>
    </row>
    <row r="17" spans="1:8" x14ac:dyDescent="0.25">
      <c r="A17" t="s">
        <v>529</v>
      </c>
      <c r="B17" s="76">
        <v>0.9</v>
      </c>
      <c r="D17" s="77">
        <v>0.95</v>
      </c>
      <c r="E17" s="5">
        <v>1</v>
      </c>
      <c r="F17" s="5" t="s">
        <v>530</v>
      </c>
      <c r="G17" s="5" t="s">
        <v>523</v>
      </c>
      <c r="H17" s="5"/>
    </row>
    <row r="18" spans="1:8" x14ac:dyDescent="0.25">
      <c r="A18" t="s">
        <v>531</v>
      </c>
      <c r="B18" s="76">
        <v>0.9</v>
      </c>
      <c r="D18" s="77">
        <v>0.95</v>
      </c>
      <c r="E18" s="5">
        <v>1</v>
      </c>
      <c r="F18" s="5" t="s">
        <v>523</v>
      </c>
      <c r="G18" s="5" t="s">
        <v>523</v>
      </c>
      <c r="H18" s="5"/>
    </row>
    <row r="19" spans="1:8" x14ac:dyDescent="0.25">
      <c r="A19" t="s">
        <v>532</v>
      </c>
      <c r="B19" s="76">
        <f>109</f>
        <v>109</v>
      </c>
      <c r="C19" t="s">
        <v>533</v>
      </c>
      <c r="D19" s="5">
        <v>38</v>
      </c>
      <c r="E19" s="5">
        <v>140</v>
      </c>
      <c r="F19" s="5" t="s">
        <v>534</v>
      </c>
      <c r="G19" s="78" t="e">
        <f>AVERAGE(K19:K27)</f>
        <v>#DIV/0!</v>
      </c>
      <c r="H19" s="4">
        <f>(H20/3.6)/H7</f>
        <v>98.222222222222229</v>
      </c>
    </row>
    <row r="20" spans="1:8" x14ac:dyDescent="0.25">
      <c r="B20" s="84">
        <f>B19*3.6*B7</f>
        <v>37984.320000000007</v>
      </c>
      <c r="C20" t="s">
        <v>535</v>
      </c>
      <c r="D20" s="82">
        <f>D19*3.6*80</f>
        <v>10944</v>
      </c>
      <c r="E20" s="82">
        <f>E19*3.6*92</f>
        <v>46368</v>
      </c>
      <c r="F20" s="82">
        <f>47.7*3.6*92</f>
        <v>15798.240000000002</v>
      </c>
      <c r="G20" s="82" t="e">
        <f>G19*3.6*G9</f>
        <v>#DIV/0!</v>
      </c>
      <c r="H20" s="82">
        <f>2.72*H9*1000</f>
        <v>28288.000000000004</v>
      </c>
    </row>
    <row r="21" spans="1:8" x14ac:dyDescent="0.25">
      <c r="A21" t="s">
        <v>536</v>
      </c>
      <c r="B21">
        <f>B8*(B7*10000)*B4*10^-3</f>
        <v>4292838.0000000009</v>
      </c>
    </row>
    <row r="25" spans="1:8" x14ac:dyDescent="0.25">
      <c r="A25" t="s">
        <v>537</v>
      </c>
    </row>
    <row r="26" spans="1:8" x14ac:dyDescent="0.25">
      <c r="A26" t="s">
        <v>538</v>
      </c>
      <c r="B26" s="1"/>
    </row>
    <row r="30" spans="1:8" x14ac:dyDescent="0.25">
      <c r="A30" t="s">
        <v>539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A96F-DA64-EB43-AE7E-1119DB4FEC39}">
  <sheetPr codeName="Sheet16"/>
  <dimension ref="A1:S45"/>
  <sheetViews>
    <sheetView zoomScale="160" zoomScaleNormal="160" workbookViewId="0">
      <selection activeCell="C15" sqref="C15"/>
    </sheetView>
  </sheetViews>
  <sheetFormatPr defaultColWidth="11" defaultRowHeight="15.75" x14ac:dyDescent="0.25"/>
  <cols>
    <col min="1" max="1" width="27.5" customWidth="1"/>
    <col min="2" max="2" width="17.5" customWidth="1"/>
    <col min="3" max="3" width="21.25" customWidth="1"/>
    <col min="4" max="4" width="62.5" customWidth="1"/>
  </cols>
  <sheetData>
    <row r="1" spans="1:19" ht="16.5" customHeight="1" x14ac:dyDescent="0.3">
      <c r="A1" s="104" t="s">
        <v>385</v>
      </c>
      <c r="B1" s="152" t="s">
        <v>386</v>
      </c>
      <c r="C1" s="153" t="s">
        <v>387</v>
      </c>
      <c r="D1" s="153" t="s">
        <v>388</v>
      </c>
      <c r="E1" s="153" t="s">
        <v>389</v>
      </c>
      <c r="F1" s="239"/>
      <c r="G1" s="90" t="s">
        <v>73</v>
      </c>
      <c r="H1" s="90" t="s">
        <v>446</v>
      </c>
      <c r="J1" s="275" t="s">
        <v>391</v>
      </c>
      <c r="K1" s="275"/>
      <c r="L1" s="275"/>
      <c r="M1" s="275"/>
    </row>
    <row r="2" spans="1:19" x14ac:dyDescent="0.25">
      <c r="A2" s="235" t="s">
        <v>246</v>
      </c>
      <c r="B2" s="150">
        <v>2.1227299999999998</v>
      </c>
      <c r="C2" s="234" t="s">
        <v>409</v>
      </c>
      <c r="D2" s="234" t="s">
        <v>540</v>
      </c>
      <c r="E2" s="234" t="s">
        <v>398</v>
      </c>
      <c r="F2" s="239"/>
      <c r="H2" s="85"/>
      <c r="I2" s="85"/>
      <c r="J2" s="269" t="s">
        <v>394</v>
      </c>
      <c r="K2" s="269"/>
      <c r="L2" s="269"/>
      <c r="M2" s="269"/>
      <c r="N2" s="85"/>
      <c r="O2" s="85"/>
      <c r="P2" s="85"/>
      <c r="Q2" s="85"/>
      <c r="R2" s="85"/>
      <c r="S2" s="85"/>
    </row>
    <row r="3" spans="1:19" x14ac:dyDescent="0.25">
      <c r="A3" s="235" t="s">
        <v>233</v>
      </c>
      <c r="B3" s="150">
        <v>4.9863599999999996E-3</v>
      </c>
      <c r="C3" s="234" t="s">
        <v>409</v>
      </c>
      <c r="D3" s="234" t="s">
        <v>541</v>
      </c>
      <c r="E3" s="234" t="s">
        <v>398</v>
      </c>
      <c r="F3" s="239"/>
      <c r="H3" s="85"/>
      <c r="I3" s="85"/>
      <c r="J3" s="104" t="s">
        <v>399</v>
      </c>
      <c r="K3" s="104" t="s">
        <v>400</v>
      </c>
      <c r="L3" s="106" t="s">
        <v>387</v>
      </c>
      <c r="M3" s="107" t="s">
        <v>388</v>
      </c>
      <c r="N3" s="85"/>
      <c r="O3" s="85"/>
      <c r="P3" s="85"/>
      <c r="Q3" s="85"/>
      <c r="R3" s="85"/>
      <c r="S3" s="85"/>
    </row>
    <row r="4" spans="1:19" x14ac:dyDescent="0.25">
      <c r="A4" s="235" t="s">
        <v>542</v>
      </c>
      <c r="B4" s="150">
        <v>1.1852900000000001E-3</v>
      </c>
      <c r="C4" s="234" t="s">
        <v>409</v>
      </c>
      <c r="D4" s="234" t="s">
        <v>541</v>
      </c>
      <c r="E4" s="234" t="s">
        <v>398</v>
      </c>
      <c r="F4" s="239"/>
      <c r="H4" s="85"/>
      <c r="I4" s="85"/>
      <c r="J4" s="227" t="s">
        <v>172</v>
      </c>
      <c r="K4" s="227">
        <f>CornCult!K24</f>
        <v>1097400</v>
      </c>
      <c r="L4" s="228" t="s">
        <v>403</v>
      </c>
      <c r="M4" s="229" t="s">
        <v>543</v>
      </c>
      <c r="N4" s="85"/>
      <c r="O4" s="85"/>
      <c r="P4" s="85"/>
      <c r="Q4" s="85"/>
      <c r="R4" s="85"/>
      <c r="S4" s="85"/>
    </row>
    <row r="5" spans="1:19" x14ac:dyDescent="0.25">
      <c r="A5" s="235" t="s">
        <v>244</v>
      </c>
      <c r="B5" s="150">
        <v>1.9837800000000001E-3</v>
      </c>
      <c r="C5" s="234" t="s">
        <v>409</v>
      </c>
      <c r="D5" s="234" t="s">
        <v>541</v>
      </c>
      <c r="E5" s="234" t="s">
        <v>398</v>
      </c>
      <c r="F5" s="239"/>
      <c r="H5" s="85"/>
      <c r="I5" s="85"/>
      <c r="J5" s="235" t="s">
        <v>246</v>
      </c>
      <c r="K5" s="236">
        <f t="shared" ref="K5:K20" si="0">B2*$K$4</f>
        <v>2329483.9019999998</v>
      </c>
      <c r="L5" s="228" t="s">
        <v>403</v>
      </c>
      <c r="M5" s="234"/>
      <c r="N5" s="85"/>
      <c r="O5" s="85"/>
      <c r="P5" s="85"/>
      <c r="Q5" s="85"/>
      <c r="R5" s="85"/>
      <c r="S5" s="85"/>
    </row>
    <row r="6" spans="1:19" x14ac:dyDescent="0.25">
      <c r="A6" s="235" t="s">
        <v>163</v>
      </c>
      <c r="B6" s="150">
        <v>6.9556999999999996E-4</v>
      </c>
      <c r="C6" s="234" t="s">
        <v>409</v>
      </c>
      <c r="D6" s="234" t="s">
        <v>541</v>
      </c>
      <c r="E6" s="234" t="s">
        <v>398</v>
      </c>
      <c r="F6" s="239"/>
      <c r="H6" s="85"/>
      <c r="I6" s="85"/>
      <c r="J6" s="235" t="s">
        <v>233</v>
      </c>
      <c r="K6" s="236">
        <f t="shared" si="0"/>
        <v>5472.0314639999997</v>
      </c>
      <c r="L6" s="228" t="s">
        <v>403</v>
      </c>
      <c r="M6" s="234"/>
      <c r="N6" s="85"/>
      <c r="O6" s="85"/>
      <c r="P6" s="85"/>
      <c r="Q6" s="85"/>
      <c r="R6" s="85"/>
      <c r="S6" s="85"/>
    </row>
    <row r="7" spans="1:19" x14ac:dyDescent="0.25">
      <c r="A7" s="235" t="s">
        <v>191</v>
      </c>
      <c r="B7" s="150">
        <v>1.00467E-3</v>
      </c>
      <c r="C7" s="234" t="s">
        <v>409</v>
      </c>
      <c r="D7" s="234" t="s">
        <v>541</v>
      </c>
      <c r="E7" s="234" t="s">
        <v>398</v>
      </c>
      <c r="F7" s="239"/>
      <c r="H7" s="85"/>
      <c r="I7" s="85"/>
      <c r="J7" s="235" t="s">
        <v>542</v>
      </c>
      <c r="K7" s="236">
        <f t="shared" si="0"/>
        <v>1300.7372460000001</v>
      </c>
      <c r="L7" s="228" t="s">
        <v>403</v>
      </c>
      <c r="M7" s="234"/>
      <c r="N7" s="85"/>
      <c r="O7" s="85"/>
      <c r="P7" s="85"/>
      <c r="Q7" s="85"/>
      <c r="R7" s="85"/>
      <c r="S7" s="85"/>
    </row>
    <row r="8" spans="1:19" x14ac:dyDescent="0.25">
      <c r="A8" s="235" t="s">
        <v>241</v>
      </c>
      <c r="B8" s="150">
        <v>1.9837780734934156E-3</v>
      </c>
      <c r="C8" s="234" t="s">
        <v>409</v>
      </c>
      <c r="D8" s="234" t="s">
        <v>541</v>
      </c>
      <c r="E8" s="234" t="s">
        <v>398</v>
      </c>
      <c r="F8" s="239"/>
      <c r="H8" s="85"/>
      <c r="I8" s="85"/>
      <c r="J8" s="235" t="s">
        <v>244</v>
      </c>
      <c r="K8" s="236">
        <f t="shared" si="0"/>
        <v>2177.000172</v>
      </c>
      <c r="L8" s="228" t="s">
        <v>403</v>
      </c>
      <c r="M8" s="234"/>
      <c r="N8" s="85"/>
      <c r="O8" s="85"/>
      <c r="P8" s="85"/>
      <c r="Q8" s="85"/>
      <c r="R8" s="85"/>
      <c r="S8" s="85"/>
    </row>
    <row r="9" spans="1:19" x14ac:dyDescent="0.25">
      <c r="A9" s="235" t="s">
        <v>257</v>
      </c>
      <c r="B9" s="150">
        <v>1.8743823055297521E-4</v>
      </c>
      <c r="C9" s="234" t="s">
        <v>409</v>
      </c>
      <c r="D9" s="234" t="s">
        <v>541</v>
      </c>
      <c r="E9" s="234" t="s">
        <v>398</v>
      </c>
      <c r="F9" s="239"/>
      <c r="H9" s="85"/>
      <c r="I9" s="85"/>
      <c r="J9" s="235" t="s">
        <v>163</v>
      </c>
      <c r="K9" s="236">
        <f t="shared" si="0"/>
        <v>763.31851799999993</v>
      </c>
      <c r="L9" s="228" t="s">
        <v>403</v>
      </c>
      <c r="M9" s="234"/>
      <c r="N9" s="85"/>
      <c r="O9" s="85"/>
      <c r="P9" s="85"/>
      <c r="Q9" s="85"/>
      <c r="R9" s="85"/>
      <c r="S9" s="85"/>
    </row>
    <row r="10" spans="1:19" x14ac:dyDescent="0.25">
      <c r="A10" s="235" t="s">
        <v>268</v>
      </c>
      <c r="B10" s="150">
        <v>1.4532693306658814E-2</v>
      </c>
      <c r="C10" s="234" t="s">
        <v>409</v>
      </c>
      <c r="D10" s="234" t="s">
        <v>541</v>
      </c>
      <c r="E10" s="234" t="s">
        <v>398</v>
      </c>
      <c r="F10" s="239"/>
      <c r="H10" s="85"/>
      <c r="I10" s="85"/>
      <c r="J10" s="235" t="s">
        <v>191</v>
      </c>
      <c r="K10" s="236">
        <f t="shared" si="0"/>
        <v>1102.524858</v>
      </c>
      <c r="L10" s="228" t="s">
        <v>403</v>
      </c>
      <c r="M10" s="234"/>
      <c r="N10" s="85"/>
      <c r="O10" s="85"/>
      <c r="P10" s="85"/>
      <c r="Q10" s="85"/>
      <c r="R10" s="85"/>
      <c r="S10" s="85"/>
    </row>
    <row r="11" spans="1:19" x14ac:dyDescent="0.25">
      <c r="A11" s="235" t="s">
        <v>238</v>
      </c>
      <c r="B11" s="150">
        <v>0.92018</v>
      </c>
      <c r="C11" s="234" t="s">
        <v>409</v>
      </c>
      <c r="D11" s="234" t="s">
        <v>541</v>
      </c>
      <c r="E11" s="234" t="s">
        <v>398</v>
      </c>
      <c r="F11" s="239"/>
      <c r="H11" s="85"/>
      <c r="I11" s="85"/>
      <c r="J11" s="235" t="s">
        <v>241</v>
      </c>
      <c r="K11" s="236">
        <f t="shared" si="0"/>
        <v>2176.9980578516743</v>
      </c>
      <c r="L11" s="228" t="s">
        <v>403</v>
      </c>
      <c r="M11" s="234"/>
      <c r="N11" s="85"/>
      <c r="O11" s="85"/>
      <c r="P11" s="85"/>
      <c r="Q11" s="85"/>
      <c r="R11" s="85"/>
      <c r="S11" s="85"/>
    </row>
    <row r="12" spans="1:19" x14ac:dyDescent="0.25">
      <c r="A12" s="235" t="s">
        <v>246</v>
      </c>
      <c r="B12" s="150">
        <v>9.2148042199999995</v>
      </c>
      <c r="C12" s="234" t="s">
        <v>409</v>
      </c>
      <c r="D12" s="234" t="s">
        <v>541</v>
      </c>
      <c r="E12" s="234" t="s">
        <v>398</v>
      </c>
      <c r="F12" s="239"/>
      <c r="H12" s="85"/>
      <c r="I12" s="85"/>
      <c r="J12" s="235" t="s">
        <v>257</v>
      </c>
      <c r="K12" s="236">
        <f t="shared" si="0"/>
        <v>205.69471420883499</v>
      </c>
      <c r="L12" s="228" t="s">
        <v>403</v>
      </c>
      <c r="M12" s="234"/>
      <c r="N12" s="85"/>
      <c r="O12" s="85"/>
      <c r="P12" s="85"/>
      <c r="Q12" s="85"/>
      <c r="R12" s="85"/>
      <c r="S12" s="85"/>
    </row>
    <row r="13" spans="1:19" x14ac:dyDescent="0.25">
      <c r="A13" s="235" t="s">
        <v>270</v>
      </c>
      <c r="B13" s="150">
        <v>3.6165519000000002</v>
      </c>
      <c r="C13" s="234" t="s">
        <v>430</v>
      </c>
      <c r="D13" s="234" t="s">
        <v>541</v>
      </c>
      <c r="E13" s="234" t="s">
        <v>398</v>
      </c>
      <c r="F13" s="239"/>
      <c r="H13" s="85"/>
      <c r="I13" s="85"/>
      <c r="J13" s="235" t="s">
        <v>268</v>
      </c>
      <c r="K13" s="236">
        <f t="shared" si="0"/>
        <v>15948.177634727383</v>
      </c>
      <c r="L13" s="228" t="s">
        <v>403</v>
      </c>
      <c r="M13" s="234" t="s">
        <v>544</v>
      </c>
      <c r="N13" s="85"/>
      <c r="O13" s="85"/>
      <c r="P13" s="85"/>
      <c r="Q13" s="85"/>
      <c r="R13" s="85"/>
      <c r="S13" s="85"/>
    </row>
    <row r="14" spans="1:19" x14ac:dyDescent="0.25">
      <c r="A14" s="235" t="s">
        <v>426</v>
      </c>
      <c r="B14" s="150">
        <v>0.30755676599999998</v>
      </c>
      <c r="C14" s="234" t="s">
        <v>430</v>
      </c>
      <c r="D14" s="234" t="s">
        <v>541</v>
      </c>
      <c r="E14" s="234" t="s">
        <v>398</v>
      </c>
      <c r="F14" s="239"/>
      <c r="H14" s="85"/>
      <c r="I14" s="85"/>
      <c r="J14" s="235" t="s">
        <v>238</v>
      </c>
      <c r="K14" s="236">
        <f t="shared" si="0"/>
        <v>1009805.532</v>
      </c>
      <c r="L14" s="228" t="s">
        <v>403</v>
      </c>
      <c r="M14" s="234"/>
      <c r="N14" s="85"/>
      <c r="O14" s="85"/>
      <c r="P14" s="85"/>
      <c r="Q14" s="85"/>
      <c r="R14" s="85"/>
      <c r="S14" s="85"/>
    </row>
    <row r="15" spans="1:19" x14ac:dyDescent="0.25">
      <c r="A15" s="235" t="s">
        <v>150</v>
      </c>
      <c r="B15" s="150">
        <v>2.669</v>
      </c>
      <c r="C15" s="234" t="s">
        <v>545</v>
      </c>
      <c r="D15" s="234" t="s">
        <v>541</v>
      </c>
      <c r="E15" s="234" t="s">
        <v>398</v>
      </c>
      <c r="F15" s="239"/>
      <c r="H15" s="85"/>
      <c r="I15" s="85"/>
      <c r="J15" s="235" t="s">
        <v>546</v>
      </c>
      <c r="K15" s="236">
        <f t="shared" si="0"/>
        <v>10112326.151028</v>
      </c>
      <c r="L15" s="228" t="s">
        <v>403</v>
      </c>
      <c r="M15" s="234"/>
      <c r="N15" s="85"/>
      <c r="O15" s="85"/>
      <c r="P15" s="85"/>
      <c r="Q15" s="85"/>
      <c r="R15" s="85"/>
      <c r="S15" s="85"/>
    </row>
    <row r="16" spans="1:19" x14ac:dyDescent="0.25">
      <c r="A16" s="235" t="s">
        <v>395</v>
      </c>
      <c r="B16" s="150">
        <v>0</v>
      </c>
      <c r="C16" s="234" t="s">
        <v>545</v>
      </c>
      <c r="D16" s="234" t="s">
        <v>547</v>
      </c>
      <c r="E16" s="234" t="s">
        <v>398</v>
      </c>
      <c r="F16" s="239"/>
      <c r="H16" s="85"/>
      <c r="I16" s="85"/>
      <c r="J16" s="235" t="s">
        <v>270</v>
      </c>
      <c r="K16" s="236">
        <f t="shared" si="0"/>
        <v>3968804.0550600002</v>
      </c>
      <c r="L16" s="247" t="s">
        <v>427</v>
      </c>
      <c r="M16" s="234"/>
      <c r="N16" s="85"/>
      <c r="O16" s="85"/>
      <c r="P16" s="85"/>
      <c r="Q16" s="85"/>
      <c r="R16" s="85"/>
      <c r="S16" s="85"/>
    </row>
    <row r="17" spans="1:19" x14ac:dyDescent="0.25">
      <c r="A17" s="235" t="s">
        <v>152</v>
      </c>
      <c r="B17" s="150">
        <v>2.5649999999999999E-2</v>
      </c>
      <c r="C17" s="234" t="s">
        <v>545</v>
      </c>
      <c r="D17" s="234" t="s">
        <v>541</v>
      </c>
      <c r="E17" s="234" t="s">
        <v>398</v>
      </c>
      <c r="F17" s="239"/>
      <c r="H17" s="85"/>
      <c r="I17" s="85"/>
      <c r="J17" s="235" t="s">
        <v>426</v>
      </c>
      <c r="K17" s="236">
        <f t="shared" si="0"/>
        <v>337512.79500839999</v>
      </c>
      <c r="L17" s="247" t="s">
        <v>427</v>
      </c>
      <c r="M17" s="234"/>
      <c r="N17" s="85"/>
      <c r="O17" s="85"/>
      <c r="P17" s="85"/>
      <c r="Q17" s="85"/>
      <c r="R17" s="85"/>
      <c r="S17" s="85"/>
    </row>
    <row r="18" spans="1:19" x14ac:dyDescent="0.25">
      <c r="A18" s="235" t="s">
        <v>341</v>
      </c>
      <c r="B18" s="150">
        <v>0.31704033300000001</v>
      </c>
      <c r="C18" s="234" t="s">
        <v>409</v>
      </c>
      <c r="D18" s="234" t="s">
        <v>541</v>
      </c>
      <c r="E18" s="234" t="s">
        <v>419</v>
      </c>
      <c r="F18" s="239"/>
      <c r="H18" s="85"/>
      <c r="I18" s="85"/>
      <c r="J18" s="235" t="s">
        <v>150</v>
      </c>
      <c r="K18" s="236">
        <f t="shared" si="0"/>
        <v>2928960.6</v>
      </c>
      <c r="L18" s="247" t="s">
        <v>428</v>
      </c>
      <c r="M18" s="234"/>
      <c r="N18" s="85"/>
      <c r="O18" s="85"/>
      <c r="P18" s="85"/>
      <c r="Q18" s="85"/>
      <c r="R18" s="85"/>
      <c r="S18" s="85"/>
    </row>
    <row r="19" spans="1:19" x14ac:dyDescent="0.25">
      <c r="A19" s="248" t="s">
        <v>309</v>
      </c>
      <c r="B19" s="150">
        <v>0.33</v>
      </c>
      <c r="C19" s="234" t="s">
        <v>409</v>
      </c>
      <c r="D19" s="234" t="s">
        <v>541</v>
      </c>
      <c r="E19" s="234" t="s">
        <v>419</v>
      </c>
      <c r="F19" s="239"/>
      <c r="H19" s="85"/>
      <c r="I19" s="85"/>
      <c r="J19" s="235" t="s">
        <v>395</v>
      </c>
      <c r="K19" s="236">
        <f t="shared" si="0"/>
        <v>0</v>
      </c>
      <c r="L19" s="247" t="s">
        <v>428</v>
      </c>
      <c r="M19" s="234"/>
      <c r="N19" s="85"/>
      <c r="O19" s="85"/>
      <c r="P19" s="85"/>
      <c r="Q19" s="85"/>
      <c r="R19" s="85"/>
      <c r="S19" s="85"/>
    </row>
    <row r="20" spans="1:19" x14ac:dyDescent="0.25">
      <c r="A20" s="239"/>
      <c r="B20" s="239"/>
      <c r="C20" s="239"/>
      <c r="D20" s="239"/>
      <c r="E20" s="239"/>
      <c r="F20" s="239"/>
      <c r="H20" s="85"/>
      <c r="I20" s="85"/>
      <c r="J20" s="235" t="s">
        <v>152</v>
      </c>
      <c r="K20" s="236">
        <f t="shared" si="0"/>
        <v>28148.309999999998</v>
      </c>
      <c r="L20" s="247" t="s">
        <v>429</v>
      </c>
      <c r="M20" s="234"/>
      <c r="N20" s="85"/>
      <c r="O20" s="85"/>
      <c r="P20" s="85"/>
      <c r="Q20" s="85"/>
      <c r="R20" s="85"/>
      <c r="S20" s="85"/>
    </row>
    <row r="21" spans="1:19" x14ac:dyDescent="0.25">
      <c r="E21" s="239"/>
      <c r="F21" s="239"/>
      <c r="H21" s="85"/>
      <c r="I21" s="85"/>
      <c r="J21" s="239"/>
      <c r="K21" s="239"/>
      <c r="L21" s="239"/>
      <c r="M21" s="239"/>
      <c r="N21" s="85"/>
      <c r="O21" s="85"/>
      <c r="P21" s="85"/>
      <c r="Q21" s="85"/>
      <c r="R21" s="85"/>
      <c r="S21" s="85"/>
    </row>
    <row r="22" spans="1:19" x14ac:dyDescent="0.25">
      <c r="E22" s="239"/>
      <c r="F22" s="239"/>
      <c r="H22" s="85"/>
      <c r="I22" s="85"/>
      <c r="J22" s="269" t="s">
        <v>434</v>
      </c>
      <c r="K22" s="269"/>
      <c r="L22" s="269"/>
      <c r="M22" s="269"/>
      <c r="N22" s="85"/>
      <c r="O22" s="85"/>
      <c r="P22" s="85"/>
      <c r="Q22" s="85"/>
      <c r="R22" s="85"/>
      <c r="S22" s="85"/>
    </row>
    <row r="23" spans="1:19" x14ac:dyDescent="0.25">
      <c r="E23" s="239"/>
      <c r="F23" s="239"/>
      <c r="H23" s="85"/>
      <c r="I23" s="85"/>
      <c r="J23" s="104" t="s">
        <v>399</v>
      </c>
      <c r="K23" s="104" t="s">
        <v>400</v>
      </c>
      <c r="L23" s="106" t="s">
        <v>387</v>
      </c>
      <c r="M23" s="107" t="s">
        <v>388</v>
      </c>
      <c r="N23" s="85"/>
      <c r="O23" s="85"/>
      <c r="P23" s="85"/>
      <c r="Q23" s="85"/>
      <c r="R23" s="85"/>
      <c r="S23" s="85"/>
    </row>
    <row r="24" spans="1:19" x14ac:dyDescent="0.25">
      <c r="E24" s="239"/>
      <c r="F24" s="239"/>
      <c r="H24" s="85"/>
      <c r="I24" s="85"/>
      <c r="J24" s="235" t="s">
        <v>341</v>
      </c>
      <c r="K24" s="236">
        <f>(B18*K4)+(K13)</f>
        <v>363868.23906892742</v>
      </c>
      <c r="L24" s="234" t="s">
        <v>403</v>
      </c>
      <c r="M24" s="234" t="s">
        <v>437</v>
      </c>
      <c r="N24" s="85"/>
      <c r="O24" s="85"/>
      <c r="P24" s="85"/>
      <c r="Q24" s="85"/>
      <c r="R24" s="85"/>
      <c r="S24" s="85"/>
    </row>
    <row r="25" spans="1:19" x14ac:dyDescent="0.25">
      <c r="E25" s="239"/>
      <c r="F25" s="239"/>
      <c r="H25" s="85"/>
      <c r="I25" s="85"/>
      <c r="J25" s="235" t="s">
        <v>309</v>
      </c>
      <c r="K25" s="234">
        <f>B19*K4</f>
        <v>362142</v>
      </c>
      <c r="L25" s="234" t="s">
        <v>403</v>
      </c>
      <c r="M25" s="234"/>
      <c r="N25" s="85"/>
      <c r="O25" s="85"/>
      <c r="P25" s="85"/>
      <c r="Q25" s="85"/>
      <c r="R25" s="85"/>
      <c r="S25" s="85"/>
    </row>
    <row r="26" spans="1:19" x14ac:dyDescent="0.25">
      <c r="E26" s="239"/>
      <c r="F26" s="239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</row>
    <row r="27" spans="1:19" x14ac:dyDescent="0.25">
      <c r="E27" s="239"/>
      <c r="F27" s="239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</row>
    <row r="28" spans="1:19" x14ac:dyDescent="0.25">
      <c r="E28" s="239"/>
      <c r="F28" s="239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</row>
    <row r="29" spans="1:19" x14ac:dyDescent="0.25">
      <c r="E29" s="239"/>
      <c r="F29" s="239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</row>
    <row r="30" spans="1:19" x14ac:dyDescent="0.25">
      <c r="E30" s="239"/>
      <c r="F30" s="239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</row>
    <row r="31" spans="1:19" x14ac:dyDescent="0.25">
      <c r="E31" s="239"/>
      <c r="F31" s="239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</row>
    <row r="32" spans="1:19" x14ac:dyDescent="0.25">
      <c r="E32" s="239"/>
      <c r="F32" s="239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</row>
    <row r="33" spans="5:6" x14ac:dyDescent="0.25">
      <c r="E33" s="239"/>
      <c r="F33" s="239"/>
    </row>
    <row r="34" spans="5:6" x14ac:dyDescent="0.25">
      <c r="E34" s="239"/>
      <c r="F34" s="239"/>
    </row>
    <row r="35" spans="5:6" x14ac:dyDescent="0.25">
      <c r="E35" s="239"/>
      <c r="F35" s="239"/>
    </row>
    <row r="36" spans="5:6" x14ac:dyDescent="0.25">
      <c r="E36" s="239"/>
      <c r="F36" s="239"/>
    </row>
    <row r="37" spans="5:6" x14ac:dyDescent="0.25">
      <c r="E37" s="239"/>
      <c r="F37" s="239"/>
    </row>
    <row r="38" spans="5:6" x14ac:dyDescent="0.25">
      <c r="E38" s="239"/>
      <c r="F38" s="239"/>
    </row>
    <row r="39" spans="5:6" x14ac:dyDescent="0.25">
      <c r="E39" s="239"/>
      <c r="F39" s="239"/>
    </row>
    <row r="40" spans="5:6" x14ac:dyDescent="0.25">
      <c r="E40" s="239"/>
      <c r="F40" s="239"/>
    </row>
    <row r="41" spans="5:6" x14ac:dyDescent="0.25">
      <c r="E41" s="239"/>
      <c r="F41" s="249"/>
    </row>
    <row r="42" spans="5:6" x14ac:dyDescent="0.25">
      <c r="E42" s="239"/>
      <c r="F42" s="249"/>
    </row>
    <row r="43" spans="5:6" x14ac:dyDescent="0.25">
      <c r="E43" s="239"/>
      <c r="F43" s="249"/>
    </row>
    <row r="44" spans="5:6" x14ac:dyDescent="0.25">
      <c r="E44" s="239"/>
      <c r="F44" s="239"/>
    </row>
    <row r="45" spans="5:6" x14ac:dyDescent="0.25">
      <c r="E45" s="239"/>
      <c r="F45" s="239"/>
    </row>
  </sheetData>
  <mergeCells count="1">
    <mergeCell ref="J1:M1"/>
  </mergeCells>
  <phoneticPr fontId="19" type="noConversion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97B4-C01D-8A4E-850A-F17A800B59CB}">
  <sheetPr codeName="Sheet17"/>
  <dimension ref="A1:N39"/>
  <sheetViews>
    <sheetView zoomScale="150" zoomScaleNormal="150" workbookViewId="0">
      <selection activeCell="C24" sqref="C24"/>
    </sheetView>
  </sheetViews>
  <sheetFormatPr defaultColWidth="11" defaultRowHeight="15.75" x14ac:dyDescent="0.25"/>
  <cols>
    <col min="1" max="1" width="27.5" style="5" customWidth="1"/>
    <col min="2" max="2" width="17.5" customWidth="1"/>
    <col min="3" max="3" width="21.25" customWidth="1"/>
    <col min="4" max="4" width="62.5" customWidth="1"/>
  </cols>
  <sheetData>
    <row r="1" spans="1:14" ht="18.75" x14ac:dyDescent="0.3">
      <c r="A1" s="104" t="s">
        <v>385</v>
      </c>
      <c r="B1" s="152" t="s">
        <v>386</v>
      </c>
      <c r="C1" s="153" t="s">
        <v>387</v>
      </c>
      <c r="D1" s="153" t="s">
        <v>388</v>
      </c>
      <c r="E1" s="153" t="s">
        <v>389</v>
      </c>
      <c r="G1" s="149" t="s">
        <v>73</v>
      </c>
      <c r="H1" s="90" t="s">
        <v>446</v>
      </c>
      <c r="K1" s="275" t="s">
        <v>391</v>
      </c>
      <c r="L1" s="275"/>
      <c r="M1" s="275"/>
      <c r="N1" s="275"/>
    </row>
    <row r="2" spans="1:14" x14ac:dyDescent="0.25">
      <c r="A2" s="227" t="s">
        <v>246</v>
      </c>
      <c r="B2" s="154">
        <v>1.431203</v>
      </c>
      <c r="C2" s="234" t="s">
        <v>409</v>
      </c>
      <c r="D2" s="234" t="s">
        <v>548</v>
      </c>
      <c r="E2" s="234" t="s">
        <v>398</v>
      </c>
      <c r="K2" s="269" t="s">
        <v>394</v>
      </c>
      <c r="L2" s="269"/>
      <c r="M2" s="269"/>
      <c r="N2" s="269"/>
    </row>
    <row r="3" spans="1:14" x14ac:dyDescent="0.25">
      <c r="A3" s="235" t="s">
        <v>241</v>
      </c>
      <c r="B3" s="154">
        <v>1.90139E-2</v>
      </c>
      <c r="C3" s="234" t="s">
        <v>409</v>
      </c>
      <c r="D3" s="234" t="s">
        <v>548</v>
      </c>
      <c r="E3" s="234" t="s">
        <v>398</v>
      </c>
      <c r="K3" s="104" t="s">
        <v>399</v>
      </c>
      <c r="L3" s="104" t="s">
        <v>400</v>
      </c>
      <c r="M3" s="106" t="s">
        <v>387</v>
      </c>
      <c r="N3" s="107" t="s">
        <v>388</v>
      </c>
    </row>
    <row r="4" spans="1:14" x14ac:dyDescent="0.25">
      <c r="A4" s="235" t="s">
        <v>165</v>
      </c>
      <c r="B4" s="154">
        <v>1.1192199999999999E-2</v>
      </c>
      <c r="C4" s="234" t="s">
        <v>409</v>
      </c>
      <c r="D4" s="234" t="s">
        <v>548</v>
      </c>
      <c r="E4" s="234" t="s">
        <v>398</v>
      </c>
      <c r="K4" s="227" t="s">
        <v>177</v>
      </c>
      <c r="L4" s="227">
        <f>CornCult!K25</f>
        <v>493830</v>
      </c>
      <c r="M4" s="234" t="s">
        <v>403</v>
      </c>
      <c r="N4" s="229" t="s">
        <v>543</v>
      </c>
    </row>
    <row r="5" spans="1:14" x14ac:dyDescent="0.25">
      <c r="A5" s="235" t="s">
        <v>179</v>
      </c>
      <c r="B5" s="154">
        <v>1.1110399999999999E-2</v>
      </c>
      <c r="C5" s="234" t="s">
        <v>409</v>
      </c>
      <c r="D5" s="234" t="s">
        <v>548</v>
      </c>
      <c r="E5" s="234" t="s">
        <v>398</v>
      </c>
      <c r="K5" s="227" t="s">
        <v>246</v>
      </c>
      <c r="L5" s="236">
        <f t="shared" ref="L5:L19" si="0">B2*$L$4</f>
        <v>706770.97748999996</v>
      </c>
      <c r="M5" s="234" t="s">
        <v>403</v>
      </c>
      <c r="N5" s="234"/>
    </row>
    <row r="6" spans="1:14" x14ac:dyDescent="0.25">
      <c r="A6" s="235" t="s">
        <v>549</v>
      </c>
      <c r="B6" s="154">
        <v>1.3641E-3</v>
      </c>
      <c r="C6" s="234" t="s">
        <v>409</v>
      </c>
      <c r="D6" s="234" t="s">
        <v>548</v>
      </c>
      <c r="E6" s="234" t="s">
        <v>398</v>
      </c>
      <c r="K6" s="235" t="s">
        <v>241</v>
      </c>
      <c r="L6" s="236">
        <f t="shared" si="0"/>
        <v>9389.6342370000002</v>
      </c>
      <c r="M6" s="234" t="s">
        <v>403</v>
      </c>
      <c r="N6" s="234"/>
    </row>
    <row r="7" spans="1:14" x14ac:dyDescent="0.25">
      <c r="A7" s="235" t="s">
        <v>193</v>
      </c>
      <c r="B7" s="154">
        <v>2.3215199999999998E-2</v>
      </c>
      <c r="C7" s="234" t="s">
        <v>409</v>
      </c>
      <c r="D7" s="234" t="s">
        <v>548</v>
      </c>
      <c r="E7" s="234" t="s">
        <v>398</v>
      </c>
      <c r="K7" s="235" t="s">
        <v>165</v>
      </c>
      <c r="L7" s="236">
        <f t="shared" si="0"/>
        <v>5527.0441259999998</v>
      </c>
      <c r="M7" s="234" t="s">
        <v>403</v>
      </c>
      <c r="N7" s="234"/>
    </row>
    <row r="8" spans="1:14" x14ac:dyDescent="0.25">
      <c r="A8" s="235" t="s">
        <v>550</v>
      </c>
      <c r="B8" s="154">
        <v>1.5760000000000001E-4</v>
      </c>
      <c r="C8" s="234" t="s">
        <v>409</v>
      </c>
      <c r="D8" s="234" t="s">
        <v>548</v>
      </c>
      <c r="E8" s="234" t="s">
        <v>398</v>
      </c>
      <c r="K8" s="235" t="s">
        <v>179</v>
      </c>
      <c r="L8" s="236">
        <f t="shared" si="0"/>
        <v>5486.6488319999999</v>
      </c>
      <c r="M8" s="234" t="s">
        <v>403</v>
      </c>
      <c r="N8" s="234"/>
    </row>
    <row r="9" spans="1:14" x14ac:dyDescent="0.25">
      <c r="A9" s="235" t="s">
        <v>233</v>
      </c>
      <c r="B9" s="154">
        <v>2.16159E-2</v>
      </c>
      <c r="C9" s="234" t="s">
        <v>409</v>
      </c>
      <c r="D9" s="234" t="s">
        <v>548</v>
      </c>
      <c r="E9" s="234" t="s">
        <v>398</v>
      </c>
      <c r="K9" s="235" t="s">
        <v>549</v>
      </c>
      <c r="L9" s="236">
        <f t="shared" si="0"/>
        <v>673.63350300000002</v>
      </c>
      <c r="M9" s="234" t="s">
        <v>403</v>
      </c>
      <c r="N9" s="234"/>
    </row>
    <row r="10" spans="1:14" x14ac:dyDescent="0.25">
      <c r="A10" s="235" t="s">
        <v>542</v>
      </c>
      <c r="B10" s="154">
        <v>8.4915000000000008E-3</v>
      </c>
      <c r="C10" s="234" t="s">
        <v>409</v>
      </c>
      <c r="D10" s="234" t="s">
        <v>548</v>
      </c>
      <c r="E10" s="234" t="s">
        <v>398</v>
      </c>
      <c r="K10" s="235" t="s">
        <v>193</v>
      </c>
      <c r="L10" s="236">
        <f t="shared" si="0"/>
        <v>11464.362216</v>
      </c>
      <c r="M10" s="234" t="s">
        <v>403</v>
      </c>
      <c r="N10" s="234"/>
    </row>
    <row r="11" spans="1:14" x14ac:dyDescent="0.25">
      <c r="A11" s="235" t="s">
        <v>268</v>
      </c>
      <c r="B11" s="154">
        <v>2.444E-2</v>
      </c>
      <c r="C11" s="234" t="s">
        <v>409</v>
      </c>
      <c r="D11" s="234" t="s">
        <v>548</v>
      </c>
      <c r="E11" s="234" t="s">
        <v>398</v>
      </c>
      <c r="K11" s="235" t="s">
        <v>550</v>
      </c>
      <c r="L11" s="236">
        <f t="shared" si="0"/>
        <v>77.827607999999998</v>
      </c>
      <c r="M11" s="234" t="s">
        <v>403</v>
      </c>
      <c r="N11" s="234"/>
    </row>
    <row r="12" spans="1:14" x14ac:dyDescent="0.25">
      <c r="A12" s="235" t="s">
        <v>270</v>
      </c>
      <c r="B12" s="154">
        <v>0</v>
      </c>
      <c r="C12" s="234" t="s">
        <v>430</v>
      </c>
      <c r="D12" s="234" t="s">
        <v>551</v>
      </c>
      <c r="E12" s="234" t="s">
        <v>398</v>
      </c>
      <c r="K12" s="235" t="s">
        <v>233</v>
      </c>
      <c r="L12" s="236">
        <f t="shared" si="0"/>
        <v>10674.579897</v>
      </c>
      <c r="M12" s="234" t="s">
        <v>403</v>
      </c>
      <c r="N12" s="234"/>
    </row>
    <row r="13" spans="1:14" x14ac:dyDescent="0.25">
      <c r="A13" s="235" t="s">
        <v>426</v>
      </c>
      <c r="B13" s="154">
        <v>0.68386449400000004</v>
      </c>
      <c r="C13" s="234" t="s">
        <v>430</v>
      </c>
      <c r="D13" s="234" t="s">
        <v>548</v>
      </c>
      <c r="E13" s="234" t="s">
        <v>398</v>
      </c>
      <c r="K13" s="235" t="s">
        <v>542</v>
      </c>
      <c r="L13" s="236">
        <f t="shared" si="0"/>
        <v>4193.3574450000006</v>
      </c>
      <c r="M13" s="234" t="s">
        <v>403</v>
      </c>
      <c r="N13" s="234"/>
    </row>
    <row r="14" spans="1:14" x14ac:dyDescent="0.25">
      <c r="A14" s="235" t="s">
        <v>150</v>
      </c>
      <c r="B14" s="154">
        <v>0.43969999999999998</v>
      </c>
      <c r="C14" s="234" t="s">
        <v>545</v>
      </c>
      <c r="D14" s="234" t="s">
        <v>548</v>
      </c>
      <c r="E14" s="234" t="s">
        <v>398</v>
      </c>
      <c r="K14" s="235" t="s">
        <v>268</v>
      </c>
      <c r="L14" s="236">
        <f t="shared" si="0"/>
        <v>12069.2052</v>
      </c>
      <c r="M14" s="234" t="s">
        <v>403</v>
      </c>
      <c r="N14" s="234"/>
    </row>
    <row r="15" spans="1:14" x14ac:dyDescent="0.25">
      <c r="A15" s="235" t="s">
        <v>395</v>
      </c>
      <c r="B15" s="154">
        <v>2.025205E-3</v>
      </c>
      <c r="C15" s="234" t="s">
        <v>545</v>
      </c>
      <c r="D15" s="234" t="s">
        <v>548</v>
      </c>
      <c r="E15" s="234" t="s">
        <v>398</v>
      </c>
      <c r="K15" s="235" t="s">
        <v>270</v>
      </c>
      <c r="L15" s="236">
        <f t="shared" si="0"/>
        <v>0</v>
      </c>
      <c r="M15" s="234" t="s">
        <v>427</v>
      </c>
      <c r="N15" s="234"/>
    </row>
    <row r="16" spans="1:14" x14ac:dyDescent="0.25">
      <c r="A16" s="235" t="s">
        <v>152</v>
      </c>
      <c r="B16" s="154">
        <v>2.8186299999999999E-3</v>
      </c>
      <c r="C16" s="234" t="s">
        <v>545</v>
      </c>
      <c r="D16" s="234" t="s">
        <v>548</v>
      </c>
      <c r="E16" s="234" t="s">
        <v>398</v>
      </c>
      <c r="K16" s="235" t="s">
        <v>426</v>
      </c>
      <c r="L16" s="236">
        <f t="shared" si="0"/>
        <v>337712.80307202</v>
      </c>
      <c r="M16" s="234" t="s">
        <v>427</v>
      </c>
      <c r="N16" s="234"/>
    </row>
    <row r="17" spans="1:14" x14ac:dyDescent="0.25">
      <c r="A17" s="235" t="s">
        <v>341</v>
      </c>
      <c r="B17" s="150">
        <v>0.20808320999999999</v>
      </c>
      <c r="C17" s="234" t="s">
        <v>409</v>
      </c>
      <c r="D17" s="234" t="s">
        <v>548</v>
      </c>
      <c r="E17" s="234" t="s">
        <v>419</v>
      </c>
      <c r="K17" s="235" t="s">
        <v>150</v>
      </c>
      <c r="L17" s="236">
        <f t="shared" si="0"/>
        <v>217137.05099999998</v>
      </c>
      <c r="M17" s="234" t="s">
        <v>428</v>
      </c>
      <c r="N17" s="234"/>
    </row>
    <row r="18" spans="1:14" x14ac:dyDescent="0.25">
      <c r="A18" s="235" t="s">
        <v>426</v>
      </c>
      <c r="B18" s="150">
        <v>1.0012300000000001</v>
      </c>
      <c r="C18" s="234" t="s">
        <v>430</v>
      </c>
      <c r="D18" s="234" t="s">
        <v>548</v>
      </c>
      <c r="E18" s="234" t="s">
        <v>419</v>
      </c>
      <c r="K18" s="235" t="s">
        <v>395</v>
      </c>
      <c r="L18" s="236">
        <f t="shared" si="0"/>
        <v>1000.10698515</v>
      </c>
      <c r="M18" s="234" t="s">
        <v>428</v>
      </c>
      <c r="N18" s="234"/>
    </row>
    <row r="19" spans="1:14" x14ac:dyDescent="0.25">
      <c r="A19" s="238"/>
      <c r="B19" s="239"/>
      <c r="C19" s="239"/>
      <c r="D19" s="239"/>
      <c r="E19" s="239"/>
      <c r="K19" s="235" t="s">
        <v>152</v>
      </c>
      <c r="L19" s="236">
        <f t="shared" si="0"/>
        <v>1391.9240528999999</v>
      </c>
      <c r="M19" s="234" t="s">
        <v>429</v>
      </c>
      <c r="N19" s="234"/>
    </row>
    <row r="20" spans="1:14" x14ac:dyDescent="0.25">
      <c r="E20" s="239"/>
      <c r="K20" s="238"/>
      <c r="L20" s="239"/>
      <c r="M20" s="239"/>
      <c r="N20" s="239"/>
    </row>
    <row r="21" spans="1:14" x14ac:dyDescent="0.25">
      <c r="E21" s="239"/>
      <c r="K21" s="269" t="s">
        <v>434</v>
      </c>
      <c r="L21" s="269"/>
      <c r="M21" s="269"/>
      <c r="N21" s="269"/>
    </row>
    <row r="22" spans="1:14" x14ac:dyDescent="0.25">
      <c r="E22" s="239"/>
      <c r="K22" s="104" t="s">
        <v>399</v>
      </c>
      <c r="L22" s="104" t="s">
        <v>400</v>
      </c>
      <c r="M22" s="106" t="s">
        <v>387</v>
      </c>
      <c r="N22" s="107" t="s">
        <v>388</v>
      </c>
    </row>
    <row r="23" spans="1:14" x14ac:dyDescent="0.25">
      <c r="E23" s="239"/>
      <c r="K23" s="235" t="s">
        <v>341</v>
      </c>
      <c r="L23" s="236">
        <f>($L$4*B17)+L14</f>
        <v>114826.9367943</v>
      </c>
      <c r="M23" s="250" t="s">
        <v>403</v>
      </c>
      <c r="N23" s="234" t="s">
        <v>437</v>
      </c>
    </row>
    <row r="24" spans="1:14" x14ac:dyDescent="0.25">
      <c r="E24" s="239"/>
      <c r="K24" s="235" t="s">
        <v>426</v>
      </c>
      <c r="L24" s="236">
        <f>$L$4*B18</f>
        <v>494437.41090000002</v>
      </c>
      <c r="M24" s="250" t="s">
        <v>427</v>
      </c>
      <c r="N24" s="234"/>
    </row>
    <row r="25" spans="1:14" x14ac:dyDescent="0.25">
      <c r="E25" s="239"/>
    </row>
    <row r="26" spans="1:14" x14ac:dyDescent="0.25">
      <c r="E26" s="239"/>
    </row>
    <row r="27" spans="1:14" x14ac:dyDescent="0.25">
      <c r="E27" s="239"/>
    </row>
    <row r="28" spans="1:14" x14ac:dyDescent="0.25">
      <c r="E28" s="239"/>
    </row>
    <row r="29" spans="1:14" x14ac:dyDescent="0.25">
      <c r="E29" s="239"/>
    </row>
    <row r="30" spans="1:14" x14ac:dyDescent="0.25">
      <c r="E30" s="239"/>
    </row>
    <row r="31" spans="1:14" x14ac:dyDescent="0.25">
      <c r="E31" s="239"/>
    </row>
    <row r="32" spans="1:14" x14ac:dyDescent="0.25">
      <c r="E32" s="239"/>
    </row>
    <row r="33" spans="5:5" x14ac:dyDescent="0.25">
      <c r="E33" s="239"/>
    </row>
    <row r="34" spans="5:5" x14ac:dyDescent="0.25">
      <c r="E34" s="239"/>
    </row>
    <row r="35" spans="5:5" x14ac:dyDescent="0.25">
      <c r="E35" s="239"/>
    </row>
    <row r="36" spans="5:5" x14ac:dyDescent="0.25">
      <c r="E36" s="239"/>
    </row>
    <row r="37" spans="5:5" x14ac:dyDescent="0.25">
      <c r="E37" s="239"/>
    </row>
    <row r="38" spans="5:5" x14ac:dyDescent="0.25">
      <c r="E38" s="239"/>
    </row>
    <row r="39" spans="5:5" x14ac:dyDescent="0.25">
      <c r="E39" s="239"/>
    </row>
  </sheetData>
  <mergeCells count="1">
    <mergeCell ref="K1:N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2DB0-A6CA-3344-9EB2-BF98A1935E23}">
  <sheetPr codeName="Sheet18"/>
  <dimension ref="A1:E41"/>
  <sheetViews>
    <sheetView workbookViewId="0">
      <selection activeCell="D6" sqref="D6"/>
    </sheetView>
  </sheetViews>
  <sheetFormatPr defaultColWidth="11" defaultRowHeight="15.75" x14ac:dyDescent="0.25"/>
  <cols>
    <col min="1" max="1" width="30.125" customWidth="1"/>
    <col min="2" max="2" width="12.75" bestFit="1" customWidth="1"/>
    <col min="3" max="3" width="49.5" customWidth="1"/>
    <col min="4" max="4" width="78.375" bestFit="1" customWidth="1"/>
    <col min="5" max="5" width="3.875" bestFit="1" customWidth="1"/>
  </cols>
  <sheetData>
    <row r="1" spans="1:5" ht="18.75" x14ac:dyDescent="0.3">
      <c r="A1" s="149" t="s">
        <v>73</v>
      </c>
      <c r="B1" s="90" t="s">
        <v>552</v>
      </c>
    </row>
    <row r="2" spans="1:5" x14ac:dyDescent="0.25">
      <c r="A2" s="104" t="s">
        <v>385</v>
      </c>
      <c r="B2" s="152" t="s">
        <v>386</v>
      </c>
      <c r="C2" s="153" t="s">
        <v>387</v>
      </c>
      <c r="D2" s="153" t="s">
        <v>388</v>
      </c>
      <c r="E2" s="153" t="s">
        <v>389</v>
      </c>
    </row>
    <row r="3" spans="1:5" x14ac:dyDescent="0.25">
      <c r="A3" s="156" t="s">
        <v>553</v>
      </c>
      <c r="B3" s="160">
        <v>350</v>
      </c>
      <c r="C3" s="157" t="s">
        <v>554</v>
      </c>
      <c r="D3" s="234"/>
      <c r="E3" s="234" t="s">
        <v>398</v>
      </c>
    </row>
    <row r="4" spans="1:5" x14ac:dyDescent="0.25">
      <c r="A4" s="158" t="s">
        <v>555</v>
      </c>
      <c r="B4" s="161">
        <v>3</v>
      </c>
      <c r="C4" s="159" t="s">
        <v>556</v>
      </c>
      <c r="D4" s="234"/>
      <c r="E4" s="234" t="s">
        <v>398</v>
      </c>
    </row>
    <row r="5" spans="1:5" x14ac:dyDescent="0.25">
      <c r="A5" s="158" t="s">
        <v>557</v>
      </c>
      <c r="B5" s="161">
        <v>8</v>
      </c>
      <c r="C5" s="159" t="s">
        <v>558</v>
      </c>
      <c r="D5" s="234"/>
      <c r="E5" s="234" t="s">
        <v>398</v>
      </c>
    </row>
    <row r="6" spans="1:5" x14ac:dyDescent="0.25">
      <c r="A6" s="158" t="s">
        <v>559</v>
      </c>
      <c r="B6" s="161">
        <v>468650000</v>
      </c>
      <c r="C6" s="159" t="s">
        <v>560</v>
      </c>
      <c r="D6" s="234" t="s">
        <v>561</v>
      </c>
      <c r="E6" s="234" t="s">
        <v>398</v>
      </c>
    </row>
    <row r="7" spans="1:5" x14ac:dyDescent="0.25">
      <c r="A7" s="158" t="s">
        <v>562</v>
      </c>
      <c r="B7" s="162">
        <v>0.2</v>
      </c>
      <c r="C7" s="159" t="s">
        <v>563</v>
      </c>
      <c r="D7" s="234" t="s">
        <v>561</v>
      </c>
      <c r="E7" s="234" t="s">
        <v>398</v>
      </c>
    </row>
    <row r="8" spans="1:5" x14ac:dyDescent="0.25">
      <c r="A8" s="158" t="s">
        <v>564</v>
      </c>
      <c r="B8" s="162">
        <v>0.38</v>
      </c>
      <c r="C8" s="159" t="s">
        <v>565</v>
      </c>
      <c r="D8" s="234" t="s">
        <v>561</v>
      </c>
      <c r="E8" s="234" t="s">
        <v>398</v>
      </c>
    </row>
    <row r="9" spans="1:5" x14ac:dyDescent="0.25">
      <c r="A9" s="158" t="s">
        <v>566</v>
      </c>
      <c r="B9" s="162">
        <v>0.23</v>
      </c>
      <c r="C9" s="159" t="s">
        <v>567</v>
      </c>
      <c r="D9" s="234" t="s">
        <v>561</v>
      </c>
      <c r="E9" s="234" t="s">
        <v>398</v>
      </c>
    </row>
    <row r="10" spans="1:5" x14ac:dyDescent="0.25">
      <c r="A10" s="158" t="s">
        <v>519</v>
      </c>
      <c r="B10" s="162">
        <v>0.25</v>
      </c>
      <c r="C10" s="159" t="s">
        <v>568</v>
      </c>
      <c r="D10" s="234" t="s">
        <v>561</v>
      </c>
      <c r="E10" s="234" t="s">
        <v>398</v>
      </c>
    </row>
    <row r="11" spans="1:5" x14ac:dyDescent="0.25">
      <c r="A11" s="158" t="s">
        <v>569</v>
      </c>
      <c r="B11" s="162">
        <v>0.14000000000000001</v>
      </c>
      <c r="C11" s="159" t="s">
        <v>570</v>
      </c>
      <c r="D11" s="234" t="s">
        <v>561</v>
      </c>
      <c r="E11" s="234" t="s">
        <v>398</v>
      </c>
    </row>
    <row r="12" spans="1:5" x14ac:dyDescent="0.25">
      <c r="A12" s="158" t="s">
        <v>571</v>
      </c>
      <c r="B12" s="161">
        <v>1.6619999999999999</v>
      </c>
      <c r="C12" s="159" t="s">
        <v>572</v>
      </c>
      <c r="D12" s="234"/>
      <c r="E12" s="234" t="s">
        <v>398</v>
      </c>
    </row>
    <row r="13" spans="1:5" x14ac:dyDescent="0.25">
      <c r="A13" s="158" t="s">
        <v>573</v>
      </c>
      <c r="B13" s="161">
        <v>1.974</v>
      </c>
      <c r="C13" s="159" t="s">
        <v>572</v>
      </c>
      <c r="D13" s="234"/>
      <c r="E13" s="234" t="s">
        <v>398</v>
      </c>
    </row>
    <row r="14" spans="1:5" x14ac:dyDescent="0.25">
      <c r="A14" s="168" t="s">
        <v>574</v>
      </c>
      <c r="B14" s="204">
        <v>0.40400000000000003</v>
      </c>
      <c r="C14" s="169" t="s">
        <v>572</v>
      </c>
      <c r="D14" s="251"/>
      <c r="E14" s="234" t="s">
        <v>398</v>
      </c>
    </row>
    <row r="15" spans="1:5" x14ac:dyDescent="0.25">
      <c r="A15" s="165" t="s">
        <v>575</v>
      </c>
      <c r="B15" s="186">
        <v>0.75</v>
      </c>
      <c r="C15" s="165" t="s">
        <v>576</v>
      </c>
      <c r="D15" s="240"/>
      <c r="E15" s="252" t="s">
        <v>398</v>
      </c>
    </row>
    <row r="16" spans="1:5" x14ac:dyDescent="0.25">
      <c r="A16" s="205" t="s">
        <v>577</v>
      </c>
      <c r="B16" s="206">
        <v>0.85</v>
      </c>
      <c r="C16" s="205"/>
      <c r="D16" s="253"/>
      <c r="E16" s="251" t="s">
        <v>398</v>
      </c>
    </row>
    <row r="17" spans="1:5" x14ac:dyDescent="0.25">
      <c r="A17" s="165" t="s">
        <v>578</v>
      </c>
      <c r="B17" s="166">
        <v>0.45</v>
      </c>
      <c r="C17" s="165"/>
      <c r="D17" s="240"/>
      <c r="E17" s="251" t="s">
        <v>398</v>
      </c>
    </row>
    <row r="18" spans="1:5" x14ac:dyDescent="0.25">
      <c r="A18" s="165" t="s">
        <v>579</v>
      </c>
      <c r="B18" s="166">
        <v>0.22</v>
      </c>
      <c r="C18" s="165"/>
      <c r="D18" s="240"/>
      <c r="E18" s="251" t="s">
        <v>398</v>
      </c>
    </row>
    <row r="19" spans="1:5" x14ac:dyDescent="0.25">
      <c r="A19" s="165" t="s">
        <v>580</v>
      </c>
      <c r="B19" s="166">
        <v>0</v>
      </c>
      <c r="C19" s="165"/>
      <c r="D19" s="240"/>
      <c r="E19" s="251" t="s">
        <v>398</v>
      </c>
    </row>
    <row r="20" spans="1:5" x14ac:dyDescent="0.25">
      <c r="A20" s="165" t="s">
        <v>581</v>
      </c>
      <c r="B20" s="166">
        <v>0</v>
      </c>
      <c r="C20" s="165"/>
      <c r="D20" s="240"/>
      <c r="E20" s="251" t="s">
        <v>398</v>
      </c>
    </row>
    <row r="21" spans="1:5" x14ac:dyDescent="0.25">
      <c r="A21" s="165" t="s">
        <v>582</v>
      </c>
      <c r="B21" s="166">
        <v>0</v>
      </c>
      <c r="C21" s="165"/>
      <c r="D21" s="240"/>
      <c r="E21" s="251" t="s">
        <v>398</v>
      </c>
    </row>
    <row r="22" spans="1:5" x14ac:dyDescent="0.25">
      <c r="A22" s="165" t="s">
        <v>583</v>
      </c>
      <c r="B22" s="166">
        <v>0.41</v>
      </c>
      <c r="C22" s="165"/>
      <c r="D22" s="240"/>
      <c r="E22" s="251" t="s">
        <v>398</v>
      </c>
    </row>
    <row r="23" spans="1:5" x14ac:dyDescent="0.25">
      <c r="A23" s="182" t="s">
        <v>584</v>
      </c>
      <c r="B23" s="183">
        <v>0.18</v>
      </c>
      <c r="C23" s="246"/>
      <c r="D23" s="246"/>
      <c r="E23" s="251" t="s">
        <v>398</v>
      </c>
    </row>
    <row r="24" spans="1:5" x14ac:dyDescent="0.25">
      <c r="A24" s="165" t="s">
        <v>150</v>
      </c>
      <c r="B24" s="167">
        <v>1.149</v>
      </c>
      <c r="C24" s="240" t="s">
        <v>585</v>
      </c>
      <c r="D24" s="240"/>
      <c r="E24" s="240" t="s">
        <v>398</v>
      </c>
    </row>
    <row r="25" spans="1:5" x14ac:dyDescent="0.25">
      <c r="A25" s="165" t="s">
        <v>586</v>
      </c>
      <c r="B25" s="167">
        <v>0.04</v>
      </c>
      <c r="C25" s="240" t="s">
        <v>585</v>
      </c>
      <c r="D25" s="240" t="s">
        <v>587</v>
      </c>
      <c r="E25" s="240" t="s">
        <v>398</v>
      </c>
    </row>
    <row r="26" spans="1:5" x14ac:dyDescent="0.25">
      <c r="A26" s="165" t="s">
        <v>588</v>
      </c>
      <c r="B26" s="167">
        <v>3.7999999999999999E-2</v>
      </c>
      <c r="C26" s="240" t="s">
        <v>585</v>
      </c>
      <c r="D26" s="240"/>
      <c r="E26" s="240" t="s">
        <v>398</v>
      </c>
    </row>
    <row r="27" spans="1:5" x14ac:dyDescent="0.25">
      <c r="A27" s="164"/>
      <c r="B27" s="181"/>
      <c r="C27" s="254"/>
      <c r="D27" s="254"/>
      <c r="E27" s="254"/>
    </row>
    <row r="28" spans="1:5" x14ac:dyDescent="0.25">
      <c r="A28" s="184" t="s">
        <v>589</v>
      </c>
      <c r="B28" s="184"/>
      <c r="C28" s="184"/>
      <c r="D28" s="184"/>
      <c r="E28" s="239"/>
    </row>
    <row r="29" spans="1:5" x14ac:dyDescent="0.25">
      <c r="A29" s="269" t="s">
        <v>394</v>
      </c>
      <c r="B29" s="269"/>
      <c r="C29" s="269"/>
      <c r="D29" s="269"/>
      <c r="E29" s="239"/>
    </row>
    <row r="30" spans="1:5" x14ac:dyDescent="0.25">
      <c r="A30" s="104" t="s">
        <v>399</v>
      </c>
      <c r="B30" s="104" t="s">
        <v>400</v>
      </c>
      <c r="C30" s="106" t="s">
        <v>387</v>
      </c>
      <c r="D30" s="107" t="s">
        <v>388</v>
      </c>
      <c r="E30" s="239"/>
    </row>
    <row r="31" spans="1:5" x14ac:dyDescent="0.25">
      <c r="A31" s="163" t="s">
        <v>590</v>
      </c>
      <c r="B31" s="236">
        <f>B6</f>
        <v>468650000</v>
      </c>
      <c r="C31" s="234" t="s">
        <v>403</v>
      </c>
      <c r="D31" s="234"/>
      <c r="E31" s="239"/>
    </row>
    <row r="32" spans="1:5" x14ac:dyDescent="0.25">
      <c r="A32" s="163" t="s">
        <v>426</v>
      </c>
      <c r="B32" s="236">
        <f>B31*B14</f>
        <v>189334600</v>
      </c>
      <c r="C32" s="234" t="s">
        <v>427</v>
      </c>
      <c r="D32" s="234"/>
      <c r="E32" s="239"/>
    </row>
    <row r="33" spans="1:5" x14ac:dyDescent="0.25">
      <c r="A33" s="163" t="s">
        <v>270</v>
      </c>
      <c r="B33" s="236">
        <f>B31*(B13+B12)/B15</f>
        <v>2272015200</v>
      </c>
      <c r="C33" s="234" t="s">
        <v>427</v>
      </c>
      <c r="D33" s="234"/>
      <c r="E33" s="239"/>
    </row>
    <row r="34" spans="1:5" x14ac:dyDescent="0.25">
      <c r="A34" s="163" t="s">
        <v>150</v>
      </c>
      <c r="B34" s="236">
        <f>B31*B24</f>
        <v>538478850</v>
      </c>
      <c r="C34" s="234" t="s">
        <v>428</v>
      </c>
      <c r="D34" s="234"/>
      <c r="E34" s="239"/>
    </row>
    <row r="35" spans="1:5" x14ac:dyDescent="0.25">
      <c r="A35" s="163" t="s">
        <v>586</v>
      </c>
      <c r="B35" s="236">
        <f>B31*B25</f>
        <v>18746000</v>
      </c>
      <c r="C35" s="234" t="s">
        <v>429</v>
      </c>
      <c r="D35" s="234"/>
      <c r="E35" s="239"/>
    </row>
    <row r="36" spans="1:5" x14ac:dyDescent="0.25">
      <c r="A36" s="163" t="s">
        <v>588</v>
      </c>
      <c r="B36" s="236">
        <f>B31*B26</f>
        <v>17808700</v>
      </c>
      <c r="C36" s="234" t="s">
        <v>429</v>
      </c>
      <c r="D36" s="234"/>
      <c r="E36" s="239"/>
    </row>
    <row r="37" spans="1:5" x14ac:dyDescent="0.25">
      <c r="A37" s="238"/>
      <c r="B37" s="239"/>
      <c r="C37" s="239"/>
      <c r="D37" s="239"/>
      <c r="E37" s="239"/>
    </row>
    <row r="38" spans="1:5" x14ac:dyDescent="0.25">
      <c r="A38" s="269" t="s">
        <v>434</v>
      </c>
      <c r="B38" s="269"/>
      <c r="C38" s="269"/>
      <c r="D38" s="269"/>
    </row>
    <row r="39" spans="1:5" x14ac:dyDescent="0.25">
      <c r="A39" s="104" t="s">
        <v>399</v>
      </c>
      <c r="B39" s="104" t="s">
        <v>400</v>
      </c>
      <c r="C39" s="106" t="s">
        <v>387</v>
      </c>
      <c r="D39" s="107" t="s">
        <v>388</v>
      </c>
    </row>
    <row r="40" spans="1:5" x14ac:dyDescent="0.25">
      <c r="A40" s="163" t="s">
        <v>591</v>
      </c>
      <c r="B40" s="236">
        <f>B31*(B16*B10+B17*B8+B18*B9+B19*B11)</f>
        <v>203440965</v>
      </c>
      <c r="C40" s="234" t="s">
        <v>403</v>
      </c>
      <c r="D40" s="234"/>
    </row>
    <row r="41" spans="1:5" x14ac:dyDescent="0.25">
      <c r="A41" s="163" t="s">
        <v>592</v>
      </c>
      <c r="B41" s="236">
        <f>B31*(B20*B10+B21*B8+B22*B9+B23*B11)</f>
        <v>56003675</v>
      </c>
      <c r="C41" s="234" t="s">
        <v>403</v>
      </c>
      <c r="D41" s="2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E8DA-2BE6-F542-8ADE-8136CA257202}">
  <sheetPr codeName="Sheet3"/>
  <dimension ref="A1:W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ColWidth="11" defaultRowHeight="15.75" x14ac:dyDescent="0.25"/>
  <cols>
    <col min="1" max="1" width="34.5" customWidth="1"/>
    <col min="2" max="2" width="12" bestFit="1" customWidth="1"/>
    <col min="4" max="4" width="14.5" bestFit="1" customWidth="1"/>
    <col min="5" max="5" width="15.125" bestFit="1" customWidth="1"/>
    <col min="6" max="6" width="17.75" bestFit="1" customWidth="1"/>
    <col min="7" max="7" width="8.875" bestFit="1" customWidth="1"/>
  </cols>
  <sheetData>
    <row r="1" spans="1:23" x14ac:dyDescent="0.25">
      <c r="A1" s="6" t="s">
        <v>34</v>
      </c>
      <c r="B1" s="6" t="str">
        <f>General!B1</f>
        <v>Soy Biodiesel</v>
      </c>
      <c r="C1" s="6" t="str">
        <f>General!C1</f>
        <v>Soy Jet</v>
      </c>
      <c r="D1" s="6" t="str">
        <f>General!D1</f>
        <v>Corn Grain EtOH</v>
      </c>
      <c r="E1" s="6" t="str">
        <f>General!E1</f>
        <v>Corn Stover EtOH</v>
      </c>
      <c r="F1" s="6" t="str">
        <f>General!F1</f>
        <v>Corn Stover Pyrol Jet</v>
      </c>
      <c r="G1" s="6" t="str">
        <f>General!G1</f>
        <v>Poplar Jet</v>
      </c>
      <c r="H1" s="6" t="str">
        <f>General!H1</f>
        <v>Switchgrass Jet</v>
      </c>
      <c r="I1" s="6" t="str">
        <f>General!I1</f>
        <v>Algae HEFA</v>
      </c>
      <c r="J1" s="6" t="str">
        <f>General!J1</f>
        <v>Algae HTL</v>
      </c>
      <c r="K1" s="6" t="str">
        <f>General!K1</f>
        <v>Forestry Residue</v>
      </c>
      <c r="L1" s="6" t="str">
        <f>General!M1</f>
        <v>Carinata</v>
      </c>
      <c r="M1" s="6" t="str">
        <f>General!N1</f>
        <v>Guayule</v>
      </c>
      <c r="N1" s="6" t="str">
        <f>General!O1</f>
        <v>Macroalage</v>
      </c>
      <c r="O1" s="6" t="str">
        <f>General!P1</f>
        <v>BETO+</v>
      </c>
      <c r="P1" s="6" t="str">
        <f>General!Q1</f>
        <v>BETO++</v>
      </c>
      <c r="Q1" s="6" t="str">
        <f>General!R1</f>
        <v>BETO+++</v>
      </c>
      <c r="R1" s="6"/>
      <c r="S1" s="85" t="s">
        <v>35</v>
      </c>
      <c r="T1" s="85" t="s">
        <v>36</v>
      </c>
      <c r="U1" s="85" t="s">
        <v>37</v>
      </c>
      <c r="V1" s="85" t="s">
        <v>38</v>
      </c>
      <c r="W1" s="85" t="s">
        <v>39</v>
      </c>
    </row>
    <row r="2" spans="1:23" x14ac:dyDescent="0.25">
      <c r="A2" s="10" t="s">
        <v>18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85"/>
      <c r="T2" s="85"/>
      <c r="U2" s="85"/>
      <c r="V2" s="85"/>
      <c r="W2" s="85"/>
    </row>
    <row r="3" spans="1:23" x14ac:dyDescent="0.25">
      <c r="A3" s="93" t="s">
        <v>40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85"/>
      <c r="T3" s="85"/>
      <c r="U3" s="85"/>
      <c r="V3" s="85"/>
      <c r="W3" s="85"/>
    </row>
    <row r="4" spans="1:23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85"/>
      <c r="T4" s="85"/>
      <c r="U4" s="85"/>
      <c r="V4" s="85"/>
      <c r="W4" s="85"/>
    </row>
    <row r="5" spans="1:23" x14ac:dyDescent="0.25">
      <c r="A5" s="7" t="s">
        <v>41</v>
      </c>
    </row>
    <row r="6" spans="1:23" x14ac:dyDescent="0.25">
      <c r="A6" t="str">
        <f>TEA!A15</f>
        <v>Operating Capacity (d/yr)</v>
      </c>
      <c r="B6">
        <f>TEA!B15</f>
        <v>365</v>
      </c>
      <c r="C6">
        <f>TEA!C15</f>
        <v>365</v>
      </c>
      <c r="D6">
        <f>TEA!D15</f>
        <v>365</v>
      </c>
      <c r="E6">
        <f>TEA!E15</f>
        <v>365</v>
      </c>
      <c r="F6">
        <f>TEA!F15</f>
        <v>0</v>
      </c>
      <c r="G6">
        <f>TEA!G15</f>
        <v>365</v>
      </c>
      <c r="H6">
        <f>TEA!H15</f>
        <v>365</v>
      </c>
      <c r="I6">
        <f>TEA!I15</f>
        <v>328.5</v>
      </c>
      <c r="J6">
        <f>TEA!J15</f>
        <v>328.5</v>
      </c>
      <c r="K6">
        <f>TEA!K15</f>
        <v>365</v>
      </c>
      <c r="L6">
        <f>TEA!L15</f>
        <v>365</v>
      </c>
      <c r="M6">
        <f>TEA!M15</f>
        <v>365</v>
      </c>
      <c r="N6">
        <f>TEA!N15</f>
        <v>365</v>
      </c>
      <c r="O6">
        <f>TEA!O15</f>
        <v>365</v>
      </c>
      <c r="P6">
        <f>TEA!P15</f>
        <v>365</v>
      </c>
      <c r="Q6">
        <f>TEA!Q15</f>
        <v>365</v>
      </c>
    </row>
    <row r="7" spans="1:23" x14ac:dyDescent="0.25">
      <c r="A7" t="str">
        <f>TEA!A16</f>
        <v>Discount Rate (-)</v>
      </c>
      <c r="B7">
        <f>TEA!B16</f>
        <v>0.1</v>
      </c>
      <c r="C7">
        <f>TEA!C16</f>
        <v>0.1</v>
      </c>
      <c r="D7">
        <f>TEA!D16</f>
        <v>0.1</v>
      </c>
      <c r="E7">
        <f>TEA!E16</f>
        <v>0.1</v>
      </c>
      <c r="F7">
        <f>TEA!F16</f>
        <v>0</v>
      </c>
      <c r="G7">
        <f>TEA!G16</f>
        <v>0.1</v>
      </c>
      <c r="H7">
        <f>TEA!H16</f>
        <v>0.1</v>
      </c>
      <c r="I7">
        <f>TEA!I16</f>
        <v>0.1</v>
      </c>
      <c r="J7">
        <f>TEA!J16</f>
        <v>0.1</v>
      </c>
      <c r="K7">
        <f>TEA!K16</f>
        <v>0.1</v>
      </c>
      <c r="L7">
        <f>TEA!L16</f>
        <v>0.1</v>
      </c>
      <c r="M7">
        <f>TEA!M16</f>
        <v>0.1</v>
      </c>
      <c r="N7">
        <f>TEA!N16</f>
        <v>0.1</v>
      </c>
      <c r="O7">
        <f>TEA!O16</f>
        <v>0.1</v>
      </c>
      <c r="P7">
        <f>TEA!P16</f>
        <v>0.1</v>
      </c>
      <c r="Q7">
        <f>TEA!Q16</f>
        <v>0.1</v>
      </c>
    </row>
    <row r="8" spans="1:23" x14ac:dyDescent="0.25">
      <c r="A8" t="str">
        <f>TEA!A17</f>
        <v>Tax Rate (-)</v>
      </c>
      <c r="B8">
        <f>TEA!B17</f>
        <v>0.2</v>
      </c>
      <c r="C8">
        <f>TEA!C17</f>
        <v>0.2</v>
      </c>
      <c r="D8">
        <f>TEA!D17</f>
        <v>0.2</v>
      </c>
      <c r="E8">
        <f>TEA!E17</f>
        <v>0.2</v>
      </c>
      <c r="F8">
        <f>TEA!F17</f>
        <v>0</v>
      </c>
      <c r="G8">
        <f>TEA!G17</f>
        <v>0.2</v>
      </c>
      <c r="H8">
        <f>TEA!H17</f>
        <v>0.2</v>
      </c>
      <c r="I8">
        <f>TEA!I17</f>
        <v>0.2</v>
      </c>
      <c r="J8">
        <f>TEA!J17</f>
        <v>0.2</v>
      </c>
      <c r="K8">
        <f>TEA!K17</f>
        <v>0.2</v>
      </c>
      <c r="L8">
        <f>TEA!L17</f>
        <v>0.2</v>
      </c>
      <c r="M8">
        <f>TEA!M17</f>
        <v>0.2</v>
      </c>
      <c r="N8">
        <f>TEA!N17</f>
        <v>0.2</v>
      </c>
      <c r="O8">
        <f>TEA!O17</f>
        <v>0.2</v>
      </c>
      <c r="P8">
        <f>TEA!P17</f>
        <v>0.2</v>
      </c>
      <c r="Q8">
        <f>TEA!Q17</f>
        <v>0.2</v>
      </c>
    </row>
    <row r="9" spans="1:23" x14ac:dyDescent="0.25">
      <c r="A9" t="str">
        <f>TEA!A18</f>
        <v>Equity Share of Capital (-)</v>
      </c>
      <c r="B9">
        <f>TEA!B18</f>
        <v>0.4</v>
      </c>
      <c r="C9">
        <f>TEA!C18</f>
        <v>0.4</v>
      </c>
      <c r="D9">
        <f>TEA!D18</f>
        <v>0.4</v>
      </c>
      <c r="E9">
        <f>TEA!E18</f>
        <v>0.4</v>
      </c>
      <c r="F9">
        <f>TEA!F18</f>
        <v>0</v>
      </c>
      <c r="G9">
        <f>TEA!G18</f>
        <v>0.4</v>
      </c>
      <c r="H9">
        <f>TEA!H18</f>
        <v>0.4</v>
      </c>
      <c r="I9">
        <f>TEA!I18</f>
        <v>0.4</v>
      </c>
      <c r="J9">
        <f>TEA!J18</f>
        <v>0.4</v>
      </c>
      <c r="K9">
        <f>TEA!K18</f>
        <v>0.4</v>
      </c>
      <c r="L9">
        <f>TEA!L18</f>
        <v>0.4</v>
      </c>
      <c r="M9">
        <f>TEA!M18</f>
        <v>0.4</v>
      </c>
      <c r="N9">
        <f>TEA!N18</f>
        <v>0.4</v>
      </c>
      <c r="O9">
        <f>TEA!O18</f>
        <v>0.4</v>
      </c>
      <c r="P9">
        <f>TEA!P18</f>
        <v>0.4</v>
      </c>
      <c r="Q9">
        <f>TEA!Q18</f>
        <v>0.4</v>
      </c>
    </row>
    <row r="10" spans="1:23" x14ac:dyDescent="0.25">
      <c r="A10" t="str">
        <f>TEA!A19</f>
        <v>Interest Rate (-)</v>
      </c>
      <c r="B10">
        <f>TEA!B19</f>
        <v>0.08</v>
      </c>
      <c r="C10">
        <f>TEA!C19</f>
        <v>0.08</v>
      </c>
      <c r="D10">
        <f>TEA!D19</f>
        <v>0.08</v>
      </c>
      <c r="E10">
        <f>TEA!E19</f>
        <v>0.08</v>
      </c>
      <c r="F10">
        <f>TEA!F19</f>
        <v>0</v>
      </c>
      <c r="G10">
        <f>TEA!G19</f>
        <v>0.08</v>
      </c>
      <c r="H10">
        <f>TEA!H19</f>
        <v>0.08</v>
      </c>
      <c r="I10">
        <f>TEA!I19</f>
        <v>0.08</v>
      </c>
      <c r="J10">
        <f>TEA!J19</f>
        <v>0.08</v>
      </c>
      <c r="K10">
        <f>TEA!K19</f>
        <v>0.08</v>
      </c>
      <c r="L10">
        <f>TEA!L19</f>
        <v>0.08</v>
      </c>
      <c r="M10">
        <f>TEA!M19</f>
        <v>0.08</v>
      </c>
      <c r="N10">
        <f>TEA!N19</f>
        <v>0.08</v>
      </c>
      <c r="O10">
        <f>TEA!O19</f>
        <v>0.08</v>
      </c>
      <c r="P10">
        <f>TEA!P19</f>
        <v>0.08</v>
      </c>
      <c r="Q10">
        <f>TEA!Q19</f>
        <v>0.08</v>
      </c>
    </row>
    <row r="11" spans="1:23" x14ac:dyDescent="0.25">
      <c r="A11" t="str">
        <f>TEA!A20</f>
        <v>Loan Term (yr)</v>
      </c>
      <c r="B11">
        <f>TEA!B20</f>
        <v>10</v>
      </c>
      <c r="C11">
        <f>TEA!C20</f>
        <v>10</v>
      </c>
      <c r="D11">
        <f>TEA!D20</f>
        <v>10</v>
      </c>
      <c r="E11">
        <f>TEA!E20</f>
        <v>10</v>
      </c>
      <c r="F11">
        <f>TEA!F20</f>
        <v>0</v>
      </c>
      <c r="G11">
        <f>TEA!G20</f>
        <v>10</v>
      </c>
      <c r="H11">
        <f>TEA!H20</f>
        <v>10</v>
      </c>
      <c r="I11">
        <f>TEA!I20</f>
        <v>10</v>
      </c>
      <c r="J11">
        <f>TEA!J20</f>
        <v>10</v>
      </c>
      <c r="K11">
        <f>TEA!K20</f>
        <v>10</v>
      </c>
      <c r="L11">
        <f>TEA!L20</f>
        <v>10</v>
      </c>
      <c r="M11">
        <f>TEA!M20</f>
        <v>10</v>
      </c>
      <c r="N11">
        <f>TEA!N20</f>
        <v>10</v>
      </c>
      <c r="O11">
        <f>TEA!O20</f>
        <v>10</v>
      </c>
      <c r="P11">
        <f>TEA!P20</f>
        <v>10</v>
      </c>
      <c r="Q11">
        <f>TEA!Q20</f>
        <v>10</v>
      </c>
    </row>
    <row r="12" spans="1:23" x14ac:dyDescent="0.25">
      <c r="A12" t="str">
        <f>TEA!A21</f>
        <v>Maintenance Rate (-)</v>
      </c>
      <c r="B12">
        <f>TEA!B21</f>
        <v>0.03</v>
      </c>
      <c r="C12">
        <f>TEA!C21</f>
        <v>0.03</v>
      </c>
      <c r="D12">
        <f>TEA!D21</f>
        <v>0.03</v>
      </c>
      <c r="E12">
        <f>TEA!E21</f>
        <v>0.03</v>
      </c>
      <c r="F12">
        <f>TEA!F21</f>
        <v>0</v>
      </c>
      <c r="G12">
        <f>TEA!G21</f>
        <v>0.03</v>
      </c>
      <c r="H12">
        <f>TEA!H21</f>
        <v>0.03</v>
      </c>
      <c r="I12">
        <f>TEA!I21</f>
        <v>0.01</v>
      </c>
      <c r="J12">
        <f>TEA!J21</f>
        <v>0.01</v>
      </c>
      <c r="K12">
        <f>TEA!K21</f>
        <v>0.03</v>
      </c>
      <c r="L12">
        <f>TEA!L21</f>
        <v>0.03</v>
      </c>
      <c r="M12">
        <f>TEA!M21</f>
        <v>0.03</v>
      </c>
      <c r="N12">
        <f>TEA!N21</f>
        <v>0.03</v>
      </c>
      <c r="O12">
        <f>TEA!O21</f>
        <v>0.03</v>
      </c>
      <c r="P12">
        <f>TEA!P21</f>
        <v>0.03</v>
      </c>
      <c r="Q12">
        <f>TEA!Q21</f>
        <v>0.03</v>
      </c>
    </row>
    <row r="13" spans="1:23" x14ac:dyDescent="0.25">
      <c r="A13" t="str">
        <f>TEA!A22</f>
        <v>Insurance Rate (-)</v>
      </c>
      <c r="B13">
        <f>TEA!B22</f>
        <v>0.01</v>
      </c>
      <c r="C13">
        <f>TEA!C22</f>
        <v>0.01</v>
      </c>
      <c r="D13">
        <f>TEA!D22</f>
        <v>0.01</v>
      </c>
      <c r="E13">
        <f>TEA!E22</f>
        <v>0.01</v>
      </c>
      <c r="F13">
        <f>TEA!F22</f>
        <v>0</v>
      </c>
      <c r="G13">
        <f>TEA!G22</f>
        <v>0.01</v>
      </c>
      <c r="H13">
        <f>TEA!H22</f>
        <v>0.01</v>
      </c>
      <c r="I13">
        <f>TEA!I22</f>
        <v>0.01</v>
      </c>
      <c r="J13">
        <f>TEA!J22</f>
        <v>0.01</v>
      </c>
      <c r="K13">
        <f>TEA!K22</f>
        <v>0.01</v>
      </c>
      <c r="L13">
        <f>TEA!L22</f>
        <v>0.01</v>
      </c>
      <c r="M13">
        <f>TEA!M22</f>
        <v>0.01</v>
      </c>
      <c r="N13">
        <f>TEA!N22</f>
        <v>0.01</v>
      </c>
      <c r="O13">
        <f>TEA!O22</f>
        <v>0.01</v>
      </c>
      <c r="P13">
        <f>TEA!P22</f>
        <v>0.01</v>
      </c>
      <c r="Q13">
        <f>TEA!Q22</f>
        <v>0.01</v>
      </c>
    </row>
    <row r="14" spans="1:23" x14ac:dyDescent="0.25">
      <c r="A14" t="str">
        <f>TEA!A23</f>
        <v>Depreciable Amount Rate (-)</v>
      </c>
      <c r="B14">
        <f>TEA!B23</f>
        <v>0.9</v>
      </c>
      <c r="C14">
        <f>TEA!C23</f>
        <v>0.9</v>
      </c>
      <c r="D14">
        <f>TEA!D23</f>
        <v>0.9</v>
      </c>
      <c r="E14">
        <f>TEA!E23</f>
        <v>0.9</v>
      </c>
      <c r="F14">
        <f>TEA!F23</f>
        <v>0</v>
      </c>
      <c r="G14">
        <f>TEA!G23</f>
        <v>0.9</v>
      </c>
      <c r="H14">
        <f>TEA!H23</f>
        <v>0.9</v>
      </c>
      <c r="I14">
        <f>TEA!I23</f>
        <v>0.9</v>
      </c>
      <c r="J14">
        <f>TEA!J23</f>
        <v>0.9</v>
      </c>
      <c r="K14">
        <f>TEA!K23</f>
        <v>0.9</v>
      </c>
      <c r="L14">
        <f>TEA!L23</f>
        <v>0.9</v>
      </c>
      <c r="M14">
        <f>TEA!M23</f>
        <v>0.9</v>
      </c>
      <c r="N14">
        <f>TEA!N23</f>
        <v>0.9</v>
      </c>
      <c r="O14">
        <f>TEA!O23</f>
        <v>0.9</v>
      </c>
      <c r="P14">
        <f>TEA!P23</f>
        <v>0.9</v>
      </c>
      <c r="Q14">
        <f>TEA!Q23</f>
        <v>0.9</v>
      </c>
    </row>
    <row r="15" spans="1:23" x14ac:dyDescent="0.25">
      <c r="A15" t="str">
        <f>TEA!A24</f>
        <v>Tax Credit ($/yr)</v>
      </c>
      <c r="B15">
        <f>TEA!B24</f>
        <v>0</v>
      </c>
      <c r="C15">
        <f>TEA!C24</f>
        <v>0</v>
      </c>
      <c r="D15">
        <f>TEA!D24</f>
        <v>0</v>
      </c>
      <c r="E15">
        <f>TEA!E24</f>
        <v>0</v>
      </c>
      <c r="F15">
        <f>TEA!F24</f>
        <v>0</v>
      </c>
      <c r="G15">
        <f>TEA!G24</f>
        <v>0</v>
      </c>
      <c r="H15">
        <f>TEA!H24</f>
        <v>0</v>
      </c>
      <c r="I15">
        <f>TEA!I24</f>
        <v>567379</v>
      </c>
      <c r="J15">
        <f>TEA!J24</f>
        <v>567379</v>
      </c>
      <c r="K15">
        <f>TEA!K24</f>
        <v>0</v>
      </c>
      <c r="L15">
        <f>TEA!L24</f>
        <v>0</v>
      </c>
      <c r="M15">
        <f>TEA!M24</f>
        <v>0</v>
      </c>
      <c r="N15">
        <f>TEA!N24</f>
        <v>0</v>
      </c>
      <c r="O15">
        <f>TEA!O24</f>
        <v>0</v>
      </c>
      <c r="P15">
        <f>TEA!P24</f>
        <v>0</v>
      </c>
      <c r="Q15">
        <f>TEA!Q24</f>
        <v>0</v>
      </c>
    </row>
    <row r="16" spans="1:23" x14ac:dyDescent="0.25">
      <c r="A16" t="str">
        <f>TEA!A25</f>
        <v>Salvage Value ($)</v>
      </c>
      <c r="B16">
        <f>TEA!B25</f>
        <v>1654900</v>
      </c>
      <c r="C16">
        <f>TEA!C25</f>
        <v>1654900</v>
      </c>
      <c r="D16">
        <f>TEA!D25</f>
        <v>1654900</v>
      </c>
      <c r="E16">
        <f>TEA!E25</f>
        <v>1654900</v>
      </c>
      <c r="F16">
        <f>TEA!F25</f>
        <v>0</v>
      </c>
      <c r="G16">
        <f>TEA!G25</f>
        <v>0</v>
      </c>
      <c r="H16">
        <f>TEA!H25</f>
        <v>0</v>
      </c>
      <c r="I16">
        <f>TEA!I25</f>
        <v>508079</v>
      </c>
      <c r="J16">
        <f>TEA!J25</f>
        <v>0</v>
      </c>
      <c r="K16">
        <f>TEA!K25</f>
        <v>0</v>
      </c>
      <c r="L16">
        <f>TEA!L25</f>
        <v>0</v>
      </c>
      <c r="M16">
        <f>TEA!M25</f>
        <v>0</v>
      </c>
      <c r="N16">
        <f>TEA!N25</f>
        <v>0</v>
      </c>
      <c r="O16">
        <f>TEA!O25</f>
        <v>0</v>
      </c>
      <c r="P16">
        <f>TEA!P25</f>
        <v>0</v>
      </c>
      <c r="Q16">
        <f>TEA!Q25</f>
        <v>0</v>
      </c>
    </row>
    <row r="17" spans="1:17" x14ac:dyDescent="0.25">
      <c r="A17" t="str">
        <f>TEA!A26</f>
        <v>Depreciation Schedule</v>
      </c>
      <c r="B17" t="str">
        <f>TEA!B26</f>
        <v>MACRS %</v>
      </c>
      <c r="C17">
        <f>TEA!C26</f>
        <v>0</v>
      </c>
      <c r="D17">
        <f>TEA!D26</f>
        <v>0</v>
      </c>
      <c r="E17">
        <f>TEA!E26</f>
        <v>0</v>
      </c>
      <c r="F17">
        <f>TEA!F26</f>
        <v>0</v>
      </c>
      <c r="G17">
        <f>TEA!G26</f>
        <v>0</v>
      </c>
      <c r="H17">
        <f>TEA!H26</f>
        <v>0</v>
      </c>
      <c r="I17">
        <f>TEA!I26</f>
        <v>0</v>
      </c>
      <c r="J17">
        <f>TEA!J26</f>
        <v>0</v>
      </c>
      <c r="K17">
        <f>TEA!K26</f>
        <v>0</v>
      </c>
      <c r="L17">
        <f>TEA!L26</f>
        <v>0</v>
      </c>
      <c r="M17">
        <f>TEA!M26</f>
        <v>0</v>
      </c>
      <c r="N17">
        <f>TEA!N26</f>
        <v>0</v>
      </c>
      <c r="O17">
        <f>TEA!O26</f>
        <v>0</v>
      </c>
      <c r="P17">
        <f>TEA!P26</f>
        <v>0</v>
      </c>
      <c r="Q17">
        <f>TEA!Q26</f>
        <v>0</v>
      </c>
    </row>
    <row r="26" spans="1:17" x14ac:dyDescent="0.25">
      <c r="A26" s="7" t="s">
        <v>42</v>
      </c>
    </row>
    <row r="29" spans="1:17" x14ac:dyDescent="0.25">
      <c r="A29" s="7" t="s">
        <v>43</v>
      </c>
    </row>
    <row r="30" spans="1:17" x14ac:dyDescent="0.25">
      <c r="A30" s="7"/>
    </row>
    <row r="31" spans="1:17" x14ac:dyDescent="0.25">
      <c r="A31" s="7" t="s">
        <v>44</v>
      </c>
    </row>
    <row r="33" spans="1:19" x14ac:dyDescent="0.25">
      <c r="A33" s="7" t="s">
        <v>45</v>
      </c>
    </row>
    <row r="34" spans="1:19" x14ac:dyDescent="0.25">
      <c r="A34" t="s">
        <v>46</v>
      </c>
      <c r="I34">
        <f>AlgaeCult!B8</f>
        <v>13.5</v>
      </c>
      <c r="Q34" s="86"/>
      <c r="R34" s="86"/>
      <c r="S34" s="87"/>
    </row>
    <row r="35" spans="1:19" x14ac:dyDescent="0.25">
      <c r="Q35" s="86"/>
      <c r="R35" s="86"/>
      <c r="S35" s="87"/>
    </row>
    <row r="37" spans="1:19" x14ac:dyDescent="0.25">
      <c r="A37" s="7" t="s">
        <v>47</v>
      </c>
    </row>
    <row r="38" spans="1:19" x14ac:dyDescent="0.25">
      <c r="A38" s="7"/>
    </row>
    <row r="39" spans="1:19" x14ac:dyDescent="0.25">
      <c r="A39" s="7" t="s">
        <v>48</v>
      </c>
    </row>
    <row r="40" spans="1:19" x14ac:dyDescent="0.25">
      <c r="A40" s="7"/>
    </row>
    <row r="41" spans="1:19" x14ac:dyDescent="0.25">
      <c r="A41" s="7" t="s">
        <v>49</v>
      </c>
    </row>
    <row r="42" spans="1:19" x14ac:dyDescent="0.25">
      <c r="A42" s="7"/>
    </row>
    <row r="43" spans="1:19" x14ac:dyDescent="0.25">
      <c r="A43" s="7" t="s">
        <v>50</v>
      </c>
    </row>
    <row r="45" spans="1:19" x14ac:dyDescent="0.25">
      <c r="A45" s="7" t="s">
        <v>51</v>
      </c>
    </row>
    <row r="46" spans="1:19" x14ac:dyDescent="0.25">
      <c r="A46" t="s">
        <v>52</v>
      </c>
    </row>
    <row r="47" spans="1:19" x14ac:dyDescent="0.25">
      <c r="A47" t="s">
        <v>53</v>
      </c>
    </row>
    <row r="50" spans="1:1" x14ac:dyDescent="0.25">
      <c r="A50" s="7" t="s">
        <v>54</v>
      </c>
    </row>
    <row r="53" spans="1:1" x14ac:dyDescent="0.25">
      <c r="A53" s="7" t="s">
        <v>55</v>
      </c>
    </row>
    <row r="56" spans="1:1" x14ac:dyDescent="0.25">
      <c r="A56" s="7" t="s">
        <v>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6163-ED07-4B27-A1AB-34E9D13E7B49}">
  <dimension ref="A1:E38"/>
  <sheetViews>
    <sheetView workbookViewId="0">
      <selection activeCell="D2" sqref="D2"/>
    </sheetView>
  </sheetViews>
  <sheetFormatPr defaultRowHeight="15.75" x14ac:dyDescent="0.25"/>
  <cols>
    <col min="1" max="1" width="56.25" bestFit="1" customWidth="1"/>
    <col min="2" max="2" width="12.75" bestFit="1" customWidth="1"/>
    <col min="3" max="3" width="17.75" bestFit="1" customWidth="1"/>
    <col min="4" max="4" width="79.375" bestFit="1" customWidth="1"/>
    <col min="5" max="5" width="3.5" bestFit="1" customWidth="1"/>
  </cols>
  <sheetData>
    <row r="1" spans="1:5" ht="18.75" x14ac:dyDescent="0.3">
      <c r="A1" s="149" t="s">
        <v>73</v>
      </c>
      <c r="B1" s="90" t="s">
        <v>552</v>
      </c>
    </row>
    <row r="2" spans="1:5" x14ac:dyDescent="0.25">
      <c r="A2" s="165" t="s">
        <v>385</v>
      </c>
      <c r="B2" s="166" t="s">
        <v>386</v>
      </c>
      <c r="C2" s="165" t="s">
        <v>387</v>
      </c>
      <c r="D2" s="240" t="s">
        <v>388</v>
      </c>
      <c r="E2" s="153" t="s">
        <v>389</v>
      </c>
    </row>
    <row r="3" spans="1:5" x14ac:dyDescent="0.25">
      <c r="A3" s="165" t="s">
        <v>593</v>
      </c>
      <c r="B3" s="259">
        <v>730000</v>
      </c>
      <c r="C3" s="165" t="s">
        <v>594</v>
      </c>
      <c r="D3" s="234" t="s">
        <v>561</v>
      </c>
      <c r="E3" s="165" t="s">
        <v>398</v>
      </c>
    </row>
    <row r="4" spans="1:5" x14ac:dyDescent="0.25">
      <c r="A4" s="165" t="s">
        <v>595</v>
      </c>
      <c r="B4" s="263">
        <v>8.0000000000000004E-4</v>
      </c>
      <c r="C4" s="165" t="s">
        <v>596</v>
      </c>
      <c r="D4" s="240"/>
      <c r="E4" s="165" t="s">
        <v>398</v>
      </c>
    </row>
    <row r="5" spans="1:5" x14ac:dyDescent="0.25">
      <c r="A5" s="165" t="s">
        <v>597</v>
      </c>
      <c r="B5" s="263">
        <v>1.1000000000000001E-3</v>
      </c>
      <c r="C5" s="165" t="s">
        <v>596</v>
      </c>
      <c r="D5" s="240"/>
      <c r="E5" s="165" t="s">
        <v>398</v>
      </c>
    </row>
    <row r="6" spans="1:5" x14ac:dyDescent="0.25">
      <c r="A6" s="165" t="s">
        <v>598</v>
      </c>
      <c r="B6" s="263">
        <v>5.0000000000000001E-4</v>
      </c>
      <c r="C6" s="165" t="s">
        <v>596</v>
      </c>
      <c r="D6" s="240" t="s">
        <v>599</v>
      </c>
      <c r="E6" s="165" t="s">
        <v>398</v>
      </c>
    </row>
    <row r="7" spans="1:5" x14ac:dyDescent="0.25">
      <c r="A7" s="165" t="s">
        <v>600</v>
      </c>
      <c r="B7" s="263">
        <v>1.4E-3</v>
      </c>
      <c r="C7" s="165" t="s">
        <v>596</v>
      </c>
      <c r="D7" s="240" t="s">
        <v>601</v>
      </c>
      <c r="E7" s="165" t="s">
        <v>398</v>
      </c>
    </row>
    <row r="8" spans="1:5" x14ac:dyDescent="0.25">
      <c r="A8" s="165" t="s">
        <v>602</v>
      </c>
      <c r="B8" s="263">
        <v>3.1699999999999999E-2</v>
      </c>
      <c r="C8" s="165" t="s">
        <v>596</v>
      </c>
      <c r="D8" s="240" t="s">
        <v>601</v>
      </c>
      <c r="E8" s="165" t="s">
        <v>398</v>
      </c>
    </row>
    <row r="9" spans="1:5" x14ac:dyDescent="0.25">
      <c r="A9" s="165" t="s">
        <v>603</v>
      </c>
      <c r="B9" s="263">
        <v>2.3300000000000001E-2</v>
      </c>
      <c r="C9" s="165" t="s">
        <v>596</v>
      </c>
      <c r="D9" s="240" t="s">
        <v>601</v>
      </c>
      <c r="E9" s="165" t="s">
        <v>398</v>
      </c>
    </row>
    <row r="10" spans="1:5" x14ac:dyDescent="0.25">
      <c r="A10" s="165" t="s">
        <v>604</v>
      </c>
      <c r="B10" s="263">
        <v>0.20330000000000001</v>
      </c>
      <c r="C10" s="165" t="s">
        <v>596</v>
      </c>
      <c r="D10" s="240"/>
      <c r="E10" s="165" t="s">
        <v>398</v>
      </c>
    </row>
    <row r="11" spans="1:5" x14ac:dyDescent="0.25">
      <c r="A11" s="165" t="s">
        <v>605</v>
      </c>
      <c r="B11" s="263">
        <v>2.9999999999999997E-4</v>
      </c>
      <c r="C11" s="165" t="s">
        <v>596</v>
      </c>
      <c r="D11" s="240"/>
      <c r="E11" s="165" t="s">
        <v>398</v>
      </c>
    </row>
    <row r="12" spans="1:5" x14ac:dyDescent="0.25">
      <c r="A12" s="165" t="s">
        <v>606</v>
      </c>
      <c r="B12" s="166">
        <v>0.245</v>
      </c>
      <c r="C12" s="165" t="s">
        <v>596</v>
      </c>
      <c r="D12" s="240"/>
      <c r="E12" s="165" t="s">
        <v>398</v>
      </c>
    </row>
    <row r="13" spans="1:5" x14ac:dyDescent="0.25">
      <c r="A13" s="165" t="s">
        <v>607</v>
      </c>
      <c r="B13" s="166">
        <v>34.42</v>
      </c>
      <c r="C13" s="165" t="s">
        <v>608</v>
      </c>
      <c r="D13" s="240"/>
      <c r="E13" s="165" t="s">
        <v>398</v>
      </c>
    </row>
    <row r="14" spans="1:5" x14ac:dyDescent="0.25">
      <c r="A14" s="165" t="s">
        <v>609</v>
      </c>
      <c r="B14" s="166">
        <v>0.12</v>
      </c>
      <c r="C14" s="165" t="s">
        <v>596</v>
      </c>
      <c r="D14" s="240"/>
      <c r="E14" s="165" t="s">
        <v>398</v>
      </c>
    </row>
    <row r="15" spans="1:5" x14ac:dyDescent="0.25">
      <c r="A15" s="165" t="s">
        <v>610</v>
      </c>
      <c r="B15" s="166">
        <v>0.92</v>
      </c>
      <c r="C15" s="165" t="s">
        <v>433</v>
      </c>
      <c r="D15" s="240" t="s">
        <v>611</v>
      </c>
      <c r="E15" s="165" t="s">
        <v>398</v>
      </c>
    </row>
    <row r="16" spans="1:5" x14ac:dyDescent="0.25">
      <c r="A16" s="165" t="s">
        <v>612</v>
      </c>
      <c r="B16" s="166">
        <v>0.04</v>
      </c>
      <c r="C16" s="165" t="s">
        <v>433</v>
      </c>
      <c r="D16" s="240" t="s">
        <v>611</v>
      </c>
      <c r="E16" s="165" t="s">
        <v>398</v>
      </c>
    </row>
    <row r="17" spans="1:5" x14ac:dyDescent="0.25">
      <c r="A17" s="164"/>
      <c r="B17" s="164"/>
      <c r="C17" s="164"/>
      <c r="D17" s="164"/>
      <c r="E17" s="254"/>
    </row>
    <row r="18" spans="1:5" x14ac:dyDescent="0.25">
      <c r="A18" s="184" t="s">
        <v>613</v>
      </c>
      <c r="B18" s="184"/>
      <c r="C18" s="184"/>
      <c r="D18" s="184"/>
      <c r="E18" s="239"/>
    </row>
    <row r="19" spans="1:5" x14ac:dyDescent="0.25">
      <c r="A19" s="269" t="s">
        <v>394</v>
      </c>
      <c r="B19" s="269"/>
      <c r="C19" s="269"/>
      <c r="D19" s="269"/>
      <c r="E19" s="239"/>
    </row>
    <row r="20" spans="1:5" x14ac:dyDescent="0.25">
      <c r="A20" s="104" t="s">
        <v>399</v>
      </c>
      <c r="B20" s="104" t="s">
        <v>400</v>
      </c>
      <c r="C20" s="106" t="s">
        <v>387</v>
      </c>
      <c r="D20" s="107" t="s">
        <v>388</v>
      </c>
      <c r="E20" s="239"/>
    </row>
    <row r="21" spans="1:5" x14ac:dyDescent="0.25">
      <c r="A21" s="163" t="s">
        <v>593</v>
      </c>
      <c r="B21" s="236">
        <f>B3*1000</f>
        <v>730000000</v>
      </c>
      <c r="C21" s="234" t="s">
        <v>403</v>
      </c>
      <c r="D21" s="234"/>
      <c r="E21" s="239"/>
    </row>
    <row r="22" spans="1:5" x14ac:dyDescent="0.25">
      <c r="A22" s="163" t="s">
        <v>614</v>
      </c>
      <c r="B22" s="236">
        <f>$B$21*B4</f>
        <v>584000</v>
      </c>
      <c r="C22" s="234" t="s">
        <v>403</v>
      </c>
      <c r="D22" s="234"/>
      <c r="E22" s="239"/>
    </row>
    <row r="23" spans="1:5" x14ac:dyDescent="0.25">
      <c r="A23" s="163" t="s">
        <v>615</v>
      </c>
      <c r="B23" s="236">
        <f t="shared" ref="B23:B29" si="0">$B$21*B5</f>
        <v>803000</v>
      </c>
      <c r="C23" s="234" t="s">
        <v>403</v>
      </c>
      <c r="D23" s="234"/>
      <c r="E23" s="239"/>
    </row>
    <row r="24" spans="1:5" x14ac:dyDescent="0.25">
      <c r="A24" s="163" t="s">
        <v>280</v>
      </c>
      <c r="B24" s="236">
        <f t="shared" si="0"/>
        <v>365000</v>
      </c>
      <c r="C24" s="234" t="s">
        <v>403</v>
      </c>
      <c r="D24" s="234"/>
      <c r="E24" s="239"/>
    </row>
    <row r="25" spans="1:5" x14ac:dyDescent="0.25">
      <c r="A25" s="163" t="s">
        <v>616</v>
      </c>
      <c r="B25" s="236">
        <f t="shared" si="0"/>
        <v>1022000</v>
      </c>
      <c r="C25" s="234" t="s">
        <v>403</v>
      </c>
      <c r="D25" s="251" t="s">
        <v>617</v>
      </c>
      <c r="E25" s="239"/>
    </row>
    <row r="26" spans="1:5" x14ac:dyDescent="0.25">
      <c r="A26" s="261" t="s">
        <v>618</v>
      </c>
      <c r="B26" s="236">
        <f t="shared" si="0"/>
        <v>23141000</v>
      </c>
      <c r="C26" s="234" t="s">
        <v>403</v>
      </c>
      <c r="D26" s="251" t="s">
        <v>619</v>
      </c>
      <c r="E26" s="239"/>
    </row>
    <row r="27" spans="1:5" x14ac:dyDescent="0.25">
      <c r="A27" s="260" t="s">
        <v>620</v>
      </c>
      <c r="B27" s="236">
        <f t="shared" si="0"/>
        <v>17009000</v>
      </c>
      <c r="C27" s="234" t="s">
        <v>403</v>
      </c>
      <c r="D27" s="251" t="s">
        <v>619</v>
      </c>
      <c r="E27" s="239"/>
    </row>
    <row r="28" spans="1:5" x14ac:dyDescent="0.25">
      <c r="A28" s="260" t="s">
        <v>621</v>
      </c>
      <c r="B28" s="236">
        <f t="shared" si="0"/>
        <v>148409000</v>
      </c>
      <c r="C28" s="234" t="s">
        <v>403</v>
      </c>
      <c r="D28" s="240"/>
      <c r="E28" s="239"/>
    </row>
    <row r="29" spans="1:5" x14ac:dyDescent="0.25">
      <c r="A29" s="260" t="s">
        <v>260</v>
      </c>
      <c r="B29" s="236">
        <f t="shared" si="0"/>
        <v>218999.99999999997</v>
      </c>
      <c r="C29" s="234" t="s">
        <v>403</v>
      </c>
      <c r="D29" s="240"/>
      <c r="E29" s="239"/>
    </row>
    <row r="30" spans="1:5" x14ac:dyDescent="0.25">
      <c r="A30" s="238"/>
      <c r="B30" s="239"/>
      <c r="C30" s="239"/>
      <c r="D30" s="239"/>
      <c r="E30" s="239"/>
    </row>
    <row r="31" spans="1:5" x14ac:dyDescent="0.25">
      <c r="A31" s="269" t="s">
        <v>434</v>
      </c>
      <c r="B31" s="269"/>
      <c r="C31" s="269"/>
      <c r="D31" s="269"/>
    </row>
    <row r="32" spans="1:5" x14ac:dyDescent="0.25">
      <c r="A32" s="104" t="s">
        <v>399</v>
      </c>
      <c r="B32" s="104" t="s">
        <v>400</v>
      </c>
      <c r="C32" s="106" t="s">
        <v>387</v>
      </c>
      <c r="D32" s="107" t="s">
        <v>388</v>
      </c>
    </row>
    <row r="33" spans="1:4" x14ac:dyDescent="0.25">
      <c r="A33" s="163" t="s">
        <v>591</v>
      </c>
      <c r="B33" s="236">
        <f>B21*B12</f>
        <v>178850000</v>
      </c>
      <c r="C33" s="234" t="s">
        <v>403</v>
      </c>
      <c r="D33" s="234"/>
    </row>
    <row r="34" spans="1:4" x14ac:dyDescent="0.25">
      <c r="A34" s="261" t="s">
        <v>426</v>
      </c>
      <c r="B34" s="262">
        <f>B21*B13</f>
        <v>25126600000</v>
      </c>
      <c r="C34" s="251" t="s">
        <v>622</v>
      </c>
      <c r="D34" s="251"/>
    </row>
    <row r="35" spans="1:4" x14ac:dyDescent="0.25">
      <c r="A35" s="260" t="s">
        <v>592</v>
      </c>
      <c r="B35" s="260">
        <f>B14*B21</f>
        <v>87600000</v>
      </c>
      <c r="C35" s="260" t="s">
        <v>403</v>
      </c>
      <c r="D35" s="260"/>
    </row>
    <row r="38" spans="1:4" x14ac:dyDescent="0.25">
      <c r="A38" t="s">
        <v>623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E5DB-0667-6B4F-9C82-BD7B8A17D1DF}">
  <sheetPr codeName="Sheet19"/>
  <dimension ref="A1:S29"/>
  <sheetViews>
    <sheetView zoomScale="130" zoomScaleNormal="130" workbookViewId="0">
      <selection activeCell="A2" sqref="A2"/>
    </sheetView>
  </sheetViews>
  <sheetFormatPr defaultColWidth="11" defaultRowHeight="15.75" x14ac:dyDescent="0.25"/>
  <cols>
    <col min="1" max="1" width="22.625" bestFit="1" customWidth="1"/>
    <col min="2" max="2" width="18" customWidth="1"/>
    <col min="3" max="3" width="12.5" bestFit="1" customWidth="1"/>
    <col min="4" max="4" width="39" customWidth="1"/>
    <col min="6" max="6" width="14.25" bestFit="1" customWidth="1"/>
    <col min="10" max="10" width="8.75" customWidth="1"/>
    <col min="11" max="11" width="13.375" customWidth="1"/>
    <col min="14" max="14" width="12.5" customWidth="1"/>
    <col min="16" max="16" width="13.375" customWidth="1"/>
    <col min="19" max="19" width="12" customWidth="1"/>
  </cols>
  <sheetData>
    <row r="1" spans="1:19" s="88" customFormat="1" ht="18.75" x14ac:dyDescent="0.3">
      <c r="A1" s="104" t="s">
        <v>385</v>
      </c>
      <c r="B1" s="105" t="s">
        <v>386</v>
      </c>
      <c r="C1" s="106" t="s">
        <v>387</v>
      </c>
      <c r="D1" s="107" t="s">
        <v>388</v>
      </c>
      <c r="E1" s="107" t="s">
        <v>389</v>
      </c>
      <c r="G1" s="88" t="s">
        <v>390</v>
      </c>
      <c r="H1" s="90" t="s">
        <v>73</v>
      </c>
      <c r="I1" s="90" t="s">
        <v>1</v>
      </c>
      <c r="K1" s="276" t="s">
        <v>624</v>
      </c>
      <c r="L1" s="276"/>
      <c r="M1" s="276"/>
      <c r="N1" s="276"/>
      <c r="O1"/>
      <c r="P1" s="276" t="s">
        <v>625</v>
      </c>
      <c r="Q1" s="276"/>
      <c r="R1" s="276"/>
      <c r="S1" s="276"/>
    </row>
    <row r="2" spans="1:19" s="88" customFormat="1" x14ac:dyDescent="0.25">
      <c r="A2" s="270" t="s">
        <v>146</v>
      </c>
      <c r="B2" s="109">
        <v>0</v>
      </c>
      <c r="C2" s="229" t="s">
        <v>545</v>
      </c>
      <c r="D2" s="110" t="s">
        <v>626</v>
      </c>
      <c r="E2" s="110" t="s">
        <v>398</v>
      </c>
      <c r="K2" s="277" t="s">
        <v>394</v>
      </c>
      <c r="L2" s="277"/>
      <c r="M2" s="277"/>
      <c r="N2" s="277"/>
      <c r="O2"/>
      <c r="P2" s="277" t="s">
        <v>394</v>
      </c>
      <c r="Q2" s="277"/>
      <c r="R2" s="277"/>
      <c r="S2" s="277"/>
    </row>
    <row r="3" spans="1:19" s="88" customFormat="1" x14ac:dyDescent="0.25">
      <c r="A3" s="255" t="s">
        <v>150</v>
      </c>
      <c r="B3" s="109">
        <f>166250/301713</f>
        <v>0.55102034052228444</v>
      </c>
      <c r="C3" s="229" t="s">
        <v>545</v>
      </c>
      <c r="D3" s="110" t="s">
        <v>627</v>
      </c>
      <c r="E3" s="229" t="s">
        <v>398</v>
      </c>
      <c r="K3" s="104" t="s">
        <v>399</v>
      </c>
      <c r="L3" s="114" t="s">
        <v>400</v>
      </c>
      <c r="M3" s="106" t="s">
        <v>387</v>
      </c>
      <c r="N3" s="107" t="s">
        <v>388</v>
      </c>
      <c r="O3"/>
      <c r="P3" s="104" t="s">
        <v>399</v>
      </c>
      <c r="Q3" s="114" t="s">
        <v>400</v>
      </c>
      <c r="R3" s="106" t="s">
        <v>387</v>
      </c>
      <c r="S3" s="107" t="s">
        <v>388</v>
      </c>
    </row>
    <row r="4" spans="1:19" s="88" customFormat="1" x14ac:dyDescent="0.25">
      <c r="A4" s="111" t="s">
        <v>152</v>
      </c>
      <c r="B4" s="109">
        <f>1260/301713</f>
        <v>4.1761541597478396E-3</v>
      </c>
      <c r="C4" s="229" t="s">
        <v>545</v>
      </c>
      <c r="D4" s="110" t="s">
        <v>627</v>
      </c>
      <c r="E4" s="110" t="s">
        <v>398</v>
      </c>
      <c r="K4" s="116" t="s">
        <v>325</v>
      </c>
      <c r="L4" s="110">
        <f>SoyCult!O24</f>
        <v>301713.2960400001</v>
      </c>
      <c r="M4" s="110" t="s">
        <v>403</v>
      </c>
      <c r="N4" s="110"/>
      <c r="O4"/>
      <c r="P4" s="116" t="s">
        <v>45</v>
      </c>
      <c r="Q4" s="110"/>
      <c r="R4" s="110" t="s">
        <v>403</v>
      </c>
      <c r="S4" s="110"/>
    </row>
    <row r="5" spans="1:19" s="88" customFormat="1" x14ac:dyDescent="0.25">
      <c r="A5" s="255" t="s">
        <v>246</v>
      </c>
      <c r="B5" s="109">
        <f>1.16*(1/4.5)</f>
        <v>0.25777777777777777</v>
      </c>
      <c r="C5" s="229" t="s">
        <v>409</v>
      </c>
      <c r="D5" s="110" t="s">
        <v>390</v>
      </c>
      <c r="E5" s="229" t="s">
        <v>398</v>
      </c>
      <c r="K5" s="116" t="s">
        <v>204</v>
      </c>
      <c r="L5" s="118">
        <f>B6*L4</f>
        <v>238.35350387160008</v>
      </c>
      <c r="M5" s="110" t="s">
        <v>403</v>
      </c>
      <c r="N5" s="110"/>
      <c r="O5"/>
      <c r="P5" s="116" t="s">
        <v>204</v>
      </c>
      <c r="Q5" s="118">
        <f>G6*Q4</f>
        <v>0</v>
      </c>
      <c r="R5" s="110" t="s">
        <v>403</v>
      </c>
      <c r="S5" s="110"/>
    </row>
    <row r="6" spans="1:19" s="88" customFormat="1" x14ac:dyDescent="0.25">
      <c r="A6" s="255" t="s">
        <v>204</v>
      </c>
      <c r="B6" s="109">
        <v>7.9000000000000001E-4</v>
      </c>
      <c r="C6" s="229" t="s">
        <v>409</v>
      </c>
      <c r="D6" s="110" t="s">
        <v>628</v>
      </c>
      <c r="E6" s="229" t="s">
        <v>398</v>
      </c>
      <c r="K6" s="116" t="s">
        <v>629</v>
      </c>
      <c r="L6" s="202">
        <f>B5*L4</f>
        <v>77774.982979200024</v>
      </c>
      <c r="M6" s="110" t="s">
        <v>403</v>
      </c>
      <c r="N6" s="110"/>
      <c r="O6"/>
      <c r="P6" s="116" t="s">
        <v>629</v>
      </c>
      <c r="Q6" s="202">
        <f>G5*Q4</f>
        <v>0</v>
      </c>
      <c r="R6" s="110" t="s">
        <v>403</v>
      </c>
      <c r="S6" s="110"/>
    </row>
    <row r="7" spans="1:19" s="88" customFormat="1" x14ac:dyDescent="0.25">
      <c r="A7" s="270" t="s">
        <v>280</v>
      </c>
      <c r="B7" s="109">
        <v>1.33</v>
      </c>
      <c r="C7" s="229" t="s">
        <v>430</v>
      </c>
      <c r="D7" s="110" t="s">
        <v>630</v>
      </c>
      <c r="E7" s="229" t="s">
        <v>398</v>
      </c>
      <c r="K7" s="116" t="s">
        <v>426</v>
      </c>
      <c r="L7" s="118">
        <f>B8*L4</f>
        <v>46933.17938400001</v>
      </c>
      <c r="M7" s="110" t="s">
        <v>427</v>
      </c>
      <c r="N7" s="110"/>
      <c r="O7"/>
      <c r="P7" s="116" t="s">
        <v>426</v>
      </c>
      <c r="Q7" s="118">
        <f>G8*Q4</f>
        <v>0</v>
      </c>
      <c r="R7" s="110" t="s">
        <v>427</v>
      </c>
      <c r="S7" s="110"/>
    </row>
    <row r="8" spans="1:19" s="88" customFormat="1" x14ac:dyDescent="0.25">
      <c r="A8" s="270" t="s">
        <v>262</v>
      </c>
      <c r="B8" s="109">
        <f>0.7*(1/4.5)</f>
        <v>0.15555555555555553</v>
      </c>
      <c r="C8" s="229" t="s">
        <v>430</v>
      </c>
      <c r="D8" s="110" t="s">
        <v>390</v>
      </c>
      <c r="E8" s="229" t="s">
        <v>398</v>
      </c>
      <c r="K8" s="116" t="s">
        <v>280</v>
      </c>
      <c r="L8" s="117">
        <f>(B7*L4)/LCI!E56</f>
        <v>8025.5736746640023</v>
      </c>
      <c r="M8" s="110" t="s">
        <v>403</v>
      </c>
      <c r="N8" s="110"/>
      <c r="O8"/>
      <c r="P8" s="116" t="s">
        <v>280</v>
      </c>
      <c r="Q8" s="117">
        <f>(G7*Q4)/LCI!J56</f>
        <v>0</v>
      </c>
      <c r="R8" s="110" t="s">
        <v>403</v>
      </c>
      <c r="S8" s="110"/>
    </row>
    <row r="9" spans="1:19" s="88" customFormat="1" x14ac:dyDescent="0.25">
      <c r="A9" s="255" t="s">
        <v>323</v>
      </c>
      <c r="B9" s="109">
        <f>1/4.5</f>
        <v>0.22222222222222221</v>
      </c>
      <c r="C9" s="229" t="s">
        <v>409</v>
      </c>
      <c r="D9" s="110" t="s">
        <v>390</v>
      </c>
      <c r="E9" s="110" t="s">
        <v>419</v>
      </c>
      <c r="K9" s="116" t="s">
        <v>395</v>
      </c>
      <c r="L9" s="256">
        <f>B2*L4</f>
        <v>0</v>
      </c>
      <c r="M9" s="110" t="s">
        <v>428</v>
      </c>
      <c r="N9" s="110"/>
      <c r="O9"/>
      <c r="P9" s="116" t="s">
        <v>395</v>
      </c>
      <c r="Q9" s="256">
        <f>G2*Q4</f>
        <v>0</v>
      </c>
      <c r="R9" s="110" t="s">
        <v>428</v>
      </c>
      <c r="S9" s="110"/>
    </row>
    <row r="10" spans="1:19" s="88" customFormat="1" x14ac:dyDescent="0.25">
      <c r="A10" s="111" t="s">
        <v>321</v>
      </c>
      <c r="B10" s="109">
        <f>3.5/4.5</f>
        <v>0.77777777777777779</v>
      </c>
      <c r="C10" s="229" t="s">
        <v>409</v>
      </c>
      <c r="D10" s="110" t="s">
        <v>390</v>
      </c>
      <c r="E10" s="110" t="s">
        <v>419</v>
      </c>
      <c r="K10" s="116" t="s">
        <v>150</v>
      </c>
      <c r="L10" s="257">
        <f>B3*L4</f>
        <v>166250.16312406166</v>
      </c>
      <c r="M10" s="110" t="s">
        <v>428</v>
      </c>
      <c r="N10" s="110"/>
      <c r="O10"/>
      <c r="P10" s="116" t="s">
        <v>150</v>
      </c>
      <c r="Q10" s="257">
        <f>G3*Q4</f>
        <v>0</v>
      </c>
      <c r="R10" s="110" t="s">
        <v>428</v>
      </c>
      <c r="S10" s="110"/>
    </row>
    <row r="11" spans="1:19" x14ac:dyDescent="0.25">
      <c r="K11" s="116" t="s">
        <v>152</v>
      </c>
      <c r="L11" s="118">
        <f>B4*L4</f>
        <v>1260.0012363086778</v>
      </c>
      <c r="M11" s="110" t="s">
        <v>631</v>
      </c>
      <c r="N11" s="110"/>
      <c r="P11" s="116" t="s">
        <v>152</v>
      </c>
      <c r="Q11" s="118">
        <f>G4*Q4</f>
        <v>0</v>
      </c>
      <c r="R11" s="110" t="s">
        <v>631</v>
      </c>
      <c r="S11" s="110"/>
    </row>
    <row r="12" spans="1:19" x14ac:dyDescent="0.25">
      <c r="K12" s="89"/>
      <c r="L12" s="88"/>
      <c r="M12" s="88"/>
      <c r="N12" s="88"/>
      <c r="P12" s="89"/>
      <c r="Q12" s="88"/>
      <c r="R12" s="88"/>
      <c r="S12" s="88"/>
    </row>
    <row r="13" spans="1:19" x14ac:dyDescent="0.25">
      <c r="K13" s="277" t="s">
        <v>434</v>
      </c>
      <c r="L13" s="277"/>
      <c r="M13" s="277"/>
      <c r="N13" s="277"/>
      <c r="P13" s="277" t="s">
        <v>434</v>
      </c>
      <c r="Q13" s="277"/>
      <c r="R13" s="277"/>
      <c r="S13" s="277"/>
    </row>
    <row r="14" spans="1:19" x14ac:dyDescent="0.25">
      <c r="K14" s="104" t="s">
        <v>399</v>
      </c>
      <c r="L14" s="114" t="s">
        <v>400</v>
      </c>
      <c r="M14" s="106" t="s">
        <v>387</v>
      </c>
      <c r="N14" s="107" t="s">
        <v>388</v>
      </c>
      <c r="P14" s="104" t="s">
        <v>399</v>
      </c>
      <c r="Q14" s="114" t="s">
        <v>400</v>
      </c>
      <c r="R14" s="106" t="s">
        <v>387</v>
      </c>
      <c r="S14" s="107" t="s">
        <v>388</v>
      </c>
    </row>
    <row r="15" spans="1:19" x14ac:dyDescent="0.25">
      <c r="K15" s="116" t="s">
        <v>632</v>
      </c>
      <c r="L15" s="117">
        <f>L4*B9</f>
        <v>67047.399120000016</v>
      </c>
      <c r="M15" s="110" t="s">
        <v>403</v>
      </c>
      <c r="N15" s="110" t="s">
        <v>437</v>
      </c>
      <c r="P15" s="116" t="s">
        <v>633</v>
      </c>
      <c r="Q15" s="117">
        <f>Q4*G9</f>
        <v>0</v>
      </c>
      <c r="R15" s="110" t="s">
        <v>403</v>
      </c>
      <c r="S15" s="110" t="s">
        <v>437</v>
      </c>
    </row>
    <row r="16" spans="1:19" x14ac:dyDescent="0.25">
      <c r="K16" s="116" t="s">
        <v>634</v>
      </c>
      <c r="L16" s="203">
        <f>L4*B10</f>
        <v>234665.89692000009</v>
      </c>
      <c r="M16" s="110" t="s">
        <v>403</v>
      </c>
      <c r="N16" s="110"/>
      <c r="P16" s="116" t="s">
        <v>635</v>
      </c>
      <c r="Q16" s="203">
        <f>Q4*G10</f>
        <v>0</v>
      </c>
      <c r="R16" s="110" t="s">
        <v>403</v>
      </c>
      <c r="S16" s="110"/>
    </row>
    <row r="29" spans="1:4" x14ac:dyDescent="0.25">
      <c r="A29" s="89"/>
      <c r="B29" s="88"/>
      <c r="C29" s="88"/>
      <c r="D29" s="88"/>
    </row>
  </sheetData>
  <mergeCells count="6">
    <mergeCell ref="K1:N1"/>
    <mergeCell ref="K2:N2"/>
    <mergeCell ref="K13:N13"/>
    <mergeCell ref="P1:S1"/>
    <mergeCell ref="P2:S2"/>
    <mergeCell ref="P13:S1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DFFA-6CA1-EB48-A7C4-659A62AFDF3C}">
  <sheetPr codeName="Sheet20"/>
  <dimension ref="A1:L30"/>
  <sheetViews>
    <sheetView zoomScale="130" zoomScaleNormal="130" workbookViewId="0">
      <selection activeCell="E22" sqref="E22"/>
    </sheetView>
  </sheetViews>
  <sheetFormatPr defaultColWidth="11" defaultRowHeight="15.75" x14ac:dyDescent="0.25"/>
  <cols>
    <col min="1" max="1" width="24" customWidth="1"/>
    <col min="2" max="2" width="15.375" customWidth="1"/>
    <col min="3" max="3" width="13.625" customWidth="1"/>
    <col min="4" max="4" width="26.5" customWidth="1"/>
    <col min="6" max="6" width="17.625" bestFit="1" customWidth="1"/>
    <col min="12" max="12" width="12" customWidth="1"/>
  </cols>
  <sheetData>
    <row r="1" spans="1:12" s="88" customFormat="1" x14ac:dyDescent="0.25">
      <c r="A1" s="104" t="s">
        <v>385</v>
      </c>
      <c r="B1" s="105" t="s">
        <v>386</v>
      </c>
      <c r="C1" s="106" t="s">
        <v>387</v>
      </c>
      <c r="D1" s="107" t="s">
        <v>388</v>
      </c>
      <c r="E1" s="107" t="s">
        <v>389</v>
      </c>
      <c r="G1" s="88" t="s">
        <v>390</v>
      </c>
      <c r="I1" s="278" t="s">
        <v>636</v>
      </c>
      <c r="J1" s="278"/>
      <c r="K1" s="278"/>
      <c r="L1" s="278"/>
    </row>
    <row r="2" spans="1:12" s="88" customFormat="1" ht="15" x14ac:dyDescent="0.25">
      <c r="A2" s="226" t="s">
        <v>637</v>
      </c>
      <c r="B2" s="258" t="s">
        <v>638</v>
      </c>
      <c r="C2" s="106"/>
      <c r="D2" s="107"/>
      <c r="E2" s="107"/>
      <c r="I2" s="277" t="s">
        <v>394</v>
      </c>
      <c r="J2" s="277"/>
      <c r="K2" s="277"/>
      <c r="L2" s="277"/>
    </row>
    <row r="3" spans="1:12" s="88" customFormat="1" ht="15" x14ac:dyDescent="0.25">
      <c r="A3" s="112" t="s">
        <v>215</v>
      </c>
      <c r="B3" s="109">
        <f>0.108*G4</f>
        <v>9.8450319051959889E-2</v>
      </c>
      <c r="C3" s="229" t="s">
        <v>409</v>
      </c>
      <c r="D3" s="110" t="s">
        <v>390</v>
      </c>
      <c r="E3" s="229" t="s">
        <v>398</v>
      </c>
      <c r="F3" s="88" t="s">
        <v>639</v>
      </c>
      <c r="G3" s="88">
        <f>1+0.09+0.007</f>
        <v>1.097</v>
      </c>
      <c r="I3" s="104" t="s">
        <v>399</v>
      </c>
      <c r="J3" s="104" t="s">
        <v>400</v>
      </c>
      <c r="K3" s="106" t="s">
        <v>387</v>
      </c>
      <c r="L3" s="107" t="s">
        <v>388</v>
      </c>
    </row>
    <row r="4" spans="1:12" s="88" customFormat="1" ht="15" x14ac:dyDescent="0.25">
      <c r="A4" s="271" t="s">
        <v>280</v>
      </c>
      <c r="B4" s="109">
        <f>1.18*G4</f>
        <v>1.0756608933454876</v>
      </c>
      <c r="C4" s="229" t="s">
        <v>430</v>
      </c>
      <c r="D4" s="110" t="s">
        <v>390</v>
      </c>
      <c r="E4" s="229" t="s">
        <v>398</v>
      </c>
      <c r="F4" s="88" t="s">
        <v>640</v>
      </c>
      <c r="G4" s="88">
        <f>1/G3</f>
        <v>0.91157702825888787</v>
      </c>
      <c r="I4" s="116" t="str">
        <f>HexExt!K15</f>
        <v>Soy Oil</v>
      </c>
      <c r="J4" s="117">
        <f>HexExt!L15</f>
        <v>67047.399120000016</v>
      </c>
      <c r="K4" s="110" t="s">
        <v>403</v>
      </c>
      <c r="L4" s="110"/>
    </row>
    <row r="5" spans="1:12" s="88" customFormat="1" ht="15" x14ac:dyDescent="0.25">
      <c r="A5" s="271" t="s">
        <v>262</v>
      </c>
      <c r="B5" s="109">
        <f>0.147*G4</f>
        <v>0.13400182315405651</v>
      </c>
      <c r="C5" s="229" t="s">
        <v>430</v>
      </c>
      <c r="D5" s="110" t="s">
        <v>390</v>
      </c>
      <c r="E5" s="110" t="s">
        <v>398</v>
      </c>
      <c r="F5" s="88" t="s">
        <v>641</v>
      </c>
      <c r="G5" s="88">
        <f>G4*HexExt!$B$9</f>
        <v>0.20257267294641951</v>
      </c>
      <c r="I5" s="116" t="str">
        <f t="shared" ref="I5:I10" si="0">A3</f>
        <v>Methanol</v>
      </c>
      <c r="J5" s="117">
        <f>J$4*B3</f>
        <v>6600.8378349680961</v>
      </c>
      <c r="K5" s="110" t="s">
        <v>403</v>
      </c>
      <c r="L5" s="110"/>
    </row>
    <row r="6" spans="1:12" s="88" customFormat="1" ht="15" x14ac:dyDescent="0.25">
      <c r="A6" s="226" t="s">
        <v>246</v>
      </c>
      <c r="B6" s="109">
        <f>0.5*G4</f>
        <v>0.45578851412944393</v>
      </c>
      <c r="C6" s="229" t="s">
        <v>409</v>
      </c>
      <c r="D6" s="110"/>
      <c r="E6" s="229" t="s">
        <v>398</v>
      </c>
      <c r="I6" s="116" t="str">
        <f t="shared" si="0"/>
        <v>Natural Gas</v>
      </c>
      <c r="J6" s="117">
        <f>(J$4*B4)/LCI!E56</f>
        <v>1442.4053046782137</v>
      </c>
      <c r="K6" s="110" t="s">
        <v>403</v>
      </c>
      <c r="L6" s="110"/>
    </row>
    <row r="7" spans="1:12" s="88" customFormat="1" ht="15" x14ac:dyDescent="0.25">
      <c r="A7" s="112" t="s">
        <v>150</v>
      </c>
      <c r="B7" s="128">
        <v>0.66236948350271474</v>
      </c>
      <c r="C7" s="229" t="s">
        <v>545</v>
      </c>
      <c r="D7" s="135" t="s">
        <v>642</v>
      </c>
      <c r="E7" s="110" t="s">
        <v>398</v>
      </c>
      <c r="I7" s="116" t="str">
        <f t="shared" si="0"/>
        <v>Electricity, Grid</v>
      </c>
      <c r="J7" s="117">
        <f>J$4*B5</f>
        <v>8984.4737198176863</v>
      </c>
      <c r="K7" s="110" t="s">
        <v>427</v>
      </c>
      <c r="L7" s="110"/>
    </row>
    <row r="8" spans="1:12" s="88" customFormat="1" ht="18" customHeight="1" x14ac:dyDescent="0.3">
      <c r="A8" s="112" t="s">
        <v>152</v>
      </c>
      <c r="B8" s="109">
        <f>318/65590</f>
        <v>4.84830004573868E-3</v>
      </c>
      <c r="C8" s="229" t="s">
        <v>545</v>
      </c>
      <c r="D8" s="110" t="s">
        <v>643</v>
      </c>
      <c r="E8" s="229" t="s">
        <v>398</v>
      </c>
      <c r="F8" s="90" t="s">
        <v>73</v>
      </c>
      <c r="G8" s="90" t="s">
        <v>1</v>
      </c>
      <c r="I8" s="116" t="str">
        <f t="shared" si="0"/>
        <v>Water</v>
      </c>
      <c r="J8" s="117">
        <f>J$4*B6</f>
        <v>30559.434421148595</v>
      </c>
      <c r="K8" s="110" t="s">
        <v>403</v>
      </c>
      <c r="L8" s="110"/>
    </row>
    <row r="9" spans="1:12" s="88" customFormat="1" ht="15" x14ac:dyDescent="0.25">
      <c r="A9" s="271" t="s">
        <v>146</v>
      </c>
      <c r="B9" s="109">
        <v>0</v>
      </c>
      <c r="C9" s="229" t="s">
        <v>545</v>
      </c>
      <c r="D9" s="229" t="s">
        <v>644</v>
      </c>
      <c r="E9" s="229" t="s">
        <v>398</v>
      </c>
      <c r="I9" s="116" t="str">
        <f t="shared" si="0"/>
        <v>Capital Cost</v>
      </c>
      <c r="J9" s="117">
        <f>J$4*B7</f>
        <v>44410.151125314784</v>
      </c>
      <c r="K9" s="110" t="s">
        <v>428</v>
      </c>
      <c r="L9" s="110"/>
    </row>
    <row r="10" spans="1:12" s="88" customFormat="1" ht="15" x14ac:dyDescent="0.25">
      <c r="A10" s="271" t="s">
        <v>335</v>
      </c>
      <c r="B10" s="109">
        <f>G4</f>
        <v>0.91157702825888787</v>
      </c>
      <c r="C10" s="229" t="s">
        <v>409</v>
      </c>
      <c r="D10" s="110" t="s">
        <v>390</v>
      </c>
      <c r="E10" s="110" t="s">
        <v>419</v>
      </c>
      <c r="I10" s="116" t="str">
        <f t="shared" si="0"/>
        <v>Labor</v>
      </c>
      <c r="J10" s="117">
        <f>J$4*B8</f>
        <v>325.06590822015562</v>
      </c>
      <c r="K10" s="110" t="s">
        <v>429</v>
      </c>
      <c r="L10" s="110"/>
    </row>
    <row r="11" spans="1:12" x14ac:dyDescent="0.25">
      <c r="A11" s="226" t="s">
        <v>311</v>
      </c>
      <c r="B11" s="109">
        <f>1-B10</f>
        <v>8.8422971741112133E-2</v>
      </c>
      <c r="C11" s="229" t="s">
        <v>409</v>
      </c>
      <c r="D11" s="110" t="s">
        <v>390</v>
      </c>
      <c r="E11" s="110" t="s">
        <v>419</v>
      </c>
      <c r="I11" s="89"/>
      <c r="J11" s="88"/>
      <c r="K11" s="88"/>
      <c r="L11" s="88"/>
    </row>
    <row r="12" spans="1:12" x14ac:dyDescent="0.25">
      <c r="I12" s="277" t="s">
        <v>434</v>
      </c>
      <c r="J12" s="277"/>
      <c r="K12" s="277"/>
      <c r="L12" s="277"/>
    </row>
    <row r="13" spans="1:12" x14ac:dyDescent="0.25">
      <c r="I13" s="104" t="s">
        <v>399</v>
      </c>
      <c r="J13" s="104" t="s">
        <v>400</v>
      </c>
      <c r="K13" s="106" t="s">
        <v>387</v>
      </c>
      <c r="L13" s="107" t="s">
        <v>388</v>
      </c>
    </row>
    <row r="14" spans="1:12" x14ac:dyDescent="0.25">
      <c r="I14" s="116" t="s">
        <v>645</v>
      </c>
      <c r="J14" s="119">
        <f>B10*J4</f>
        <v>61118.86884229719</v>
      </c>
      <c r="K14" s="110" t="s">
        <v>485</v>
      </c>
      <c r="L14" s="110" t="s">
        <v>437</v>
      </c>
    </row>
    <row r="15" spans="1:12" x14ac:dyDescent="0.25">
      <c r="I15" s="116" t="s">
        <v>311</v>
      </c>
      <c r="J15" s="118">
        <f>B11*J4</f>
        <v>5928.5302777028282</v>
      </c>
      <c r="K15" s="110" t="s">
        <v>485</v>
      </c>
      <c r="L15" s="110"/>
    </row>
    <row r="30" spans="1:4" x14ac:dyDescent="0.25">
      <c r="A30" s="89"/>
      <c r="B30" s="88"/>
      <c r="C30" s="88"/>
      <c r="D30" s="88"/>
    </row>
  </sheetData>
  <mergeCells count="3">
    <mergeCell ref="I1:L1"/>
    <mergeCell ref="I2:L2"/>
    <mergeCell ref="I12:L12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0943-4DA9-409C-93F6-41636C6BC9C9}">
  <dimension ref="A1"/>
  <sheetViews>
    <sheetView workbookViewId="0">
      <selection activeCell="Q27" sqref="Q27"/>
    </sheetView>
  </sheetViews>
  <sheetFormatPr defaultRowHeight="15.7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CBCD-854F-4AB0-9B8A-EE9F3C9ABD78}">
  <dimension ref="A1"/>
  <sheetViews>
    <sheetView workbookViewId="0">
      <selection activeCell="W36" sqref="W36"/>
    </sheetView>
  </sheetViews>
  <sheetFormatPr defaultRowHeight="15.75" x14ac:dyDescent="0.25"/>
  <sheetData>
    <row r="1" spans="1:1" x14ac:dyDescent="0.25">
      <c r="A1" t="s">
        <v>646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3DA3-E725-FA48-A67D-194A0E953C13}">
  <sheetPr codeName="Sheet21"/>
  <dimension ref="A1:E39"/>
  <sheetViews>
    <sheetView zoomScale="130" zoomScaleNormal="130" workbookViewId="0">
      <selection activeCell="B10" sqref="B10"/>
    </sheetView>
  </sheetViews>
  <sheetFormatPr defaultColWidth="11" defaultRowHeight="15.75" x14ac:dyDescent="0.25"/>
  <cols>
    <col min="1" max="1" width="24" bestFit="1" customWidth="1"/>
    <col min="4" max="4" width="25" customWidth="1"/>
  </cols>
  <sheetData>
    <row r="1" spans="1:5" ht="18.75" x14ac:dyDescent="0.3">
      <c r="A1" s="90" t="s">
        <v>73</v>
      </c>
      <c r="B1" s="90" t="s">
        <v>1</v>
      </c>
      <c r="C1" s="88"/>
      <c r="D1" s="88"/>
      <c r="E1" s="88"/>
    </row>
    <row r="2" spans="1:5" x14ac:dyDescent="0.25">
      <c r="A2" s="104" t="s">
        <v>385</v>
      </c>
      <c r="B2" s="105" t="s">
        <v>386</v>
      </c>
      <c r="C2" s="106" t="s">
        <v>387</v>
      </c>
      <c r="D2" s="107" t="s">
        <v>388</v>
      </c>
      <c r="E2" s="107" t="s">
        <v>389</v>
      </c>
    </row>
    <row r="3" spans="1:5" x14ac:dyDescent="0.25">
      <c r="A3" s="226" t="s">
        <v>637</v>
      </c>
      <c r="B3" s="258" t="s">
        <v>638</v>
      </c>
      <c r="C3" s="106"/>
      <c r="D3" s="107"/>
      <c r="E3" s="107"/>
    </row>
    <row r="4" spans="1:5" x14ac:dyDescent="0.25">
      <c r="A4" s="112" t="s">
        <v>277</v>
      </c>
      <c r="B4" s="109">
        <v>0.04</v>
      </c>
      <c r="C4" s="110" t="s">
        <v>647</v>
      </c>
      <c r="D4" s="110" t="s">
        <v>627</v>
      </c>
      <c r="E4" s="110" t="s">
        <v>419</v>
      </c>
    </row>
    <row r="5" spans="1:5" x14ac:dyDescent="0.25">
      <c r="A5" s="226" t="s">
        <v>280</v>
      </c>
      <c r="B5" s="109">
        <v>7.48</v>
      </c>
      <c r="C5" s="110" t="s">
        <v>648</v>
      </c>
      <c r="D5" s="110" t="s">
        <v>627</v>
      </c>
      <c r="E5" s="107"/>
    </row>
    <row r="6" spans="1:5" x14ac:dyDescent="0.25">
      <c r="A6" s="112" t="s">
        <v>426</v>
      </c>
      <c r="B6" s="109">
        <v>0.22</v>
      </c>
      <c r="C6" s="110" t="s">
        <v>648</v>
      </c>
      <c r="D6" s="110" t="s">
        <v>627</v>
      </c>
      <c r="E6" s="110" t="s">
        <v>398</v>
      </c>
    </row>
    <row r="7" spans="1:5" x14ac:dyDescent="0.25">
      <c r="A7" s="112" t="s">
        <v>629</v>
      </c>
      <c r="B7" s="109">
        <v>0.9</v>
      </c>
      <c r="C7" s="110" t="s">
        <v>647</v>
      </c>
      <c r="D7" s="110" t="s">
        <v>627</v>
      </c>
      <c r="E7" s="110"/>
    </row>
    <row r="8" spans="1:5" x14ac:dyDescent="0.25">
      <c r="A8" s="112" t="s">
        <v>150</v>
      </c>
      <c r="B8" s="130">
        <v>0.29799999999999999</v>
      </c>
      <c r="C8" s="110" t="s">
        <v>649</v>
      </c>
      <c r="D8" s="110" t="s">
        <v>627</v>
      </c>
      <c r="E8" s="110" t="s">
        <v>398</v>
      </c>
    </row>
    <row r="9" spans="1:5" x14ac:dyDescent="0.25">
      <c r="A9" s="112" t="s">
        <v>152</v>
      </c>
      <c r="B9" s="109">
        <f>318/65590</f>
        <v>4.84830004573868E-3</v>
      </c>
      <c r="C9" s="110" t="s">
        <v>649</v>
      </c>
      <c r="D9" s="110" t="s">
        <v>627</v>
      </c>
      <c r="E9" s="110"/>
    </row>
    <row r="10" spans="1:5" x14ac:dyDescent="0.25">
      <c r="A10" s="112" t="s">
        <v>650</v>
      </c>
      <c r="B10" s="109">
        <v>0.49399999999999999</v>
      </c>
      <c r="C10" s="110" t="s">
        <v>647</v>
      </c>
      <c r="D10" s="110" t="s">
        <v>627</v>
      </c>
      <c r="E10" s="110" t="s">
        <v>419</v>
      </c>
    </row>
    <row r="11" spans="1:5" x14ac:dyDescent="0.25">
      <c r="A11" s="112" t="s">
        <v>651</v>
      </c>
      <c r="B11" s="109">
        <v>8.6999999999999994E-2</v>
      </c>
      <c r="C11" s="110" t="s">
        <v>647</v>
      </c>
      <c r="D11" s="110" t="s">
        <v>627</v>
      </c>
      <c r="E11" s="110" t="s">
        <v>419</v>
      </c>
    </row>
    <row r="12" spans="1:5" x14ac:dyDescent="0.25">
      <c r="A12" s="147" t="s">
        <v>652</v>
      </c>
      <c r="B12" s="1">
        <v>5.3999999999999999E-2</v>
      </c>
      <c r="C12" s="110" t="s">
        <v>647</v>
      </c>
      <c r="D12" s="110" t="s">
        <v>627</v>
      </c>
    </row>
    <row r="13" spans="1:5" x14ac:dyDescent="0.25">
      <c r="A13" s="147" t="s">
        <v>653</v>
      </c>
      <c r="B13" s="1">
        <v>4.2000000000000003E-2</v>
      </c>
      <c r="C13" s="110" t="s">
        <v>647</v>
      </c>
      <c r="D13" s="110" t="s">
        <v>627</v>
      </c>
    </row>
    <row r="14" spans="1:5" x14ac:dyDescent="0.25">
      <c r="A14" s="147" t="s">
        <v>654</v>
      </c>
      <c r="B14" s="1">
        <v>0.06</v>
      </c>
      <c r="C14" s="110" t="s">
        <v>647</v>
      </c>
      <c r="D14" s="110" t="s">
        <v>627</v>
      </c>
    </row>
    <row r="15" spans="1:5" x14ac:dyDescent="0.25">
      <c r="A15" s="147" t="s">
        <v>655</v>
      </c>
      <c r="B15" s="1">
        <v>0.23300000000000001</v>
      </c>
      <c r="C15" s="110" t="s">
        <v>647</v>
      </c>
      <c r="D15" s="110" t="s">
        <v>627</v>
      </c>
    </row>
    <row r="16" spans="1:5" x14ac:dyDescent="0.25">
      <c r="A16" s="147" t="s">
        <v>656</v>
      </c>
      <c r="B16" s="1">
        <v>7.0000000000000007E-2</v>
      </c>
      <c r="C16" s="110" t="s">
        <v>647</v>
      </c>
      <c r="D16" s="110" t="s">
        <v>627</v>
      </c>
    </row>
    <row r="19" spans="1:4" x14ac:dyDescent="0.25">
      <c r="A19" s="278" t="s">
        <v>657</v>
      </c>
      <c r="B19" s="278"/>
      <c r="C19" s="278"/>
      <c r="D19" s="278"/>
    </row>
    <row r="20" spans="1:4" x14ac:dyDescent="0.25">
      <c r="A20" s="277" t="s">
        <v>394</v>
      </c>
      <c r="B20" s="277"/>
      <c r="C20" s="277"/>
      <c r="D20" s="277"/>
    </row>
    <row r="21" spans="1:4" x14ac:dyDescent="0.25">
      <c r="A21" s="104" t="s">
        <v>399</v>
      </c>
      <c r="B21" s="104" t="s">
        <v>400</v>
      </c>
      <c r="C21" s="106" t="s">
        <v>387</v>
      </c>
      <c r="D21" s="107" t="s">
        <v>388</v>
      </c>
    </row>
    <row r="22" spans="1:4" x14ac:dyDescent="0.25">
      <c r="A22" s="116" t="str">
        <f>HexExt!K15</f>
        <v>Soy Oil</v>
      </c>
      <c r="B22" s="117">
        <f>HexExt!L15</f>
        <v>67047.399120000016</v>
      </c>
      <c r="C22" s="110" t="s">
        <v>403</v>
      </c>
      <c r="D22" s="110"/>
    </row>
    <row r="23" spans="1:4" x14ac:dyDescent="0.25">
      <c r="A23" s="116" t="str">
        <f t="shared" ref="A23:A28" si="0">A4</f>
        <v>Hydrogen</v>
      </c>
      <c r="B23" s="117">
        <f>B$22*B4</f>
        <v>2681.8959648000009</v>
      </c>
      <c r="C23" s="110" t="s">
        <v>403</v>
      </c>
      <c r="D23" s="110"/>
    </row>
    <row r="24" spans="1:4" x14ac:dyDescent="0.25">
      <c r="A24" s="116" t="str">
        <f t="shared" si="0"/>
        <v>Natural Gas</v>
      </c>
      <c r="B24" s="117">
        <f>(B$22*B5)/LCI!E56</f>
        <v>10030.290908352003</v>
      </c>
      <c r="C24" s="110" t="s">
        <v>403</v>
      </c>
      <c r="D24" s="110"/>
    </row>
    <row r="25" spans="1:4" x14ac:dyDescent="0.25">
      <c r="A25" s="116" t="str">
        <f t="shared" si="0"/>
        <v>Electricity</v>
      </c>
      <c r="B25" s="117">
        <f>B$22*B6</f>
        <v>14750.427806400005</v>
      </c>
      <c r="C25" s="110" t="s">
        <v>427</v>
      </c>
      <c r="D25" s="110"/>
    </row>
    <row r="26" spans="1:4" x14ac:dyDescent="0.25">
      <c r="A26" s="116" t="str">
        <f t="shared" si="0"/>
        <v>Process Water</v>
      </c>
      <c r="B26" s="117">
        <f>B$22*B7</f>
        <v>60342.659208000019</v>
      </c>
      <c r="C26" s="110" t="s">
        <v>403</v>
      </c>
      <c r="D26" s="110"/>
    </row>
    <row r="27" spans="1:4" x14ac:dyDescent="0.25">
      <c r="A27" s="116" t="str">
        <f t="shared" si="0"/>
        <v>Capital Cost</v>
      </c>
      <c r="B27" s="117">
        <f>B$22*B8</f>
        <v>19980.124937760003</v>
      </c>
      <c r="C27" s="110" t="s">
        <v>428</v>
      </c>
      <c r="D27" s="110"/>
    </row>
    <row r="28" spans="1:4" x14ac:dyDescent="0.25">
      <c r="A28" s="116" t="str">
        <f t="shared" si="0"/>
        <v>Labor</v>
      </c>
      <c r="B28" s="117">
        <f>B$22*B9</f>
        <v>325.06590822015562</v>
      </c>
      <c r="C28" s="110" t="s">
        <v>429</v>
      </c>
      <c r="D28" s="110"/>
    </row>
    <row r="29" spans="1:4" x14ac:dyDescent="0.25">
      <c r="A29" s="89"/>
      <c r="B29" s="88"/>
      <c r="C29" s="88"/>
      <c r="D29" s="88"/>
    </row>
    <row r="30" spans="1:4" x14ac:dyDescent="0.25">
      <c r="A30" s="269" t="s">
        <v>434</v>
      </c>
      <c r="B30" s="269"/>
      <c r="C30" s="269"/>
      <c r="D30" s="269"/>
    </row>
    <row r="31" spans="1:4" x14ac:dyDescent="0.25">
      <c r="A31" s="114" t="s">
        <v>399</v>
      </c>
      <c r="B31" s="104" t="s">
        <v>400</v>
      </c>
      <c r="C31" s="106" t="s">
        <v>387</v>
      </c>
      <c r="D31" s="115" t="s">
        <v>388</v>
      </c>
    </row>
    <row r="32" spans="1:4" x14ac:dyDescent="0.25">
      <c r="A32" s="116" t="str">
        <f>A10</f>
        <v>Jet-A Yield</v>
      </c>
      <c r="B32" s="119">
        <f>B10*$B$22</f>
        <v>33121.415165280006</v>
      </c>
      <c r="C32" s="110" t="s">
        <v>485</v>
      </c>
      <c r="D32" s="110" t="s">
        <v>437</v>
      </c>
    </row>
    <row r="33" spans="1:4" x14ac:dyDescent="0.25">
      <c r="A33" s="116" t="str">
        <f t="shared" ref="A33:A38" si="1">A11</f>
        <v>Water Yield</v>
      </c>
      <c r="B33" s="119">
        <f t="shared" ref="B33:B38" si="2">B11*$B$22</f>
        <v>5833.1237234400014</v>
      </c>
      <c r="C33" s="110" t="s">
        <v>485</v>
      </c>
      <c r="D33" s="110"/>
    </row>
    <row r="34" spans="1:4" x14ac:dyDescent="0.25">
      <c r="A34" s="116" t="str">
        <f t="shared" si="1"/>
        <v>Carbon Dioxide Yield</v>
      </c>
      <c r="B34" s="119">
        <f>B12*$B$22</f>
        <v>3620.559552480001</v>
      </c>
      <c r="C34" s="110" t="s">
        <v>485</v>
      </c>
    </row>
    <row r="35" spans="1:4" x14ac:dyDescent="0.25">
      <c r="A35" s="116" t="str">
        <f t="shared" si="1"/>
        <v>Propane Yield</v>
      </c>
      <c r="B35" s="119">
        <f t="shared" si="2"/>
        <v>2815.9907630400007</v>
      </c>
      <c r="C35" s="110" t="s">
        <v>485</v>
      </c>
    </row>
    <row r="36" spans="1:4" x14ac:dyDescent="0.25">
      <c r="A36" s="116" t="str">
        <f t="shared" si="1"/>
        <v>LPG Yield</v>
      </c>
      <c r="B36" s="119">
        <f t="shared" si="2"/>
        <v>4022.8439472000009</v>
      </c>
      <c r="C36" s="110" t="s">
        <v>485</v>
      </c>
    </row>
    <row r="37" spans="1:4" x14ac:dyDescent="0.25">
      <c r="A37" s="116" t="str">
        <f t="shared" si="1"/>
        <v>Diesel Yield</v>
      </c>
      <c r="B37" s="119">
        <f t="shared" si="2"/>
        <v>15622.043994960004</v>
      </c>
      <c r="C37" s="110" t="s">
        <v>485</v>
      </c>
    </row>
    <row r="38" spans="1:4" x14ac:dyDescent="0.25">
      <c r="A38" s="116" t="str">
        <f t="shared" si="1"/>
        <v>Gasoline Yield</v>
      </c>
      <c r="B38" s="119">
        <f t="shared" si="2"/>
        <v>4693.3179384000014</v>
      </c>
      <c r="C38" s="110" t="s">
        <v>485</v>
      </c>
    </row>
    <row r="39" spans="1:4" x14ac:dyDescent="0.25">
      <c r="A39" s="116"/>
    </row>
  </sheetData>
  <mergeCells count="2">
    <mergeCell ref="A19:D19"/>
    <mergeCell ref="A20:D20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F4B4-DCEF-8D46-9E7B-137DD8D4B06A}">
  <sheetPr codeName="Sheet4"/>
  <dimension ref="A1:R2"/>
  <sheetViews>
    <sheetView workbookViewId="0">
      <selection activeCell="F2" sqref="F2"/>
    </sheetView>
  </sheetViews>
  <sheetFormatPr defaultColWidth="11" defaultRowHeight="15.75" x14ac:dyDescent="0.25"/>
  <cols>
    <col min="1" max="1" width="21.875" customWidth="1"/>
    <col min="2" max="2" width="19.375" customWidth="1"/>
    <col min="3" max="3" width="16.125" customWidth="1"/>
    <col min="4" max="4" width="16" customWidth="1"/>
    <col min="5" max="5" width="17.125" customWidth="1"/>
    <col min="6" max="6" width="18.75" customWidth="1"/>
    <col min="9" max="9" width="12.375" customWidth="1"/>
    <col min="10" max="10" width="12.5" customWidth="1"/>
    <col min="11" max="11" width="14.875" bestFit="1" customWidth="1"/>
    <col min="12" max="12" width="11.875" customWidth="1"/>
    <col min="15" max="15" width="11.625" customWidth="1"/>
  </cols>
  <sheetData>
    <row r="1" spans="1:18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47</v>
      </c>
      <c r="L1" t="s">
        <v>67</v>
      </c>
      <c r="M1" t="s">
        <v>48</v>
      </c>
      <c r="N1" t="s">
        <v>49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25">
      <c r="A2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C0BF-77A0-6846-A712-716A8968C0F2}">
  <sheetPr codeName="Sheet5"/>
  <dimension ref="A1:Q135"/>
  <sheetViews>
    <sheetView topLeftCell="A55" zoomScale="140" zoomScaleNormal="140" workbookViewId="0">
      <selection activeCell="B79" sqref="B79"/>
    </sheetView>
  </sheetViews>
  <sheetFormatPr defaultColWidth="11" defaultRowHeight="15.75" x14ac:dyDescent="0.25"/>
  <cols>
    <col min="1" max="1" width="30.125" customWidth="1"/>
    <col min="2" max="2" width="16.5" style="7" customWidth="1"/>
    <col min="3" max="3" width="24.625" style="7" bestFit="1" customWidth="1"/>
    <col min="4" max="4" width="21.5" style="7" bestFit="1" customWidth="1"/>
    <col min="5" max="5" width="18.875" style="7" bestFit="1" customWidth="1"/>
    <col min="6" max="6" width="18.875" style="7" customWidth="1"/>
    <col min="7" max="7" width="20" style="7" customWidth="1"/>
    <col min="8" max="8" width="19.5" style="7" customWidth="1"/>
    <col min="9" max="9" width="14" style="7" bestFit="1" customWidth="1"/>
    <col min="10" max="10" width="15" style="7" customWidth="1"/>
    <col min="11" max="11" width="15.5" style="7" customWidth="1"/>
    <col min="12" max="12" width="18.5" style="7" customWidth="1"/>
    <col min="13" max="13" width="25.625" style="7" customWidth="1"/>
    <col min="14" max="17" width="10.875" style="7"/>
  </cols>
  <sheetData>
    <row r="1" spans="1:17" ht="18.75" x14ac:dyDescent="0.3">
      <c r="A1" s="90" t="s">
        <v>73</v>
      </c>
      <c r="B1" s="141" t="s">
        <v>1</v>
      </c>
    </row>
    <row r="2" spans="1:17" x14ac:dyDescent="0.25">
      <c r="A2" s="9" t="s">
        <v>74</v>
      </c>
      <c r="B2" s="7" t="str">
        <f>General!B1</f>
        <v>Soy Biodiesel</v>
      </c>
      <c r="C2" s="7" t="str">
        <f>General!C1</f>
        <v>Soy Jet</v>
      </c>
      <c r="D2" s="7" t="str">
        <f>General!D1</f>
        <v>Corn Grain EtOH</v>
      </c>
      <c r="E2" s="7" t="str">
        <f>General!E1</f>
        <v>Corn Stover EtOH</v>
      </c>
      <c r="F2" s="7" t="str">
        <f>General!F1</f>
        <v>Corn Stover Pyrol Jet</v>
      </c>
      <c r="G2" s="7" t="str">
        <f>General!G1</f>
        <v>Poplar Jet</v>
      </c>
      <c r="H2" s="7" t="str">
        <f>General!H1</f>
        <v>Switchgrass Jet</v>
      </c>
      <c r="I2" s="7" t="str">
        <f>General!I1</f>
        <v>Algae HEFA</v>
      </c>
      <c r="J2" s="7" t="str">
        <f>General!J1</f>
        <v>Algae HTL</v>
      </c>
      <c r="K2" s="7" t="str">
        <f>General!K1</f>
        <v>Forestry Residue</v>
      </c>
      <c r="L2" s="7" t="str">
        <f>General!M1</f>
        <v>Carinata</v>
      </c>
      <c r="M2" s="7" t="str">
        <f>General!N1</f>
        <v>Guayule</v>
      </c>
      <c r="N2" s="7" t="str">
        <f>General!O1</f>
        <v>Macroalage</v>
      </c>
      <c r="O2" s="7" t="str">
        <f>General!P1</f>
        <v>BETO+</v>
      </c>
      <c r="P2" s="7" t="str">
        <f>General!Q1</f>
        <v>BETO++</v>
      </c>
      <c r="Q2" s="7" t="str">
        <f>General!R1</f>
        <v>BETO+++</v>
      </c>
    </row>
    <row r="3" spans="1:17" x14ac:dyDescent="0.25">
      <c r="A3" s="8" t="s">
        <v>75</v>
      </c>
      <c r="D3" s="10"/>
      <c r="E3" s="10"/>
      <c r="F3" s="10"/>
    </row>
    <row r="4" spans="1:17" x14ac:dyDescent="0.25">
      <c r="A4" t="str">
        <f>I_O!N242</f>
        <v>Land Cost ($)</v>
      </c>
      <c r="B4" s="12">
        <f>I_O!O242</f>
        <v>1654900</v>
      </c>
      <c r="C4" s="12">
        <f>I_O!P242</f>
        <v>1654900</v>
      </c>
      <c r="D4" s="12">
        <f>I_O!Q242</f>
        <v>1654900</v>
      </c>
      <c r="E4" s="12">
        <f>I_O!R242</f>
        <v>1654900</v>
      </c>
      <c r="F4" s="12"/>
      <c r="G4" s="12">
        <f>I_O!S242</f>
        <v>0</v>
      </c>
      <c r="H4" s="12">
        <f>I_O!T242</f>
        <v>0</v>
      </c>
      <c r="I4" s="12">
        <f>I_O!U242</f>
        <v>508079</v>
      </c>
      <c r="J4" s="12">
        <f>I_O!V242</f>
        <v>0</v>
      </c>
      <c r="K4" s="12">
        <f>I_O!W242</f>
        <v>0</v>
      </c>
      <c r="L4" s="12">
        <f>I_O!X242</f>
        <v>0</v>
      </c>
    </row>
    <row r="5" spans="1:17" x14ac:dyDescent="0.25">
      <c r="A5" t="str">
        <f>I_O!N243</f>
        <v>Capital Cost ($)</v>
      </c>
      <c r="B5" s="12">
        <f>I_O!O243</f>
        <v>892360.31424937642</v>
      </c>
      <c r="C5" s="12">
        <f>I_O!P243</f>
        <v>867930.2880618216</v>
      </c>
      <c r="D5" s="12">
        <f>I_O!Q243</f>
        <v>3526700.6</v>
      </c>
      <c r="E5" s="12">
        <f>I_O!R243</f>
        <v>597740</v>
      </c>
      <c r="F5" s="12"/>
      <c r="G5" s="12">
        <f>I_O!S243</f>
        <v>0</v>
      </c>
      <c r="H5" s="12">
        <f>I_O!T243</f>
        <v>0</v>
      </c>
      <c r="I5" s="12">
        <f>I_O!U243</f>
        <v>43796587.548854999</v>
      </c>
      <c r="J5" s="12">
        <f>I_O!V243</f>
        <v>0</v>
      </c>
      <c r="K5" s="12">
        <f>I_O!W243</f>
        <v>0</v>
      </c>
      <c r="L5" s="12">
        <f>I_O!X243</f>
        <v>0</v>
      </c>
    </row>
    <row r="6" spans="1:17" x14ac:dyDescent="0.25">
      <c r="A6" t="str">
        <f>I_O!N244</f>
        <v>Labor ($/yr)</v>
      </c>
      <c r="B6" s="12">
        <f>I_O!O244</f>
        <v>7760.0671445288344</v>
      </c>
      <c r="C6" s="12">
        <f>I_O!P244</f>
        <v>7760.0671445288344</v>
      </c>
      <c r="D6" s="12">
        <f>I_O!Q244</f>
        <v>36296.839999999997</v>
      </c>
      <c r="E6" s="12">
        <f>I_O!R244</f>
        <v>8148.5300000000007</v>
      </c>
      <c r="F6" s="12"/>
      <c r="G6" s="12">
        <f>I_O!S244</f>
        <v>0</v>
      </c>
      <c r="H6" s="12">
        <f>I_O!T244</f>
        <v>0</v>
      </c>
      <c r="I6" s="12">
        <f>I_O!U244</f>
        <v>1374828.5328768231</v>
      </c>
      <c r="J6" s="12">
        <f>I_O!V244</f>
        <v>0</v>
      </c>
      <c r="K6" s="12">
        <f>I_O!W244</f>
        <v>0</v>
      </c>
      <c r="L6" s="12">
        <f>I_O!X244</f>
        <v>0</v>
      </c>
    </row>
    <row r="7" spans="1:17" x14ac:dyDescent="0.25">
      <c r="A7" t="str">
        <f>I_O!N245</f>
        <v>E&amp;M Cost ($/yr)</v>
      </c>
      <c r="B7" s="12">
        <f>I_O!O245</f>
        <v>21777.423459186804</v>
      </c>
      <c r="C7" s="12">
        <f>I_O!P245</f>
        <v>30441.528697789232</v>
      </c>
      <c r="D7" s="12" t="e">
        <f>I_O!Q245</f>
        <v>#VALUE!</v>
      </c>
      <c r="E7" s="12" t="e">
        <f>I_O!R245</f>
        <v>#VALUE!</v>
      </c>
      <c r="F7" s="12"/>
      <c r="G7" s="12">
        <f>I_O!S245</f>
        <v>0</v>
      </c>
      <c r="H7" s="12">
        <f>I_O!T245</f>
        <v>0</v>
      </c>
      <c r="I7" s="12">
        <f>I_O!U245</f>
        <v>2531580.1635603141</v>
      </c>
      <c r="J7" s="12">
        <f>I_O!V245</f>
        <v>0</v>
      </c>
      <c r="K7" s="12">
        <f>I_O!W245</f>
        <v>0</v>
      </c>
      <c r="L7" s="12">
        <f>I_O!X245</f>
        <v>0</v>
      </c>
    </row>
    <row r="8" spans="1:17" x14ac:dyDescent="0.25">
      <c r="A8" t="str">
        <f>I_O!N246</f>
        <v>GHG Emissions Tax ($/yr)</v>
      </c>
      <c r="B8" s="12">
        <f>I_O!O246</f>
        <v>0</v>
      </c>
      <c r="C8" s="12">
        <f>I_O!P246</f>
        <v>0</v>
      </c>
      <c r="D8" s="12">
        <f>I_O!Q246</f>
        <v>0</v>
      </c>
      <c r="E8" s="12">
        <f>I_O!R246</f>
        <v>0</v>
      </c>
      <c r="F8" s="12"/>
      <c r="G8" s="12">
        <f>I_O!S246</f>
        <v>0</v>
      </c>
      <c r="H8" s="12">
        <f>I_O!T246</f>
        <v>0</v>
      </c>
      <c r="I8" s="12">
        <f>I_O!U246</f>
        <v>0</v>
      </c>
      <c r="J8" s="12">
        <f>I_O!V246</f>
        <v>0</v>
      </c>
      <c r="K8" s="12">
        <f>I_O!W246</f>
        <v>0</v>
      </c>
      <c r="L8" s="12">
        <f>I_O!X246</f>
        <v>0</v>
      </c>
    </row>
    <row r="9" spans="1:17" x14ac:dyDescent="0.25">
      <c r="A9" s="17" t="s">
        <v>76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7" x14ac:dyDescent="0.25">
      <c r="A10" s="50" t="str">
        <f>I_O!N247</f>
        <v>Baseline Revenue ($/yr)</v>
      </c>
      <c r="B10" s="51">
        <f>I_O!O247</f>
        <v>113475.06433980539</v>
      </c>
      <c r="C10" s="51">
        <f>I_O!P247</f>
        <v>117324.43249341982</v>
      </c>
      <c r="D10" s="51">
        <f>I_O!Q247</f>
        <v>0</v>
      </c>
      <c r="E10" s="51">
        <f>I_O!R247</f>
        <v>0</v>
      </c>
      <c r="F10" s="51"/>
      <c r="G10" s="51">
        <f>I_O!S247</f>
        <v>0</v>
      </c>
      <c r="H10" s="51">
        <f>I_O!T247</f>
        <v>0</v>
      </c>
      <c r="I10" s="51">
        <f>I_O!U247</f>
        <v>1891497.374968762</v>
      </c>
      <c r="J10" s="51">
        <f>I_O!V247</f>
        <v>0</v>
      </c>
      <c r="K10" s="51">
        <f>I_O!W247</f>
        <v>0</v>
      </c>
      <c r="L10" s="51">
        <f>I_O!X247</f>
        <v>0</v>
      </c>
    </row>
    <row r="11" spans="1:17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</row>
    <row r="12" spans="1:17" x14ac:dyDescent="0.25">
      <c r="A12" s="59" t="s">
        <v>77</v>
      </c>
      <c r="B12" s="60">
        <f>'Baseline NPV'!B33</f>
        <v>-1949009.9327950773</v>
      </c>
      <c r="C12" s="60">
        <f>'Baseline NPV'!C33</f>
        <v>-1961893.8207342608</v>
      </c>
      <c r="D12" s="60" t="e">
        <f>'Baseline NPV'!D33</f>
        <v>#VALUE!</v>
      </c>
      <c r="E12" s="60" t="e">
        <f>'Baseline NPV'!E33</f>
        <v>#VALUE!</v>
      </c>
      <c r="F12" s="60"/>
      <c r="G12" s="60">
        <f>'Baseline NPV'!G33</f>
        <v>0</v>
      </c>
      <c r="H12" s="60">
        <f>'Baseline NPV'!H33</f>
        <v>0</v>
      </c>
      <c r="I12" s="60">
        <f>'Baseline NPV'!I33</f>
        <v>-68490310.214712024</v>
      </c>
      <c r="J12" s="60">
        <f>'Baseline NPV'!J33</f>
        <v>0</v>
      </c>
      <c r="K12" s="60">
        <f>'Baseline NPV'!K33</f>
        <v>0</v>
      </c>
      <c r="L12" s="60">
        <f>'Baseline NPV'!L33</f>
        <v>0</v>
      </c>
    </row>
    <row r="13" spans="1:17" x14ac:dyDescent="0.25">
      <c r="A13" s="17"/>
      <c r="B13" s="52"/>
    </row>
    <row r="14" spans="1:17" x14ac:dyDescent="0.25">
      <c r="A14" s="9" t="s">
        <v>41</v>
      </c>
    </row>
    <row r="15" spans="1:17" x14ac:dyDescent="0.25">
      <c r="A15" t="s">
        <v>78</v>
      </c>
      <c r="B15" s="92">
        <v>365</v>
      </c>
      <c r="C15" s="7">
        <f>B15</f>
        <v>365</v>
      </c>
      <c r="D15" s="7">
        <f t="shared" ref="D15:Q15" si="0">C15</f>
        <v>365</v>
      </c>
      <c r="E15" s="7">
        <f t="shared" si="0"/>
        <v>365</v>
      </c>
      <c r="G15" s="7">
        <f t="shared" ref="G15:G24" si="1">E15</f>
        <v>365</v>
      </c>
      <c r="H15" s="7">
        <f t="shared" si="0"/>
        <v>365</v>
      </c>
      <c r="I15" s="92">
        <v>328.5</v>
      </c>
      <c r="J15" s="7">
        <f t="shared" si="0"/>
        <v>328.5</v>
      </c>
      <c r="K15" s="7">
        <f>H15</f>
        <v>365</v>
      </c>
      <c r="L15" s="7">
        <f t="shared" si="0"/>
        <v>365</v>
      </c>
      <c r="M15" s="7">
        <f t="shared" si="0"/>
        <v>365</v>
      </c>
      <c r="N15" s="7">
        <f t="shared" si="0"/>
        <v>365</v>
      </c>
      <c r="O15" s="7">
        <f t="shared" si="0"/>
        <v>365</v>
      </c>
      <c r="P15" s="7">
        <f t="shared" si="0"/>
        <v>365</v>
      </c>
      <c r="Q15" s="7">
        <f t="shared" si="0"/>
        <v>365</v>
      </c>
    </row>
    <row r="16" spans="1:17" x14ac:dyDescent="0.25">
      <c r="A16" t="s">
        <v>79</v>
      </c>
      <c r="B16" s="92">
        <v>0.1</v>
      </c>
      <c r="C16" s="7">
        <f t="shared" ref="C16:Q24" si="2">B16</f>
        <v>0.1</v>
      </c>
      <c r="D16" s="7">
        <f t="shared" si="2"/>
        <v>0.1</v>
      </c>
      <c r="E16" s="7">
        <f t="shared" si="2"/>
        <v>0.1</v>
      </c>
      <c r="G16" s="7">
        <f t="shared" si="1"/>
        <v>0.1</v>
      </c>
      <c r="H16" s="7">
        <f t="shared" si="2"/>
        <v>0.1</v>
      </c>
      <c r="I16" s="7">
        <f t="shared" si="2"/>
        <v>0.1</v>
      </c>
      <c r="J16" s="7">
        <f t="shared" si="2"/>
        <v>0.1</v>
      </c>
      <c r="K16" s="7">
        <f t="shared" si="2"/>
        <v>0.1</v>
      </c>
      <c r="L16" s="7">
        <f t="shared" si="2"/>
        <v>0.1</v>
      </c>
      <c r="M16" s="7">
        <f t="shared" si="2"/>
        <v>0.1</v>
      </c>
      <c r="N16" s="7">
        <f t="shared" si="2"/>
        <v>0.1</v>
      </c>
      <c r="O16" s="7">
        <f t="shared" si="2"/>
        <v>0.1</v>
      </c>
      <c r="P16" s="7">
        <f t="shared" si="2"/>
        <v>0.1</v>
      </c>
      <c r="Q16" s="7">
        <f t="shared" si="2"/>
        <v>0.1</v>
      </c>
    </row>
    <row r="17" spans="1:17" x14ac:dyDescent="0.25">
      <c r="A17" t="s">
        <v>80</v>
      </c>
      <c r="B17" s="92">
        <v>0.2</v>
      </c>
      <c r="C17" s="7">
        <f t="shared" si="2"/>
        <v>0.2</v>
      </c>
      <c r="D17" s="7">
        <f t="shared" si="2"/>
        <v>0.2</v>
      </c>
      <c r="E17" s="7">
        <f t="shared" si="2"/>
        <v>0.2</v>
      </c>
      <c r="G17" s="7">
        <f t="shared" si="1"/>
        <v>0.2</v>
      </c>
      <c r="H17" s="7">
        <f t="shared" si="2"/>
        <v>0.2</v>
      </c>
      <c r="I17" s="7">
        <f t="shared" si="2"/>
        <v>0.2</v>
      </c>
      <c r="J17" s="7">
        <f t="shared" si="2"/>
        <v>0.2</v>
      </c>
      <c r="K17" s="7">
        <f t="shared" si="2"/>
        <v>0.2</v>
      </c>
      <c r="L17" s="7">
        <f t="shared" si="2"/>
        <v>0.2</v>
      </c>
      <c r="M17" s="7">
        <f t="shared" si="2"/>
        <v>0.2</v>
      </c>
      <c r="N17" s="7">
        <f t="shared" si="2"/>
        <v>0.2</v>
      </c>
      <c r="O17" s="7">
        <f t="shared" si="2"/>
        <v>0.2</v>
      </c>
      <c r="P17" s="7">
        <f t="shared" si="2"/>
        <v>0.2</v>
      </c>
      <c r="Q17" s="7">
        <f t="shared" si="2"/>
        <v>0.2</v>
      </c>
    </row>
    <row r="18" spans="1:17" x14ac:dyDescent="0.25">
      <c r="A18" t="s">
        <v>81</v>
      </c>
      <c r="B18" s="92">
        <v>0.4</v>
      </c>
      <c r="C18" s="7">
        <f t="shared" si="2"/>
        <v>0.4</v>
      </c>
      <c r="D18" s="7">
        <f t="shared" si="2"/>
        <v>0.4</v>
      </c>
      <c r="E18" s="7">
        <f t="shared" si="2"/>
        <v>0.4</v>
      </c>
      <c r="G18" s="7">
        <f t="shared" si="1"/>
        <v>0.4</v>
      </c>
      <c r="H18" s="7">
        <f t="shared" si="2"/>
        <v>0.4</v>
      </c>
      <c r="I18" s="7">
        <f t="shared" si="2"/>
        <v>0.4</v>
      </c>
      <c r="J18" s="7">
        <f t="shared" si="2"/>
        <v>0.4</v>
      </c>
      <c r="K18" s="7">
        <f t="shared" si="2"/>
        <v>0.4</v>
      </c>
      <c r="L18" s="7">
        <f t="shared" si="2"/>
        <v>0.4</v>
      </c>
      <c r="M18" s="7">
        <f t="shared" si="2"/>
        <v>0.4</v>
      </c>
      <c r="N18" s="7">
        <f t="shared" si="2"/>
        <v>0.4</v>
      </c>
      <c r="O18" s="7">
        <f t="shared" si="2"/>
        <v>0.4</v>
      </c>
      <c r="P18" s="7">
        <f t="shared" si="2"/>
        <v>0.4</v>
      </c>
      <c r="Q18" s="7">
        <f t="shared" si="2"/>
        <v>0.4</v>
      </c>
    </row>
    <row r="19" spans="1:17" x14ac:dyDescent="0.25">
      <c r="A19" t="s">
        <v>82</v>
      </c>
      <c r="B19" s="92">
        <v>0.08</v>
      </c>
      <c r="C19" s="7">
        <f t="shared" si="2"/>
        <v>0.08</v>
      </c>
      <c r="D19" s="7">
        <f t="shared" si="2"/>
        <v>0.08</v>
      </c>
      <c r="E19" s="7">
        <f t="shared" si="2"/>
        <v>0.08</v>
      </c>
      <c r="G19" s="7">
        <f t="shared" si="1"/>
        <v>0.08</v>
      </c>
      <c r="H19" s="7">
        <f t="shared" si="2"/>
        <v>0.08</v>
      </c>
      <c r="I19" s="7">
        <f t="shared" si="2"/>
        <v>0.08</v>
      </c>
      <c r="J19" s="7">
        <f t="shared" si="2"/>
        <v>0.08</v>
      </c>
      <c r="K19" s="7">
        <f t="shared" si="2"/>
        <v>0.08</v>
      </c>
      <c r="L19" s="7">
        <f t="shared" si="2"/>
        <v>0.08</v>
      </c>
      <c r="M19" s="7">
        <f t="shared" si="2"/>
        <v>0.08</v>
      </c>
      <c r="N19" s="7">
        <f t="shared" si="2"/>
        <v>0.08</v>
      </c>
      <c r="O19" s="7">
        <f t="shared" si="2"/>
        <v>0.08</v>
      </c>
      <c r="P19" s="7">
        <f t="shared" si="2"/>
        <v>0.08</v>
      </c>
      <c r="Q19" s="7">
        <f t="shared" si="2"/>
        <v>0.08</v>
      </c>
    </row>
    <row r="20" spans="1:17" x14ac:dyDescent="0.25">
      <c r="A20" t="s">
        <v>83</v>
      </c>
      <c r="B20" s="92">
        <v>10</v>
      </c>
      <c r="C20" s="7">
        <f t="shared" si="2"/>
        <v>10</v>
      </c>
      <c r="D20" s="7">
        <f t="shared" si="2"/>
        <v>10</v>
      </c>
      <c r="E20" s="7">
        <f t="shared" si="2"/>
        <v>10</v>
      </c>
      <c r="G20" s="7">
        <f t="shared" si="1"/>
        <v>10</v>
      </c>
      <c r="H20" s="7">
        <f t="shared" si="2"/>
        <v>10</v>
      </c>
      <c r="I20" s="7">
        <f t="shared" si="2"/>
        <v>10</v>
      </c>
      <c r="J20" s="7">
        <f t="shared" si="2"/>
        <v>10</v>
      </c>
      <c r="K20" s="7">
        <f t="shared" si="2"/>
        <v>10</v>
      </c>
      <c r="L20" s="7">
        <f t="shared" si="2"/>
        <v>10</v>
      </c>
      <c r="M20" s="7">
        <f t="shared" si="2"/>
        <v>10</v>
      </c>
      <c r="N20" s="7">
        <f t="shared" si="2"/>
        <v>10</v>
      </c>
      <c r="O20" s="7">
        <f t="shared" si="2"/>
        <v>10</v>
      </c>
      <c r="P20" s="7">
        <f t="shared" si="2"/>
        <v>10</v>
      </c>
      <c r="Q20" s="7">
        <f t="shared" si="2"/>
        <v>10</v>
      </c>
    </row>
    <row r="21" spans="1:17" x14ac:dyDescent="0.25">
      <c r="A21" t="s">
        <v>84</v>
      </c>
      <c r="B21" s="92">
        <v>0.03</v>
      </c>
      <c r="C21" s="7">
        <f t="shared" si="2"/>
        <v>0.03</v>
      </c>
      <c r="D21" s="7">
        <f t="shared" si="2"/>
        <v>0.03</v>
      </c>
      <c r="E21" s="7">
        <f t="shared" si="2"/>
        <v>0.03</v>
      </c>
      <c r="G21" s="7">
        <f t="shared" si="1"/>
        <v>0.03</v>
      </c>
      <c r="H21" s="7">
        <f t="shared" si="2"/>
        <v>0.03</v>
      </c>
      <c r="I21" s="92">
        <v>0.01</v>
      </c>
      <c r="J21" s="7">
        <f t="shared" si="2"/>
        <v>0.01</v>
      </c>
      <c r="K21" s="7">
        <f>H21</f>
        <v>0.03</v>
      </c>
      <c r="L21" s="7">
        <f t="shared" si="2"/>
        <v>0.03</v>
      </c>
      <c r="M21" s="7">
        <f t="shared" si="2"/>
        <v>0.03</v>
      </c>
      <c r="N21" s="7">
        <f t="shared" si="2"/>
        <v>0.03</v>
      </c>
      <c r="O21" s="7">
        <f t="shared" si="2"/>
        <v>0.03</v>
      </c>
      <c r="P21" s="7">
        <f t="shared" si="2"/>
        <v>0.03</v>
      </c>
      <c r="Q21" s="7">
        <f t="shared" si="2"/>
        <v>0.03</v>
      </c>
    </row>
    <row r="22" spans="1:17" x14ac:dyDescent="0.25">
      <c r="A22" t="s">
        <v>85</v>
      </c>
      <c r="B22" s="92">
        <v>0.01</v>
      </c>
      <c r="C22" s="7">
        <f t="shared" si="2"/>
        <v>0.01</v>
      </c>
      <c r="D22" s="7">
        <f t="shared" si="2"/>
        <v>0.01</v>
      </c>
      <c r="E22" s="7">
        <f t="shared" si="2"/>
        <v>0.01</v>
      </c>
      <c r="G22" s="7">
        <f t="shared" si="1"/>
        <v>0.01</v>
      </c>
      <c r="H22" s="7">
        <f t="shared" si="2"/>
        <v>0.01</v>
      </c>
      <c r="I22" s="7">
        <f t="shared" si="2"/>
        <v>0.01</v>
      </c>
      <c r="J22" s="7">
        <f t="shared" si="2"/>
        <v>0.01</v>
      </c>
      <c r="K22" s="7">
        <f t="shared" si="2"/>
        <v>0.01</v>
      </c>
      <c r="L22" s="7">
        <f t="shared" si="2"/>
        <v>0.01</v>
      </c>
      <c r="M22" s="7">
        <f t="shared" si="2"/>
        <v>0.01</v>
      </c>
      <c r="N22" s="7">
        <f t="shared" si="2"/>
        <v>0.01</v>
      </c>
      <c r="O22" s="7">
        <f t="shared" si="2"/>
        <v>0.01</v>
      </c>
      <c r="P22" s="7">
        <f t="shared" si="2"/>
        <v>0.01</v>
      </c>
      <c r="Q22" s="7">
        <f t="shared" si="2"/>
        <v>0.01</v>
      </c>
    </row>
    <row r="23" spans="1:17" x14ac:dyDescent="0.25">
      <c r="A23" t="s">
        <v>86</v>
      </c>
      <c r="B23" s="92">
        <v>0.9</v>
      </c>
      <c r="C23" s="7">
        <f t="shared" si="2"/>
        <v>0.9</v>
      </c>
      <c r="D23" s="7">
        <f t="shared" si="2"/>
        <v>0.9</v>
      </c>
      <c r="E23" s="7">
        <f t="shared" si="2"/>
        <v>0.9</v>
      </c>
      <c r="G23" s="7">
        <f t="shared" si="1"/>
        <v>0.9</v>
      </c>
      <c r="H23" s="7">
        <f t="shared" si="2"/>
        <v>0.9</v>
      </c>
      <c r="I23" s="7">
        <f t="shared" si="2"/>
        <v>0.9</v>
      </c>
      <c r="J23" s="7">
        <f t="shared" si="2"/>
        <v>0.9</v>
      </c>
      <c r="K23" s="7">
        <f t="shared" si="2"/>
        <v>0.9</v>
      </c>
      <c r="L23" s="7">
        <f t="shared" si="2"/>
        <v>0.9</v>
      </c>
      <c r="M23" s="7">
        <f t="shared" si="2"/>
        <v>0.9</v>
      </c>
      <c r="N23" s="7">
        <f t="shared" si="2"/>
        <v>0.9</v>
      </c>
      <c r="O23" s="7">
        <f t="shared" si="2"/>
        <v>0.9</v>
      </c>
      <c r="P23" s="7">
        <f t="shared" si="2"/>
        <v>0.9</v>
      </c>
      <c r="Q23" s="7">
        <f t="shared" si="2"/>
        <v>0.9</v>
      </c>
    </row>
    <row r="24" spans="1:17" x14ac:dyDescent="0.25">
      <c r="A24" t="s">
        <v>87</v>
      </c>
      <c r="B24" s="52">
        <v>0</v>
      </c>
      <c r="C24" s="7">
        <v>0</v>
      </c>
      <c r="D24" s="7">
        <f t="shared" si="2"/>
        <v>0</v>
      </c>
      <c r="E24" s="7">
        <f t="shared" si="2"/>
        <v>0</v>
      </c>
      <c r="G24" s="7">
        <f t="shared" si="1"/>
        <v>0</v>
      </c>
      <c r="H24" s="7">
        <f t="shared" si="2"/>
        <v>0</v>
      </c>
      <c r="I24" s="52">
        <v>567379</v>
      </c>
      <c r="J24" s="7">
        <f t="shared" si="2"/>
        <v>567379</v>
      </c>
      <c r="K24" s="7">
        <f>H24</f>
        <v>0</v>
      </c>
      <c r="L24" s="7">
        <f t="shared" si="2"/>
        <v>0</v>
      </c>
      <c r="M24" s="7">
        <f t="shared" si="2"/>
        <v>0</v>
      </c>
      <c r="N24" s="7">
        <f t="shared" si="2"/>
        <v>0</v>
      </c>
      <c r="O24" s="7">
        <f t="shared" si="2"/>
        <v>0</v>
      </c>
      <c r="P24" s="7">
        <f t="shared" si="2"/>
        <v>0</v>
      </c>
      <c r="Q24" s="7">
        <f t="shared" si="2"/>
        <v>0</v>
      </c>
    </row>
    <row r="25" spans="1:17" x14ac:dyDescent="0.25">
      <c r="A25" t="s">
        <v>88</v>
      </c>
      <c r="B25" s="140">
        <f>B4</f>
        <v>1654900</v>
      </c>
      <c r="C25" s="140">
        <f t="shared" ref="C25:Q25" si="3">C4</f>
        <v>1654900</v>
      </c>
      <c r="D25" s="140">
        <f t="shared" si="3"/>
        <v>1654900</v>
      </c>
      <c r="E25" s="140">
        <f t="shared" si="3"/>
        <v>1654900</v>
      </c>
      <c r="F25" s="140"/>
      <c r="G25" s="140">
        <f t="shared" si="3"/>
        <v>0</v>
      </c>
      <c r="H25" s="140">
        <f t="shared" si="3"/>
        <v>0</v>
      </c>
      <c r="I25" s="140">
        <f t="shared" si="3"/>
        <v>508079</v>
      </c>
      <c r="J25" s="140">
        <f t="shared" si="3"/>
        <v>0</v>
      </c>
      <c r="K25" s="140">
        <f t="shared" si="3"/>
        <v>0</v>
      </c>
      <c r="L25" s="140">
        <f t="shared" si="3"/>
        <v>0</v>
      </c>
      <c r="M25" s="140">
        <f t="shared" si="3"/>
        <v>0</v>
      </c>
      <c r="N25" s="140">
        <f t="shared" si="3"/>
        <v>0</v>
      </c>
      <c r="O25" s="140">
        <f t="shared" si="3"/>
        <v>0</v>
      </c>
      <c r="P25" s="140">
        <f t="shared" si="3"/>
        <v>0</v>
      </c>
      <c r="Q25" s="140">
        <f t="shared" si="3"/>
        <v>0</v>
      </c>
    </row>
    <row r="26" spans="1:17" x14ac:dyDescent="0.25">
      <c r="A26" t="s">
        <v>89</v>
      </c>
      <c r="B26" s="7" t="s">
        <v>90</v>
      </c>
    </row>
    <row r="27" spans="1:17" x14ac:dyDescent="0.25">
      <c r="A27">
        <v>0</v>
      </c>
      <c r="B27" s="92">
        <v>0</v>
      </c>
      <c r="C27" s="7">
        <f>B27</f>
        <v>0</v>
      </c>
      <c r="D27" s="7">
        <f t="shared" ref="D27:Q27" si="4">C27</f>
        <v>0</v>
      </c>
      <c r="E27" s="7">
        <f t="shared" si="4"/>
        <v>0</v>
      </c>
      <c r="G27" s="7">
        <f t="shared" ref="G27:G35" si="5">E27</f>
        <v>0</v>
      </c>
      <c r="H27" s="7">
        <f t="shared" si="4"/>
        <v>0</v>
      </c>
      <c r="I27" s="7">
        <f t="shared" si="4"/>
        <v>0</v>
      </c>
      <c r="J27" s="7">
        <f t="shared" si="4"/>
        <v>0</v>
      </c>
      <c r="K27" s="7">
        <f t="shared" si="4"/>
        <v>0</v>
      </c>
      <c r="L27" s="7">
        <f t="shared" si="4"/>
        <v>0</v>
      </c>
      <c r="M27" s="7">
        <f t="shared" si="4"/>
        <v>0</v>
      </c>
      <c r="N27" s="7">
        <f t="shared" si="4"/>
        <v>0</v>
      </c>
      <c r="O27" s="7">
        <f t="shared" si="4"/>
        <v>0</v>
      </c>
      <c r="P27" s="7">
        <f t="shared" si="4"/>
        <v>0</v>
      </c>
      <c r="Q27" s="7">
        <f t="shared" si="4"/>
        <v>0</v>
      </c>
    </row>
    <row r="28" spans="1:17" x14ac:dyDescent="0.25">
      <c r="A28">
        <v>1</v>
      </c>
      <c r="B28" s="92">
        <v>0.14299999999999999</v>
      </c>
      <c r="C28" s="7">
        <f>B28</f>
        <v>0.14299999999999999</v>
      </c>
      <c r="D28" s="7">
        <f t="shared" ref="C28:Q35" si="6">C28</f>
        <v>0.14299999999999999</v>
      </c>
      <c r="E28" s="7">
        <f t="shared" si="6"/>
        <v>0.14299999999999999</v>
      </c>
      <c r="G28" s="7">
        <f t="shared" si="5"/>
        <v>0.14299999999999999</v>
      </c>
      <c r="H28" s="7">
        <f t="shared" si="6"/>
        <v>0.14299999999999999</v>
      </c>
      <c r="I28" s="7">
        <f t="shared" si="6"/>
        <v>0.14299999999999999</v>
      </c>
      <c r="J28" s="7">
        <f t="shared" si="6"/>
        <v>0.14299999999999999</v>
      </c>
      <c r="K28" s="7">
        <f t="shared" si="6"/>
        <v>0.14299999999999999</v>
      </c>
      <c r="L28" s="7">
        <f t="shared" si="6"/>
        <v>0.14299999999999999</v>
      </c>
      <c r="M28" s="7">
        <f t="shared" si="6"/>
        <v>0.14299999999999999</v>
      </c>
      <c r="N28" s="7">
        <f t="shared" si="6"/>
        <v>0.14299999999999999</v>
      </c>
      <c r="O28" s="7">
        <f t="shared" si="6"/>
        <v>0.14299999999999999</v>
      </c>
      <c r="P28" s="7">
        <f t="shared" si="6"/>
        <v>0.14299999999999999</v>
      </c>
      <c r="Q28" s="7">
        <f t="shared" si="6"/>
        <v>0.14299999999999999</v>
      </c>
    </row>
    <row r="29" spans="1:17" x14ac:dyDescent="0.25">
      <c r="A29">
        <v>2</v>
      </c>
      <c r="B29" s="92">
        <v>0.245</v>
      </c>
      <c r="C29" s="7">
        <f t="shared" si="6"/>
        <v>0.245</v>
      </c>
      <c r="D29" s="7">
        <f t="shared" si="6"/>
        <v>0.245</v>
      </c>
      <c r="E29" s="7">
        <f t="shared" si="6"/>
        <v>0.245</v>
      </c>
      <c r="G29" s="7">
        <f t="shared" si="5"/>
        <v>0.245</v>
      </c>
      <c r="H29" s="7">
        <f t="shared" si="6"/>
        <v>0.245</v>
      </c>
      <c r="I29" s="7">
        <f t="shared" si="6"/>
        <v>0.245</v>
      </c>
      <c r="J29" s="7">
        <f t="shared" si="6"/>
        <v>0.245</v>
      </c>
      <c r="K29" s="7">
        <f t="shared" si="6"/>
        <v>0.245</v>
      </c>
      <c r="L29" s="7">
        <f t="shared" si="6"/>
        <v>0.245</v>
      </c>
      <c r="M29" s="7">
        <f t="shared" si="6"/>
        <v>0.245</v>
      </c>
      <c r="N29" s="7">
        <f t="shared" si="6"/>
        <v>0.245</v>
      </c>
      <c r="O29" s="7">
        <f t="shared" si="6"/>
        <v>0.245</v>
      </c>
      <c r="P29" s="7">
        <f t="shared" si="6"/>
        <v>0.245</v>
      </c>
      <c r="Q29" s="7">
        <f t="shared" si="6"/>
        <v>0.245</v>
      </c>
    </row>
    <row r="30" spans="1:17" x14ac:dyDescent="0.25">
      <c r="A30">
        <v>3</v>
      </c>
      <c r="B30" s="92">
        <v>0.17499999999999999</v>
      </c>
      <c r="C30" s="7">
        <f t="shared" si="6"/>
        <v>0.17499999999999999</v>
      </c>
      <c r="D30" s="7">
        <f t="shared" si="6"/>
        <v>0.17499999999999999</v>
      </c>
      <c r="E30" s="7">
        <f t="shared" si="6"/>
        <v>0.17499999999999999</v>
      </c>
      <c r="G30" s="7">
        <f t="shared" si="5"/>
        <v>0.17499999999999999</v>
      </c>
      <c r="H30" s="7">
        <f t="shared" si="6"/>
        <v>0.17499999999999999</v>
      </c>
      <c r="I30" s="7">
        <f t="shared" si="6"/>
        <v>0.17499999999999999</v>
      </c>
      <c r="J30" s="7">
        <f t="shared" si="6"/>
        <v>0.17499999999999999</v>
      </c>
      <c r="K30" s="7">
        <f t="shared" si="6"/>
        <v>0.17499999999999999</v>
      </c>
      <c r="L30" s="7">
        <f t="shared" si="6"/>
        <v>0.17499999999999999</v>
      </c>
      <c r="M30" s="7">
        <f t="shared" si="6"/>
        <v>0.17499999999999999</v>
      </c>
      <c r="N30" s="7">
        <f t="shared" si="6"/>
        <v>0.17499999999999999</v>
      </c>
      <c r="O30" s="7">
        <f t="shared" si="6"/>
        <v>0.17499999999999999</v>
      </c>
      <c r="P30" s="7">
        <f t="shared" si="6"/>
        <v>0.17499999999999999</v>
      </c>
      <c r="Q30" s="7">
        <f t="shared" si="6"/>
        <v>0.17499999999999999</v>
      </c>
    </row>
    <row r="31" spans="1:17" x14ac:dyDescent="0.25">
      <c r="A31">
        <v>4</v>
      </c>
      <c r="B31" s="92">
        <v>0.125</v>
      </c>
      <c r="C31" s="7">
        <f t="shared" si="6"/>
        <v>0.125</v>
      </c>
      <c r="D31" s="7">
        <f t="shared" si="6"/>
        <v>0.125</v>
      </c>
      <c r="E31" s="7">
        <f t="shared" si="6"/>
        <v>0.125</v>
      </c>
      <c r="G31" s="7">
        <f t="shared" si="5"/>
        <v>0.125</v>
      </c>
      <c r="H31" s="7">
        <f t="shared" si="6"/>
        <v>0.125</v>
      </c>
      <c r="I31" s="7">
        <f t="shared" si="6"/>
        <v>0.125</v>
      </c>
      <c r="J31" s="7">
        <f t="shared" si="6"/>
        <v>0.125</v>
      </c>
      <c r="K31" s="7">
        <f t="shared" si="6"/>
        <v>0.125</v>
      </c>
      <c r="L31" s="7">
        <f t="shared" si="6"/>
        <v>0.125</v>
      </c>
      <c r="M31" s="7">
        <f t="shared" si="6"/>
        <v>0.125</v>
      </c>
      <c r="N31" s="7">
        <f t="shared" si="6"/>
        <v>0.125</v>
      </c>
      <c r="O31" s="7">
        <f t="shared" si="6"/>
        <v>0.125</v>
      </c>
      <c r="P31" s="7">
        <f t="shared" si="6"/>
        <v>0.125</v>
      </c>
      <c r="Q31" s="7">
        <f t="shared" si="6"/>
        <v>0.125</v>
      </c>
    </row>
    <row r="32" spans="1:17" x14ac:dyDescent="0.25">
      <c r="A32">
        <v>5</v>
      </c>
      <c r="B32" s="92">
        <v>8.8999999999999996E-2</v>
      </c>
      <c r="C32" s="7">
        <f t="shared" si="6"/>
        <v>8.8999999999999996E-2</v>
      </c>
      <c r="D32" s="7">
        <f t="shared" si="6"/>
        <v>8.8999999999999996E-2</v>
      </c>
      <c r="E32" s="7">
        <f t="shared" si="6"/>
        <v>8.8999999999999996E-2</v>
      </c>
      <c r="G32" s="7">
        <f t="shared" si="5"/>
        <v>8.8999999999999996E-2</v>
      </c>
      <c r="H32" s="7">
        <f t="shared" si="6"/>
        <v>8.8999999999999996E-2</v>
      </c>
      <c r="I32" s="7">
        <f t="shared" si="6"/>
        <v>8.8999999999999996E-2</v>
      </c>
      <c r="J32" s="7">
        <f t="shared" si="6"/>
        <v>8.8999999999999996E-2</v>
      </c>
      <c r="K32" s="7">
        <f t="shared" si="6"/>
        <v>8.8999999999999996E-2</v>
      </c>
      <c r="L32" s="7">
        <f t="shared" si="6"/>
        <v>8.8999999999999996E-2</v>
      </c>
      <c r="M32" s="7">
        <f t="shared" si="6"/>
        <v>8.8999999999999996E-2</v>
      </c>
      <c r="N32" s="7">
        <f t="shared" si="6"/>
        <v>8.8999999999999996E-2</v>
      </c>
      <c r="O32" s="7">
        <f t="shared" si="6"/>
        <v>8.8999999999999996E-2</v>
      </c>
      <c r="P32" s="7">
        <f t="shared" si="6"/>
        <v>8.8999999999999996E-2</v>
      </c>
      <c r="Q32" s="7">
        <f t="shared" si="6"/>
        <v>8.8999999999999996E-2</v>
      </c>
    </row>
    <row r="33" spans="1:17" x14ac:dyDescent="0.25">
      <c r="A33">
        <v>6</v>
      </c>
      <c r="B33" s="92">
        <v>8.8999999999999996E-2</v>
      </c>
      <c r="C33" s="7">
        <f t="shared" si="6"/>
        <v>8.8999999999999996E-2</v>
      </c>
      <c r="D33" s="7">
        <f t="shared" si="6"/>
        <v>8.8999999999999996E-2</v>
      </c>
      <c r="E33" s="7">
        <f t="shared" si="6"/>
        <v>8.8999999999999996E-2</v>
      </c>
      <c r="G33" s="7">
        <f t="shared" si="5"/>
        <v>8.8999999999999996E-2</v>
      </c>
      <c r="H33" s="7">
        <f t="shared" si="6"/>
        <v>8.8999999999999996E-2</v>
      </c>
      <c r="I33" s="7">
        <f t="shared" si="6"/>
        <v>8.8999999999999996E-2</v>
      </c>
      <c r="J33" s="7">
        <f t="shared" si="6"/>
        <v>8.8999999999999996E-2</v>
      </c>
      <c r="K33" s="7">
        <f t="shared" si="6"/>
        <v>8.8999999999999996E-2</v>
      </c>
      <c r="L33" s="7">
        <f t="shared" si="6"/>
        <v>8.8999999999999996E-2</v>
      </c>
      <c r="M33" s="7">
        <f t="shared" si="6"/>
        <v>8.8999999999999996E-2</v>
      </c>
      <c r="N33" s="7">
        <f t="shared" si="6"/>
        <v>8.8999999999999996E-2</v>
      </c>
      <c r="O33" s="7">
        <f t="shared" si="6"/>
        <v>8.8999999999999996E-2</v>
      </c>
      <c r="P33" s="7">
        <f t="shared" si="6"/>
        <v>8.8999999999999996E-2</v>
      </c>
      <c r="Q33" s="7">
        <f t="shared" si="6"/>
        <v>8.8999999999999996E-2</v>
      </c>
    </row>
    <row r="34" spans="1:17" x14ac:dyDescent="0.25">
      <c r="A34">
        <v>7</v>
      </c>
      <c r="B34" s="92">
        <v>8.8999999999999996E-2</v>
      </c>
      <c r="C34" s="7">
        <f t="shared" si="6"/>
        <v>8.8999999999999996E-2</v>
      </c>
      <c r="D34" s="7">
        <f t="shared" si="6"/>
        <v>8.8999999999999996E-2</v>
      </c>
      <c r="E34" s="7">
        <f t="shared" si="6"/>
        <v>8.8999999999999996E-2</v>
      </c>
      <c r="G34" s="7">
        <f t="shared" si="5"/>
        <v>8.8999999999999996E-2</v>
      </c>
      <c r="H34" s="7">
        <f t="shared" si="6"/>
        <v>8.8999999999999996E-2</v>
      </c>
      <c r="I34" s="7">
        <f t="shared" si="6"/>
        <v>8.8999999999999996E-2</v>
      </c>
      <c r="J34" s="7">
        <f t="shared" si="6"/>
        <v>8.8999999999999996E-2</v>
      </c>
      <c r="K34" s="7">
        <f t="shared" si="6"/>
        <v>8.8999999999999996E-2</v>
      </c>
      <c r="L34" s="7">
        <f t="shared" si="6"/>
        <v>8.8999999999999996E-2</v>
      </c>
      <c r="M34" s="7">
        <f t="shared" si="6"/>
        <v>8.8999999999999996E-2</v>
      </c>
      <c r="N34" s="7">
        <f t="shared" si="6"/>
        <v>8.8999999999999996E-2</v>
      </c>
      <c r="O34" s="7">
        <f t="shared" si="6"/>
        <v>8.8999999999999996E-2</v>
      </c>
      <c r="P34" s="7">
        <f t="shared" si="6"/>
        <v>8.8999999999999996E-2</v>
      </c>
      <c r="Q34" s="7">
        <f t="shared" si="6"/>
        <v>8.8999999999999996E-2</v>
      </c>
    </row>
    <row r="35" spans="1:17" x14ac:dyDescent="0.25">
      <c r="A35">
        <v>8</v>
      </c>
      <c r="B35" s="92">
        <v>4.4999999999999998E-2</v>
      </c>
      <c r="C35" s="7">
        <f t="shared" si="6"/>
        <v>4.4999999999999998E-2</v>
      </c>
      <c r="D35" s="7">
        <f t="shared" si="6"/>
        <v>4.4999999999999998E-2</v>
      </c>
      <c r="E35" s="7">
        <f t="shared" si="6"/>
        <v>4.4999999999999998E-2</v>
      </c>
      <c r="G35" s="7">
        <f t="shared" si="5"/>
        <v>4.4999999999999998E-2</v>
      </c>
      <c r="H35" s="7">
        <f t="shared" si="6"/>
        <v>4.4999999999999998E-2</v>
      </c>
      <c r="I35" s="7">
        <f t="shared" si="6"/>
        <v>4.4999999999999998E-2</v>
      </c>
      <c r="J35" s="7">
        <f t="shared" si="6"/>
        <v>4.4999999999999998E-2</v>
      </c>
      <c r="K35" s="7">
        <f t="shared" si="6"/>
        <v>4.4999999999999998E-2</v>
      </c>
      <c r="L35" s="7">
        <f t="shared" si="6"/>
        <v>4.4999999999999998E-2</v>
      </c>
      <c r="M35" s="7">
        <f t="shared" si="6"/>
        <v>4.4999999999999998E-2</v>
      </c>
      <c r="N35" s="7">
        <f t="shared" si="6"/>
        <v>4.4999999999999998E-2</v>
      </c>
      <c r="O35" s="7">
        <f t="shared" si="6"/>
        <v>4.4999999999999998E-2</v>
      </c>
      <c r="P35" s="7">
        <f t="shared" si="6"/>
        <v>4.4999999999999998E-2</v>
      </c>
      <c r="Q35" s="7">
        <f t="shared" si="6"/>
        <v>4.4999999999999998E-2</v>
      </c>
    </row>
    <row r="37" spans="1:17" x14ac:dyDescent="0.25">
      <c r="A37" t="s">
        <v>91</v>
      </c>
      <c r="B37" s="12">
        <f>B23*B5</f>
        <v>803124.28282443876</v>
      </c>
      <c r="C37" s="12">
        <f t="shared" ref="C37:Q37" si="7">C23*C5</f>
        <v>781137.25925563951</v>
      </c>
      <c r="D37" s="12">
        <f t="shared" si="7"/>
        <v>3174030.54</v>
      </c>
      <c r="E37" s="12">
        <f t="shared" si="7"/>
        <v>537966</v>
      </c>
      <c r="F37" s="12"/>
      <c r="G37" s="12">
        <f t="shared" si="7"/>
        <v>0</v>
      </c>
      <c r="H37" s="12">
        <f t="shared" si="7"/>
        <v>0</v>
      </c>
      <c r="I37" s="12">
        <f t="shared" si="7"/>
        <v>39416928.793969497</v>
      </c>
      <c r="J37" s="12">
        <f t="shared" si="7"/>
        <v>0</v>
      </c>
      <c r="K37" s="12">
        <f t="shared" si="7"/>
        <v>0</v>
      </c>
      <c r="L37" s="12">
        <f t="shared" si="7"/>
        <v>0</v>
      </c>
      <c r="M37" s="12">
        <f t="shared" si="7"/>
        <v>0</v>
      </c>
      <c r="N37" s="12">
        <f t="shared" si="7"/>
        <v>0</v>
      </c>
      <c r="O37" s="12">
        <f t="shared" si="7"/>
        <v>0</v>
      </c>
      <c r="P37" s="12">
        <f t="shared" si="7"/>
        <v>0</v>
      </c>
      <c r="Q37" s="12">
        <f t="shared" si="7"/>
        <v>0</v>
      </c>
    </row>
    <row r="38" spans="1:17" x14ac:dyDescent="0.25">
      <c r="A38" t="s">
        <v>92</v>
      </c>
      <c r="B38" s="12">
        <f>SUM(B4:B5)*(1-B18)</f>
        <v>1528356.1885496257</v>
      </c>
      <c r="C38" s="12">
        <f t="shared" ref="C38:Q38" si="8">SUM(C4:C5)*(1-C18)</f>
        <v>1513698.172837093</v>
      </c>
      <c r="D38" s="12">
        <f t="shared" si="8"/>
        <v>3108960.36</v>
      </c>
      <c r="E38" s="12">
        <f t="shared" si="8"/>
        <v>1351584</v>
      </c>
      <c r="F38" s="12"/>
      <c r="G38" s="12">
        <f t="shared" si="8"/>
        <v>0</v>
      </c>
      <c r="H38" s="12">
        <f t="shared" si="8"/>
        <v>0</v>
      </c>
      <c r="I38" s="12">
        <f t="shared" si="8"/>
        <v>26582799.929313</v>
      </c>
      <c r="J38" s="12">
        <f t="shared" si="8"/>
        <v>0</v>
      </c>
      <c r="K38" s="12">
        <f t="shared" si="8"/>
        <v>0</v>
      </c>
      <c r="L38" s="12">
        <f t="shared" si="8"/>
        <v>0</v>
      </c>
      <c r="M38" s="12">
        <f t="shared" si="8"/>
        <v>0</v>
      </c>
      <c r="N38" s="12">
        <f t="shared" si="8"/>
        <v>0</v>
      </c>
      <c r="O38" s="12">
        <f t="shared" si="8"/>
        <v>0</v>
      </c>
      <c r="P38" s="12">
        <f t="shared" si="8"/>
        <v>0</v>
      </c>
      <c r="Q38" s="12">
        <f t="shared" si="8"/>
        <v>0</v>
      </c>
    </row>
    <row r="39" spans="1:17" x14ac:dyDescent="0.25">
      <c r="A39" t="s">
        <v>93</v>
      </c>
      <c r="B39" s="12">
        <f>-PMT(B19,B20,B38)</f>
        <v>227770.14132656169</v>
      </c>
      <c r="C39" s="12">
        <f t="shared" ref="C39:Q39" si="9">-PMT(C19,C20,C38)</f>
        <v>225585.66473960926</v>
      </c>
      <c r="D39" s="12">
        <f t="shared" si="9"/>
        <v>463326.77283027547</v>
      </c>
      <c r="E39" s="12">
        <f t="shared" si="9"/>
        <v>201425.87245114797</v>
      </c>
      <c r="F39" s="12"/>
      <c r="G39" s="12">
        <f t="shared" si="9"/>
        <v>0</v>
      </c>
      <c r="H39" s="12">
        <f t="shared" si="9"/>
        <v>0</v>
      </c>
      <c r="I39" s="12">
        <f t="shared" si="9"/>
        <v>3961621.0816021687</v>
      </c>
      <c r="J39" s="12">
        <f t="shared" si="9"/>
        <v>0</v>
      </c>
      <c r="K39" s="12">
        <f t="shared" si="9"/>
        <v>0</v>
      </c>
      <c r="L39" s="12">
        <f t="shared" si="9"/>
        <v>0</v>
      </c>
      <c r="M39" s="12">
        <f t="shared" si="9"/>
        <v>0</v>
      </c>
      <c r="N39" s="12">
        <f t="shared" si="9"/>
        <v>0</v>
      </c>
      <c r="O39" s="12">
        <f t="shared" si="9"/>
        <v>0</v>
      </c>
      <c r="P39" s="12">
        <f t="shared" si="9"/>
        <v>0</v>
      </c>
      <c r="Q39" s="12">
        <f t="shared" si="9"/>
        <v>0</v>
      </c>
    </row>
    <row r="40" spans="1:17" x14ac:dyDescent="0.25">
      <c r="A40" t="s">
        <v>94</v>
      </c>
      <c r="B40" s="12">
        <f>SUM(B4:B5)*B18</f>
        <v>1018904.1256997506</v>
      </c>
      <c r="C40" s="12">
        <f t="shared" ref="C40:Q40" si="10">SUM(C4:C5)*C18</f>
        <v>1009132.1152247288</v>
      </c>
      <c r="D40" s="12">
        <f t="shared" si="10"/>
        <v>2072640.24</v>
      </c>
      <c r="E40" s="12">
        <f t="shared" si="10"/>
        <v>901056</v>
      </c>
      <c r="F40" s="12"/>
      <c r="G40" s="12">
        <f t="shared" si="10"/>
        <v>0</v>
      </c>
      <c r="H40" s="12">
        <f t="shared" si="10"/>
        <v>0</v>
      </c>
      <c r="I40" s="12">
        <f t="shared" si="10"/>
        <v>17721866.619541999</v>
      </c>
      <c r="J40" s="12">
        <f t="shared" si="10"/>
        <v>0</v>
      </c>
      <c r="K40" s="12">
        <f t="shared" si="10"/>
        <v>0</v>
      </c>
      <c r="L40" s="12">
        <f t="shared" si="10"/>
        <v>0</v>
      </c>
      <c r="M40" s="12">
        <f t="shared" si="10"/>
        <v>0</v>
      </c>
      <c r="N40" s="12">
        <f t="shared" si="10"/>
        <v>0</v>
      </c>
      <c r="O40" s="12">
        <f t="shared" si="10"/>
        <v>0</v>
      </c>
      <c r="P40" s="12">
        <f t="shared" si="10"/>
        <v>0</v>
      </c>
      <c r="Q40" s="12">
        <f t="shared" si="10"/>
        <v>0</v>
      </c>
    </row>
    <row r="41" spans="1:17" x14ac:dyDescent="0.25">
      <c r="A41" t="s">
        <v>95</v>
      </c>
      <c r="B41" s="12">
        <f>B22*B37</f>
        <v>8031.242828244388</v>
      </c>
      <c r="C41" s="12">
        <f t="shared" ref="C41:Q41" si="11">C22*C37</f>
        <v>7811.3725925563949</v>
      </c>
      <c r="D41" s="12">
        <f t="shared" si="11"/>
        <v>31740.305400000001</v>
      </c>
      <c r="E41" s="12">
        <f t="shared" si="11"/>
        <v>5379.66</v>
      </c>
      <c r="F41" s="12"/>
      <c r="G41" s="12">
        <f t="shared" si="11"/>
        <v>0</v>
      </c>
      <c r="H41" s="12">
        <f t="shared" si="11"/>
        <v>0</v>
      </c>
      <c r="I41" s="12">
        <f t="shared" si="11"/>
        <v>394169.287939695</v>
      </c>
      <c r="J41" s="12">
        <f t="shared" si="11"/>
        <v>0</v>
      </c>
      <c r="K41" s="12">
        <f t="shared" si="11"/>
        <v>0</v>
      </c>
      <c r="L41" s="12">
        <f t="shared" si="11"/>
        <v>0</v>
      </c>
      <c r="M41" s="12">
        <f t="shared" si="11"/>
        <v>0</v>
      </c>
      <c r="N41" s="12">
        <f t="shared" si="11"/>
        <v>0</v>
      </c>
      <c r="O41" s="12">
        <f t="shared" si="11"/>
        <v>0</v>
      </c>
      <c r="P41" s="12">
        <f t="shared" si="11"/>
        <v>0</v>
      </c>
      <c r="Q41" s="12">
        <f t="shared" si="11"/>
        <v>0</v>
      </c>
    </row>
    <row r="42" spans="1:17" x14ac:dyDescent="0.25">
      <c r="A42" t="s">
        <v>96</v>
      </c>
      <c r="B42" s="12">
        <f>B21*B37</f>
        <v>24093.728484733161</v>
      </c>
      <c r="C42" s="12">
        <f t="shared" ref="C42:Q42" si="12">C21*C37</f>
        <v>23434.117777669184</v>
      </c>
      <c r="D42" s="12">
        <f t="shared" si="12"/>
        <v>95220.916199999992</v>
      </c>
      <c r="E42" s="12">
        <f t="shared" si="12"/>
        <v>16138.98</v>
      </c>
      <c r="F42" s="12"/>
      <c r="G42" s="12">
        <f t="shared" si="12"/>
        <v>0</v>
      </c>
      <c r="H42" s="12">
        <f t="shared" si="12"/>
        <v>0</v>
      </c>
      <c r="I42" s="12">
        <f t="shared" si="12"/>
        <v>394169.287939695</v>
      </c>
      <c r="J42" s="12">
        <f t="shared" si="12"/>
        <v>0</v>
      </c>
      <c r="K42" s="12">
        <f t="shared" si="12"/>
        <v>0</v>
      </c>
      <c r="L42" s="12">
        <f t="shared" si="12"/>
        <v>0</v>
      </c>
      <c r="M42" s="12">
        <f t="shared" si="12"/>
        <v>0</v>
      </c>
      <c r="N42" s="12">
        <f t="shared" si="12"/>
        <v>0</v>
      </c>
      <c r="O42" s="12">
        <f t="shared" si="12"/>
        <v>0</v>
      </c>
      <c r="P42" s="12">
        <f t="shared" si="12"/>
        <v>0</v>
      </c>
      <c r="Q42" s="12">
        <f t="shared" si="12"/>
        <v>0</v>
      </c>
    </row>
    <row r="43" spans="1:17" x14ac:dyDescent="0.25">
      <c r="A43" t="s">
        <v>97</v>
      </c>
      <c r="B43" s="12">
        <f>B41+B42+B7+B6</f>
        <v>61662.461916693181</v>
      </c>
      <c r="C43" s="12">
        <f t="shared" ref="C43:Q43" si="13">C41+C42+C7+C6</f>
        <v>69447.08621254364</v>
      </c>
      <c r="D43" s="12" t="e">
        <f t="shared" si="13"/>
        <v>#VALUE!</v>
      </c>
      <c r="E43" s="12" t="e">
        <f t="shared" si="13"/>
        <v>#VALUE!</v>
      </c>
      <c r="F43" s="12"/>
      <c r="G43" s="12">
        <f t="shared" si="13"/>
        <v>0</v>
      </c>
      <c r="H43" s="12">
        <f t="shared" si="13"/>
        <v>0</v>
      </c>
      <c r="I43" s="12">
        <f t="shared" si="13"/>
        <v>4694747.2723165266</v>
      </c>
      <c r="J43" s="12">
        <f t="shared" si="13"/>
        <v>0</v>
      </c>
      <c r="K43" s="12">
        <f t="shared" si="13"/>
        <v>0</v>
      </c>
      <c r="L43" s="12">
        <f t="shared" si="13"/>
        <v>0</v>
      </c>
      <c r="M43" s="12">
        <f t="shared" si="13"/>
        <v>0</v>
      </c>
      <c r="N43" s="12">
        <f t="shared" si="13"/>
        <v>0</v>
      </c>
      <c r="O43" s="12">
        <f t="shared" si="13"/>
        <v>0</v>
      </c>
      <c r="P43" s="12">
        <f t="shared" si="13"/>
        <v>0</v>
      </c>
      <c r="Q43" s="12">
        <f t="shared" si="13"/>
        <v>0</v>
      </c>
    </row>
    <row r="45" spans="1:17" x14ac:dyDescent="0.25">
      <c r="A45" s="2" t="s">
        <v>98</v>
      </c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</row>
    <row r="46" spans="1:17" x14ac:dyDescent="0.25">
      <c r="A46" s="2" t="s">
        <v>99</v>
      </c>
      <c r="B46" s="70">
        <f>'NPV Solver'!B33</f>
        <v>1.1623342288658023E-9</v>
      </c>
      <c r="C46" s="70">
        <f>'NPV Solver'!C33</f>
        <v>-37698.668926317652</v>
      </c>
      <c r="D46" s="70" t="e">
        <f>'NPV Solver'!D33</f>
        <v>#VALUE!</v>
      </c>
      <c r="E46" s="70" t="e">
        <f>'NPV Solver'!E33</f>
        <v>#VALUE!</v>
      </c>
      <c r="F46" s="70"/>
      <c r="G46" s="70">
        <f>'NPV Solver'!G33</f>
        <v>0</v>
      </c>
      <c r="H46" s="70">
        <f>'NPV Solver'!H33</f>
        <v>0</v>
      </c>
      <c r="I46" s="70">
        <f>'NPV Solver'!I33</f>
        <v>3084748.6367958114</v>
      </c>
      <c r="J46" s="70">
        <f>'NPV Solver'!J33</f>
        <v>0</v>
      </c>
      <c r="K46" s="70">
        <f>'NPV Solver'!K33</f>
        <v>0</v>
      </c>
      <c r="L46" s="70">
        <f>'NPV Solver'!L33</f>
        <v>0</v>
      </c>
      <c r="M46" s="70">
        <f>'NPV Solver'!M33</f>
        <v>0</v>
      </c>
      <c r="N46" s="70">
        <f>'NPV Solver'!N33</f>
        <v>0</v>
      </c>
      <c r="O46" s="70">
        <f>'NPV Solver'!O33</f>
        <v>0</v>
      </c>
      <c r="P46" s="70">
        <f>'NPV Solver'!P33</f>
        <v>0</v>
      </c>
      <c r="Q46" s="70">
        <f>'NPV Solver'!R33</f>
        <v>0</v>
      </c>
    </row>
    <row r="47" spans="1:17" x14ac:dyDescent="0.25">
      <c r="A47" s="2" t="s">
        <v>100</v>
      </c>
      <c r="B47" s="143">
        <f>SUM(B96:B135)</f>
        <v>355864.06273031619</v>
      </c>
      <c r="C47" s="143">
        <f t="shared" ref="C47:Q47" si="14">SUM(C96:C135)</f>
        <v>356128.10941503802</v>
      </c>
      <c r="D47" s="143">
        <f t="shared" si="14"/>
        <v>0</v>
      </c>
      <c r="E47" s="143">
        <f t="shared" si="14"/>
        <v>0</v>
      </c>
      <c r="F47" s="143"/>
      <c r="G47" s="143">
        <f t="shared" si="14"/>
        <v>0</v>
      </c>
      <c r="H47" s="143">
        <f t="shared" si="14"/>
        <v>0</v>
      </c>
      <c r="I47" s="143">
        <f t="shared" si="14"/>
        <v>9604104.190972846</v>
      </c>
      <c r="J47" s="143">
        <f t="shared" si="14"/>
        <v>0</v>
      </c>
      <c r="K47" s="143">
        <f t="shared" si="14"/>
        <v>0</v>
      </c>
      <c r="L47" s="143">
        <f t="shared" si="14"/>
        <v>0</v>
      </c>
      <c r="M47" s="143">
        <f t="shared" si="14"/>
        <v>0</v>
      </c>
      <c r="N47" s="143">
        <f t="shared" si="14"/>
        <v>22.159725041703119</v>
      </c>
      <c r="O47" s="143">
        <f t="shared" si="14"/>
        <v>78010.700370454273</v>
      </c>
      <c r="P47" s="143">
        <f t="shared" si="14"/>
        <v>98463.907294692399</v>
      </c>
      <c r="Q47" s="143">
        <f t="shared" si="14"/>
        <v>0</v>
      </c>
    </row>
    <row r="48" spans="1:17" s="6" customFormat="1" x14ac:dyDescent="0.25">
      <c r="A48" s="2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</row>
    <row r="49" spans="1:17" s="6" customFormat="1" x14ac:dyDescent="0.25">
      <c r="A49" s="2" t="s">
        <v>101</v>
      </c>
      <c r="B49" s="61">
        <v>5.5521527357209104</v>
      </c>
      <c r="C49" s="61">
        <v>4.737161789981764</v>
      </c>
      <c r="D49" s="61">
        <v>2</v>
      </c>
      <c r="E49" s="61">
        <v>2</v>
      </c>
      <c r="F49" s="61"/>
      <c r="G49" s="61">
        <v>2</v>
      </c>
      <c r="H49" s="61">
        <v>2</v>
      </c>
      <c r="I49" s="61">
        <v>9.7373602362318739</v>
      </c>
      <c r="J49" s="61">
        <v>2</v>
      </c>
      <c r="K49" s="61">
        <v>2</v>
      </c>
      <c r="L49" s="61">
        <v>2</v>
      </c>
      <c r="M49" s="61">
        <v>2</v>
      </c>
      <c r="N49" s="61">
        <v>2</v>
      </c>
      <c r="O49" s="61">
        <v>2</v>
      </c>
      <c r="P49" s="61">
        <v>2</v>
      </c>
      <c r="Q49" s="61">
        <v>2</v>
      </c>
    </row>
    <row r="50" spans="1:17" s="6" customFormat="1" x14ac:dyDescent="0.25">
      <c r="A50" s="2" t="s">
        <v>102</v>
      </c>
      <c r="B50" s="61">
        <f>(B49*0.87)*3.785</f>
        <v>18.282961351092172</v>
      </c>
      <c r="C50" s="61">
        <f t="shared" ref="C50:M50" si="15">(C49*0.87)*3.785</f>
        <v>15.59923691632045</v>
      </c>
      <c r="D50" s="61">
        <f t="shared" si="15"/>
        <v>6.5859000000000005</v>
      </c>
      <c r="E50" s="61">
        <f t="shared" si="15"/>
        <v>6.5859000000000005</v>
      </c>
      <c r="F50" s="61"/>
      <c r="G50" s="61">
        <f t="shared" si="15"/>
        <v>6.5859000000000005</v>
      </c>
      <c r="H50" s="61">
        <f t="shared" si="15"/>
        <v>6.5859000000000005</v>
      </c>
      <c r="I50" s="61">
        <f t="shared" si="15"/>
        <v>32.064640389899751</v>
      </c>
      <c r="J50" s="61">
        <f t="shared" si="15"/>
        <v>6.5859000000000005</v>
      </c>
      <c r="K50" s="61">
        <f t="shared" si="15"/>
        <v>6.5859000000000005</v>
      </c>
      <c r="L50" s="61">
        <f t="shared" si="15"/>
        <v>6.5859000000000005</v>
      </c>
      <c r="M50" s="61">
        <f t="shared" si="15"/>
        <v>6.5859000000000005</v>
      </c>
      <c r="N50" s="61">
        <f>(N49*0.87)*3.785</f>
        <v>6.5859000000000005</v>
      </c>
      <c r="O50" s="61">
        <f t="shared" ref="O50" si="16">(O49*0.87)*3.785</f>
        <v>6.5859000000000005</v>
      </c>
      <c r="P50" s="61">
        <f t="shared" ref="P50" si="17">(P49*0.87)*3.785</f>
        <v>6.5859000000000005</v>
      </c>
      <c r="Q50" s="61">
        <f t="shared" ref="Q50" si="18">(Q49*0.87)*3.785</f>
        <v>6.5859000000000005</v>
      </c>
    </row>
    <row r="51" spans="1:17" x14ac:dyDescent="0.25">
      <c r="A51" s="56" t="str">
        <f>I_O!A199</f>
        <v>Outputs</v>
      </c>
      <c r="B51" s="55" t="s">
        <v>103</v>
      </c>
      <c r="C51" s="55" t="s">
        <v>103</v>
      </c>
      <c r="D51" s="55" t="s">
        <v>103</v>
      </c>
      <c r="E51" s="55" t="s">
        <v>103</v>
      </c>
      <c r="F51" s="55"/>
      <c r="G51" s="55" t="s">
        <v>103</v>
      </c>
      <c r="H51" s="55" t="s">
        <v>103</v>
      </c>
      <c r="I51" s="55" t="s">
        <v>103</v>
      </c>
      <c r="J51" s="55" t="s">
        <v>103</v>
      </c>
      <c r="K51" s="55" t="s">
        <v>103</v>
      </c>
      <c r="L51" s="55" t="s">
        <v>103</v>
      </c>
      <c r="M51" s="55" t="s">
        <v>103</v>
      </c>
      <c r="N51" s="55" t="s">
        <v>103</v>
      </c>
      <c r="O51" s="55" t="s">
        <v>103</v>
      </c>
      <c r="P51" s="55" t="s">
        <v>103</v>
      </c>
      <c r="Q51" s="55" t="s">
        <v>103</v>
      </c>
    </row>
    <row r="52" spans="1:17" x14ac:dyDescent="0.25">
      <c r="A52" s="57" t="str">
        <f>I_O!A200</f>
        <v>CH4 Emissions (kg/yr)</v>
      </c>
      <c r="B52" s="58">
        <f>I_O!$N200</f>
        <v>0</v>
      </c>
      <c r="C52" s="58">
        <f>I_O!$N200</f>
        <v>0</v>
      </c>
      <c r="D52" s="58">
        <f>I_O!$N200</f>
        <v>0</v>
      </c>
      <c r="E52" s="58">
        <f>I_O!$N200</f>
        <v>0</v>
      </c>
      <c r="F52" s="58"/>
      <c r="G52" s="58">
        <f>I_O!$N200</f>
        <v>0</v>
      </c>
      <c r="H52" s="58">
        <f>I_O!$N200</f>
        <v>0</v>
      </c>
      <c r="I52" s="58">
        <f>I_O!$N200</f>
        <v>0</v>
      </c>
      <c r="J52" s="58">
        <f>I_O!$N200</f>
        <v>0</v>
      </c>
      <c r="K52" s="58">
        <f>I_O!$N200</f>
        <v>0</v>
      </c>
      <c r="L52" s="58">
        <f>I_O!$N200</f>
        <v>0</v>
      </c>
      <c r="M52" s="58">
        <f>I_O!$N200</f>
        <v>0</v>
      </c>
      <c r="N52" s="58">
        <f>I_O!$N200</f>
        <v>0</v>
      </c>
      <c r="O52" s="58">
        <f>I_O!$N200</f>
        <v>0</v>
      </c>
      <c r="P52" s="58">
        <f>I_O!$N200</f>
        <v>0</v>
      </c>
      <c r="Q52" s="58">
        <f>I_O!$N200</f>
        <v>0</v>
      </c>
    </row>
    <row r="53" spans="1:17" x14ac:dyDescent="0.25">
      <c r="A53" s="57" t="str">
        <f>I_O!A201</f>
        <v>CO2 Emissions (kg/yr)</v>
      </c>
      <c r="B53" s="58">
        <f>I_O!$N201</f>
        <v>0</v>
      </c>
      <c r="C53" s="58">
        <f>I_O!$N201</f>
        <v>0</v>
      </c>
      <c r="D53" s="58">
        <f>I_O!$N201</f>
        <v>0</v>
      </c>
      <c r="E53" s="58">
        <f>I_O!$N201</f>
        <v>0</v>
      </c>
      <c r="F53" s="58"/>
      <c r="G53" s="58">
        <f>I_O!$N201</f>
        <v>0</v>
      </c>
      <c r="H53" s="58">
        <f>I_O!$N201</f>
        <v>0</v>
      </c>
      <c r="I53" s="58">
        <f>I_O!$N201</f>
        <v>0</v>
      </c>
      <c r="J53" s="58">
        <f>I_O!$N201</f>
        <v>0</v>
      </c>
      <c r="K53" s="58">
        <f>I_O!$N201</f>
        <v>0</v>
      </c>
      <c r="L53" s="58">
        <f>I_O!$N201</f>
        <v>0</v>
      </c>
      <c r="M53" s="58">
        <f>I_O!$N201</f>
        <v>0</v>
      </c>
      <c r="N53" s="58">
        <f>I_O!$N201</f>
        <v>0</v>
      </c>
      <c r="O53" s="58">
        <f>I_O!$N201</f>
        <v>0</v>
      </c>
      <c r="P53" s="58">
        <f>I_O!$N201</f>
        <v>0</v>
      </c>
      <c r="Q53" s="58">
        <f>I_O!$N201</f>
        <v>0</v>
      </c>
    </row>
    <row r="54" spans="1:17" x14ac:dyDescent="0.25">
      <c r="A54" s="57" t="str">
        <f>I_O!A202</f>
        <v>CO Emissions (kg/yr)</v>
      </c>
      <c r="B54" s="58">
        <f>I_O!$N202</f>
        <v>0</v>
      </c>
      <c r="C54" s="58">
        <f>I_O!$N202</f>
        <v>0</v>
      </c>
      <c r="D54" s="58">
        <f>I_O!$N202</f>
        <v>0</v>
      </c>
      <c r="E54" s="58">
        <f>I_O!$N202</f>
        <v>0</v>
      </c>
      <c r="F54" s="58"/>
      <c r="G54" s="58">
        <f>I_O!$N202</f>
        <v>0</v>
      </c>
      <c r="H54" s="58">
        <f>I_O!$N202</f>
        <v>0</v>
      </c>
      <c r="I54" s="58">
        <f>I_O!$N202</f>
        <v>0</v>
      </c>
      <c r="J54" s="58">
        <f>I_O!$N202</f>
        <v>0</v>
      </c>
      <c r="K54" s="58">
        <f>I_O!$N202</f>
        <v>0</v>
      </c>
      <c r="L54" s="58">
        <f>I_O!$N202</f>
        <v>0</v>
      </c>
      <c r="M54" s="58">
        <f>I_O!$N202</f>
        <v>0</v>
      </c>
      <c r="N54" s="58">
        <f>I_O!$N202</f>
        <v>0</v>
      </c>
      <c r="O54" s="58">
        <f>I_O!$N202</f>
        <v>0</v>
      </c>
      <c r="P54" s="58">
        <f>I_O!$N202</f>
        <v>0</v>
      </c>
      <c r="Q54" s="58">
        <f>I_O!$N202</f>
        <v>0</v>
      </c>
    </row>
    <row r="55" spans="1:17" x14ac:dyDescent="0.25">
      <c r="A55" s="57" t="str">
        <f>I_O!A203</f>
        <v>LUC Emissions (kg CO2e/yr)</v>
      </c>
      <c r="B55" s="58">
        <f>I_O!$N203</f>
        <v>0</v>
      </c>
      <c r="C55" s="58">
        <f>I_O!$N203</f>
        <v>0</v>
      </c>
      <c r="D55" s="58">
        <f>I_O!$N203</f>
        <v>0</v>
      </c>
      <c r="E55" s="58">
        <f>I_O!$N203</f>
        <v>0</v>
      </c>
      <c r="F55" s="58"/>
      <c r="G55" s="58">
        <f>I_O!$N203</f>
        <v>0</v>
      </c>
      <c r="H55" s="58">
        <f>I_O!$N203</f>
        <v>0</v>
      </c>
      <c r="I55" s="58">
        <f>I_O!$N203</f>
        <v>0</v>
      </c>
      <c r="J55" s="58">
        <f>I_O!$N203</f>
        <v>0</v>
      </c>
      <c r="K55" s="58">
        <f>I_O!$N203</f>
        <v>0</v>
      </c>
      <c r="L55" s="58">
        <f>I_O!$N203</f>
        <v>0</v>
      </c>
      <c r="M55" s="58">
        <f>I_O!$N203</f>
        <v>0</v>
      </c>
      <c r="N55" s="58">
        <f>I_O!$N203</f>
        <v>0</v>
      </c>
      <c r="O55" s="58">
        <f>I_O!$N203</f>
        <v>0</v>
      </c>
      <c r="P55" s="58">
        <f>I_O!$N203</f>
        <v>0</v>
      </c>
      <c r="Q55" s="58">
        <f>I_O!$N203</f>
        <v>0</v>
      </c>
    </row>
    <row r="56" spans="1:17" x14ac:dyDescent="0.25">
      <c r="A56" s="57" t="str">
        <f>I_O!A204</f>
        <v>N2O Emissions (kg/yr)</v>
      </c>
      <c r="B56" s="58">
        <f>I_O!$N204</f>
        <v>0</v>
      </c>
      <c r="C56" s="58">
        <f>I_O!$N204</f>
        <v>0</v>
      </c>
      <c r="D56" s="58">
        <f>I_O!$N204</f>
        <v>0</v>
      </c>
      <c r="E56" s="58">
        <f>I_O!$N204</f>
        <v>0</v>
      </c>
      <c r="F56" s="58"/>
      <c r="G56" s="58">
        <f>I_O!$N204</f>
        <v>0</v>
      </c>
      <c r="H56" s="58">
        <f>I_O!$N204</f>
        <v>0</v>
      </c>
      <c r="I56" s="58">
        <f>I_O!$N204</f>
        <v>0</v>
      </c>
      <c r="J56" s="58">
        <f>I_O!$N204</f>
        <v>0</v>
      </c>
      <c r="K56" s="58">
        <f>I_O!$N204</f>
        <v>0</v>
      </c>
      <c r="L56" s="58">
        <f>I_O!$N204</f>
        <v>0</v>
      </c>
      <c r="M56" s="58">
        <f>I_O!$N204</f>
        <v>0</v>
      </c>
      <c r="N56" s="58">
        <f>I_O!$N204</f>
        <v>0</v>
      </c>
      <c r="O56" s="58">
        <f>I_O!$N204</f>
        <v>0</v>
      </c>
      <c r="P56" s="58">
        <f>I_O!$N204</f>
        <v>0</v>
      </c>
      <c r="Q56" s="58">
        <f>I_O!$N204</f>
        <v>0</v>
      </c>
    </row>
    <row r="57" spans="1:17" x14ac:dyDescent="0.25">
      <c r="A57" s="57" t="str">
        <f>I_O!A205</f>
        <v>NOx Emissions (kg/yr)</v>
      </c>
      <c r="B57" s="58">
        <f>I_O!$N205</f>
        <v>0</v>
      </c>
      <c r="C57" s="58">
        <f>I_O!$N205</f>
        <v>0</v>
      </c>
      <c r="D57" s="58">
        <f>I_O!$N205</f>
        <v>0</v>
      </c>
      <c r="E57" s="58">
        <f>I_O!$N205</f>
        <v>0</v>
      </c>
      <c r="F57" s="58"/>
      <c r="G57" s="58">
        <f>I_O!$N205</f>
        <v>0</v>
      </c>
      <c r="H57" s="58">
        <f>I_O!$N205</f>
        <v>0</v>
      </c>
      <c r="I57" s="58">
        <f>I_O!$N205</f>
        <v>0</v>
      </c>
      <c r="J57" s="58">
        <f>I_O!$N205</f>
        <v>0</v>
      </c>
      <c r="K57" s="58">
        <f>I_O!$N205</f>
        <v>0</v>
      </c>
      <c r="L57" s="58">
        <f>I_O!$N205</f>
        <v>0</v>
      </c>
      <c r="M57" s="58">
        <f>I_O!$N205</f>
        <v>0</v>
      </c>
      <c r="N57" s="58">
        <f>I_O!$N205</f>
        <v>0</v>
      </c>
      <c r="O57" s="58">
        <f>I_O!$N205</f>
        <v>0</v>
      </c>
      <c r="P57" s="58">
        <f>I_O!$N205</f>
        <v>0</v>
      </c>
      <c r="Q57" s="58">
        <f>I_O!$N205</f>
        <v>0</v>
      </c>
    </row>
    <row r="58" spans="1:17" x14ac:dyDescent="0.25">
      <c r="A58" s="57" t="str">
        <f>I_O!A206</f>
        <v>Algal Biomass, Whole (kg/yr)</v>
      </c>
      <c r="B58" s="58">
        <f>I_O!$N206</f>
        <v>0</v>
      </c>
      <c r="C58" s="58">
        <f>I_O!$N206</f>
        <v>0</v>
      </c>
      <c r="D58" s="58">
        <f>I_O!$N206</f>
        <v>0</v>
      </c>
      <c r="E58" s="58">
        <f>I_O!$N206</f>
        <v>0</v>
      </c>
      <c r="F58" s="58"/>
      <c r="G58" s="58">
        <f>I_O!$N206</f>
        <v>0</v>
      </c>
      <c r="H58" s="58">
        <f>I_O!$N206</f>
        <v>0</v>
      </c>
      <c r="I58" s="58">
        <f>I_O!$N206</f>
        <v>0</v>
      </c>
      <c r="J58" s="58">
        <f>I_O!$N206</f>
        <v>0</v>
      </c>
      <c r="K58" s="58">
        <f>I_O!$N206</f>
        <v>0</v>
      </c>
      <c r="L58" s="58">
        <f>I_O!$N206</f>
        <v>0</v>
      </c>
      <c r="M58" s="58">
        <f>I_O!$N206</f>
        <v>0</v>
      </c>
      <c r="N58" s="58">
        <f>I_O!$N206</f>
        <v>0</v>
      </c>
      <c r="O58" s="58">
        <f>I_O!$N206</f>
        <v>0</v>
      </c>
      <c r="P58" s="58">
        <f>I_O!$N206</f>
        <v>0</v>
      </c>
      <c r="Q58" s="58">
        <f>I_O!$N206</f>
        <v>0</v>
      </c>
    </row>
    <row r="59" spans="1:17" x14ac:dyDescent="0.25">
      <c r="A59" s="57" t="str">
        <f>I_O!A207</f>
        <v>Algal Biomass, LEA Meal (kg/yr)</v>
      </c>
      <c r="B59" s="58">
        <f>I_O!$N207</f>
        <v>0.35</v>
      </c>
      <c r="C59" s="58">
        <f>I_O!$N207</f>
        <v>0.35</v>
      </c>
      <c r="D59" s="58">
        <f>I_O!$N207</f>
        <v>0.35</v>
      </c>
      <c r="E59" s="58">
        <f>I_O!$N207</f>
        <v>0.35</v>
      </c>
      <c r="F59" s="58"/>
      <c r="G59" s="58">
        <f>I_O!$N207</f>
        <v>0.35</v>
      </c>
      <c r="H59" s="58">
        <f>I_O!$N207</f>
        <v>0.35</v>
      </c>
      <c r="I59" s="58">
        <f>I_O!$N207</f>
        <v>0.35</v>
      </c>
      <c r="J59" s="58">
        <f>I_O!$N207</f>
        <v>0.35</v>
      </c>
      <c r="K59" s="58">
        <f>I_O!$N207</f>
        <v>0.35</v>
      </c>
      <c r="L59" s="58">
        <f>I_O!$N207</f>
        <v>0.35</v>
      </c>
      <c r="M59" s="58">
        <f>I_O!$N207</f>
        <v>0.35</v>
      </c>
      <c r="N59" s="58">
        <f>I_O!$N207</f>
        <v>0.35</v>
      </c>
      <c r="O59" s="58">
        <f>I_O!$N207</f>
        <v>0.35</v>
      </c>
      <c r="P59" s="58">
        <f>I_O!$N207</f>
        <v>0.35</v>
      </c>
      <c r="Q59" s="58">
        <f>I_O!$N207</f>
        <v>0.35</v>
      </c>
    </row>
    <row r="60" spans="1:17" x14ac:dyDescent="0.25">
      <c r="A60" s="57" t="str">
        <f>I_O!A208</f>
        <v>Algal Oil (kg/yr)</v>
      </c>
      <c r="B60" s="58">
        <f>I_O!$N208</f>
        <v>0</v>
      </c>
      <c r="C60" s="58">
        <f>I_O!$N208</f>
        <v>0</v>
      </c>
      <c r="D60" s="58">
        <f>I_O!$N208</f>
        <v>0</v>
      </c>
      <c r="E60" s="58">
        <f>I_O!$N208</f>
        <v>0</v>
      </c>
      <c r="F60" s="58"/>
      <c r="G60" s="58">
        <f>I_O!$N208</f>
        <v>0</v>
      </c>
      <c r="H60" s="58">
        <f>I_O!$N208</f>
        <v>0</v>
      </c>
      <c r="I60" s="58">
        <f>I_O!$N208</f>
        <v>0</v>
      </c>
      <c r="J60" s="58">
        <f>I_O!$N208</f>
        <v>0</v>
      </c>
      <c r="K60" s="58">
        <f>I_O!$N208</f>
        <v>0</v>
      </c>
      <c r="L60" s="58">
        <f>I_O!$N208</f>
        <v>0</v>
      </c>
      <c r="M60" s="58">
        <f>I_O!$N208</f>
        <v>0</v>
      </c>
      <c r="N60" s="58">
        <f>I_O!$N208</f>
        <v>0</v>
      </c>
      <c r="O60" s="58">
        <f>I_O!$N208</f>
        <v>0</v>
      </c>
      <c r="P60" s="58">
        <f>I_O!$N208</f>
        <v>0</v>
      </c>
      <c r="Q60" s="58">
        <f>I_O!$N208</f>
        <v>0</v>
      </c>
    </row>
    <row r="61" spans="1:17" x14ac:dyDescent="0.25">
      <c r="A61" s="57" t="str">
        <f>I_O!A209</f>
        <v>Corn Grain (kg/yr)</v>
      </c>
      <c r="B61" s="58">
        <f>I_O!$N209</f>
        <v>0</v>
      </c>
      <c r="C61" s="58">
        <f>I_O!$N209</f>
        <v>0</v>
      </c>
      <c r="D61" s="58">
        <f>I_O!$N209</f>
        <v>0</v>
      </c>
      <c r="E61" s="58">
        <f>I_O!$N209</f>
        <v>0</v>
      </c>
      <c r="F61" s="58"/>
      <c r="G61" s="58">
        <f>I_O!$N209</f>
        <v>0</v>
      </c>
      <c r="H61" s="58">
        <f>I_O!$N209</f>
        <v>0</v>
      </c>
      <c r="I61" s="58">
        <f>I_O!$N209</f>
        <v>0</v>
      </c>
      <c r="J61" s="58">
        <f>I_O!$N209</f>
        <v>0</v>
      </c>
      <c r="K61" s="58">
        <f>I_O!$N209</f>
        <v>0</v>
      </c>
      <c r="L61" s="58">
        <f>I_O!$N209</f>
        <v>0</v>
      </c>
      <c r="M61" s="58">
        <f>I_O!$N209</f>
        <v>0</v>
      </c>
      <c r="N61" s="58">
        <f>I_O!$N209</f>
        <v>0</v>
      </c>
      <c r="O61" s="58">
        <f>I_O!$N209</f>
        <v>0</v>
      </c>
      <c r="P61" s="58">
        <f>I_O!$N209</f>
        <v>0</v>
      </c>
      <c r="Q61" s="58">
        <f>I_O!$N209</f>
        <v>0</v>
      </c>
    </row>
    <row r="62" spans="1:17" x14ac:dyDescent="0.25">
      <c r="A62" s="57" t="str">
        <f>I_O!A210</f>
        <v>Corn Stover, Collected (kg/yr)</v>
      </c>
      <c r="B62" s="58">
        <f>I_O!$N210</f>
        <v>0</v>
      </c>
      <c r="C62" s="58">
        <f>I_O!$N210</f>
        <v>0</v>
      </c>
      <c r="D62" s="58">
        <f>I_O!$N210</f>
        <v>0</v>
      </c>
      <c r="E62" s="58">
        <f>I_O!$N210</f>
        <v>0</v>
      </c>
      <c r="F62" s="58"/>
      <c r="G62" s="58">
        <f>I_O!$N210</f>
        <v>0</v>
      </c>
      <c r="H62" s="58">
        <f>I_O!$N210</f>
        <v>0</v>
      </c>
      <c r="I62" s="58">
        <f>I_O!$N210</f>
        <v>0</v>
      </c>
      <c r="J62" s="58">
        <f>I_O!$N210</f>
        <v>0</v>
      </c>
      <c r="K62" s="58">
        <f>I_O!$N210</f>
        <v>0</v>
      </c>
      <c r="L62" s="58">
        <f>I_O!$N210</f>
        <v>0</v>
      </c>
      <c r="M62" s="58">
        <f>I_O!$N210</f>
        <v>0</v>
      </c>
      <c r="N62" s="58">
        <f>I_O!$N210</f>
        <v>0</v>
      </c>
      <c r="O62" s="58">
        <f>I_O!$N210</f>
        <v>0</v>
      </c>
      <c r="P62" s="58">
        <f>I_O!$N210</f>
        <v>0</v>
      </c>
      <c r="Q62" s="58">
        <f>I_O!$N210</f>
        <v>0</v>
      </c>
    </row>
    <row r="63" spans="1:17" x14ac:dyDescent="0.25">
      <c r="A63" s="57" t="str">
        <f>I_O!A211</f>
        <v>Corn Stover, Left (kg/yr)</v>
      </c>
      <c r="B63" s="58">
        <f>I_O!$N211</f>
        <v>0</v>
      </c>
      <c r="C63" s="58">
        <f>I_O!$N211</f>
        <v>0</v>
      </c>
      <c r="D63" s="58">
        <f>I_O!$N211</f>
        <v>0</v>
      </c>
      <c r="E63" s="58">
        <f>I_O!$N211</f>
        <v>0</v>
      </c>
      <c r="F63" s="58"/>
      <c r="G63" s="58">
        <f>I_O!$N211</f>
        <v>0</v>
      </c>
      <c r="H63" s="58">
        <f>I_O!$N211</f>
        <v>0</v>
      </c>
      <c r="I63" s="58">
        <f>I_O!$N211</f>
        <v>0</v>
      </c>
      <c r="J63" s="58">
        <f>I_O!$N211</f>
        <v>0</v>
      </c>
      <c r="K63" s="58">
        <f>I_O!$N211</f>
        <v>0</v>
      </c>
      <c r="L63" s="58">
        <f>I_O!$N211</f>
        <v>0</v>
      </c>
      <c r="M63" s="58">
        <f>I_O!$N211</f>
        <v>0</v>
      </c>
      <c r="N63" s="58">
        <f>I_O!$N211</f>
        <v>0</v>
      </c>
      <c r="O63" s="58">
        <f>I_O!$N211</f>
        <v>0</v>
      </c>
      <c r="P63" s="58">
        <f>I_O!$N211</f>
        <v>0</v>
      </c>
      <c r="Q63" s="58">
        <f>I_O!$N211</f>
        <v>0</v>
      </c>
    </row>
    <row r="64" spans="1:17" x14ac:dyDescent="0.25">
      <c r="A64" s="57" t="str">
        <f>I_O!A212</f>
        <v>DDGS (kg/yr)</v>
      </c>
      <c r="B64" s="58">
        <f>I_O!$N212</f>
        <v>0.15435501700000001</v>
      </c>
      <c r="C64" s="58">
        <f>I_O!$N212</f>
        <v>0.15435501700000001</v>
      </c>
      <c r="D64" s="58">
        <f>I_O!$N212</f>
        <v>0.15435501700000001</v>
      </c>
      <c r="E64" s="58">
        <f>I_O!$N212</f>
        <v>0.15435501700000001</v>
      </c>
      <c r="F64" s="58"/>
      <c r="G64" s="58">
        <f>I_O!$N212</f>
        <v>0.15435501700000001</v>
      </c>
      <c r="H64" s="58">
        <f>I_O!$N212</f>
        <v>0.15435501700000001</v>
      </c>
      <c r="I64" s="58">
        <f>I_O!$N212</f>
        <v>0.15435501700000001</v>
      </c>
      <c r="J64" s="58">
        <f>I_O!$N212</f>
        <v>0.15435501700000001</v>
      </c>
      <c r="K64" s="58">
        <f>I_O!$N212</f>
        <v>0.15435501700000001</v>
      </c>
      <c r="L64" s="58">
        <f>I_O!$N212</f>
        <v>0.15435501700000001</v>
      </c>
      <c r="M64" s="58">
        <f>I_O!$N212</f>
        <v>0.15435501700000001</v>
      </c>
      <c r="N64" s="58">
        <f>I_O!$N212</f>
        <v>0.15435501700000001</v>
      </c>
      <c r="O64" s="58">
        <f>I_O!$N212</f>
        <v>0.15435501700000001</v>
      </c>
      <c r="P64" s="58">
        <f>I_O!$N212</f>
        <v>0.15435501700000001</v>
      </c>
      <c r="Q64" s="58">
        <f>I_O!$N212</f>
        <v>0.15435501700000001</v>
      </c>
    </row>
    <row r="65" spans="1:17" x14ac:dyDescent="0.25">
      <c r="A65" s="57" t="str">
        <f>I_O!A213</f>
        <v>Glycerin (kg/yr)</v>
      </c>
      <c r="B65" s="58">
        <f>I_O!$N213</f>
        <v>0.13200000000000001</v>
      </c>
      <c r="C65" s="58">
        <f>I_O!$N213</f>
        <v>0.13200000000000001</v>
      </c>
      <c r="D65" s="58">
        <f>I_O!$N213</f>
        <v>0.13200000000000001</v>
      </c>
      <c r="E65" s="58">
        <f>I_O!$N213</f>
        <v>0.13200000000000001</v>
      </c>
      <c r="F65" s="58"/>
      <c r="G65" s="58">
        <f>I_O!$N213</f>
        <v>0.13200000000000001</v>
      </c>
      <c r="H65" s="58">
        <f>I_O!$N213</f>
        <v>0.13200000000000001</v>
      </c>
      <c r="I65" s="58">
        <f>I_O!$N213</f>
        <v>0.13200000000000001</v>
      </c>
      <c r="J65" s="58">
        <f>I_O!$N213</f>
        <v>0.13200000000000001</v>
      </c>
      <c r="K65" s="58">
        <f>I_O!$N213</f>
        <v>0.13200000000000001</v>
      </c>
      <c r="L65" s="58">
        <f>I_O!$N213</f>
        <v>0.13200000000000001</v>
      </c>
      <c r="M65" s="58">
        <f>I_O!$N213</f>
        <v>0.13200000000000001</v>
      </c>
      <c r="N65" s="58">
        <f>I_O!$N213</f>
        <v>0.13200000000000001</v>
      </c>
      <c r="O65" s="58">
        <f>I_O!$N213</f>
        <v>0.13200000000000001</v>
      </c>
      <c r="P65" s="58">
        <f>I_O!$N213</f>
        <v>0.13200000000000001</v>
      </c>
      <c r="Q65" s="58">
        <f>I_O!$N213</f>
        <v>0.13200000000000001</v>
      </c>
    </row>
    <row r="66" spans="1:17" x14ac:dyDescent="0.25">
      <c r="A66" s="57" t="str">
        <f>I_O!A214</f>
        <v>MSW Co-Products (kg/yr)</v>
      </c>
      <c r="B66" s="58">
        <f>I_O!$N214</f>
        <v>0.33</v>
      </c>
      <c r="C66" s="58">
        <f>I_O!$N214</f>
        <v>0.33</v>
      </c>
      <c r="D66" s="58">
        <f>I_O!$N214</f>
        <v>0.33</v>
      </c>
      <c r="E66" s="58">
        <f>I_O!$N214</f>
        <v>0.33</v>
      </c>
      <c r="F66" s="58"/>
      <c r="G66" s="58">
        <f>I_O!$N214</f>
        <v>0.33</v>
      </c>
      <c r="H66" s="58">
        <f>I_O!$N214</f>
        <v>0.33</v>
      </c>
      <c r="I66" s="58">
        <f>I_O!$N214</f>
        <v>0.33</v>
      </c>
      <c r="J66" s="58">
        <f>I_O!$N214</f>
        <v>0.33</v>
      </c>
      <c r="K66" s="58">
        <f>I_O!$N214</f>
        <v>0.33</v>
      </c>
      <c r="L66" s="58">
        <f>I_O!$N214</f>
        <v>0.33</v>
      </c>
      <c r="M66" s="58">
        <f>I_O!$N214</f>
        <v>0.33</v>
      </c>
      <c r="N66" s="58">
        <f>I_O!$N214</f>
        <v>0.33</v>
      </c>
      <c r="O66" s="58">
        <f>I_O!$N214</f>
        <v>0.33</v>
      </c>
      <c r="P66" s="58">
        <f>I_O!$N214</f>
        <v>0.33</v>
      </c>
      <c r="Q66" s="58">
        <f>I_O!$N214</f>
        <v>0.33</v>
      </c>
    </row>
    <row r="67" spans="1:17" x14ac:dyDescent="0.25">
      <c r="A67" s="57" t="str">
        <f>I_O!A215</f>
        <v>Nitrogen Gas (kg/yr)</v>
      </c>
      <c r="B67" s="58">
        <f>I_O!$N215</f>
        <v>0</v>
      </c>
      <c r="C67" s="58">
        <f>I_O!$N215</f>
        <v>0</v>
      </c>
      <c r="D67" s="58">
        <f>I_O!$N215</f>
        <v>0</v>
      </c>
      <c r="E67" s="58">
        <f>I_O!$N215</f>
        <v>0</v>
      </c>
      <c r="F67" s="58"/>
      <c r="G67" s="58">
        <f>I_O!$N215</f>
        <v>0</v>
      </c>
      <c r="H67" s="58">
        <f>I_O!$N215</f>
        <v>0</v>
      </c>
      <c r="I67" s="58">
        <f>I_O!$N215</f>
        <v>0</v>
      </c>
      <c r="J67" s="58">
        <f>I_O!$N215</f>
        <v>0</v>
      </c>
      <c r="K67" s="58">
        <f>I_O!$N215</f>
        <v>0</v>
      </c>
      <c r="L67" s="58">
        <f>I_O!$N215</f>
        <v>0</v>
      </c>
      <c r="M67" s="58">
        <f>I_O!$N215</f>
        <v>0</v>
      </c>
      <c r="N67" s="58">
        <f>I_O!$N215</f>
        <v>0</v>
      </c>
      <c r="O67" s="58">
        <f>I_O!$N215</f>
        <v>0</v>
      </c>
      <c r="P67" s="58">
        <f>I_O!$N215</f>
        <v>0</v>
      </c>
      <c r="Q67" s="58">
        <f>I_O!$N215</f>
        <v>0</v>
      </c>
    </row>
    <row r="68" spans="1:17" x14ac:dyDescent="0.25">
      <c r="A68" s="57" t="str">
        <f>I_O!A216</f>
        <v>Refused Derived Fuel (kg/yr)</v>
      </c>
      <c r="B68" s="58">
        <f>I_O!$N216</f>
        <v>0</v>
      </c>
      <c r="C68" s="58">
        <f>I_O!$N216</f>
        <v>0</v>
      </c>
      <c r="D68" s="58">
        <f>I_O!$N216</f>
        <v>0</v>
      </c>
      <c r="E68" s="58">
        <f>I_O!$N216</f>
        <v>0</v>
      </c>
      <c r="F68" s="58"/>
      <c r="G68" s="58">
        <f>I_O!$N216</f>
        <v>0</v>
      </c>
      <c r="H68" s="58">
        <f>I_O!$N216</f>
        <v>0</v>
      </c>
      <c r="I68" s="58">
        <f>I_O!$N216</f>
        <v>0</v>
      </c>
      <c r="J68" s="58">
        <f>I_O!$N216</f>
        <v>0</v>
      </c>
      <c r="K68" s="58">
        <f>I_O!$N216</f>
        <v>0</v>
      </c>
      <c r="L68" s="58">
        <f>I_O!$N216</f>
        <v>0</v>
      </c>
      <c r="M68" s="58">
        <f>I_O!$N216</f>
        <v>0</v>
      </c>
      <c r="N68" s="58">
        <f>I_O!$N216</f>
        <v>0</v>
      </c>
      <c r="O68" s="58">
        <f>I_O!$N216</f>
        <v>0</v>
      </c>
      <c r="P68" s="58">
        <f>I_O!$N216</f>
        <v>0</v>
      </c>
      <c r="Q68" s="58">
        <f>I_O!$N216</f>
        <v>0</v>
      </c>
    </row>
    <row r="69" spans="1:17" x14ac:dyDescent="0.25">
      <c r="A69" s="57" t="str">
        <f>I_O!A217</f>
        <v>Slag (kg/yr)</v>
      </c>
      <c r="B69" s="58">
        <f>I_O!$N217</f>
        <v>-2.5899999999999999E-2</v>
      </c>
      <c r="C69" s="58">
        <f>I_O!$N217</f>
        <v>-2.5899999999999999E-2</v>
      </c>
      <c r="D69" s="58">
        <f>I_O!$N217</f>
        <v>-2.5899999999999999E-2</v>
      </c>
      <c r="E69" s="58">
        <f>I_O!$N217</f>
        <v>-2.5899999999999999E-2</v>
      </c>
      <c r="F69" s="58"/>
      <c r="G69" s="58">
        <f>I_O!$N217</f>
        <v>-2.5899999999999999E-2</v>
      </c>
      <c r="H69" s="58">
        <f>I_O!$N217</f>
        <v>-2.5899999999999999E-2</v>
      </c>
      <c r="I69" s="58">
        <f>I_O!$N217</f>
        <v>-2.5899999999999999E-2</v>
      </c>
      <c r="J69" s="58">
        <f>I_O!$N217</f>
        <v>-2.5899999999999999E-2</v>
      </c>
      <c r="K69" s="58">
        <f>I_O!$N217</f>
        <v>-2.5899999999999999E-2</v>
      </c>
      <c r="L69" s="58">
        <f>I_O!$N217</f>
        <v>-2.5899999999999999E-2</v>
      </c>
      <c r="M69" s="58">
        <f>I_O!$N217</f>
        <v>-2.5899999999999999E-2</v>
      </c>
      <c r="N69" s="58">
        <f>I_O!$N217</f>
        <v>-2.5899999999999999E-2</v>
      </c>
      <c r="O69" s="58">
        <f>I_O!$N217</f>
        <v>-2.5899999999999999E-2</v>
      </c>
      <c r="P69" s="58">
        <f>I_O!$N217</f>
        <v>-2.5899999999999999E-2</v>
      </c>
      <c r="Q69" s="58">
        <f>I_O!$N217</f>
        <v>-2.5899999999999999E-2</v>
      </c>
    </row>
    <row r="70" spans="1:17" x14ac:dyDescent="0.25">
      <c r="A70" s="57" t="str">
        <f>I_O!A218</f>
        <v>Soybean Meal (kg/yr)</v>
      </c>
      <c r="B70" s="58">
        <f>I_O!$N218</f>
        <v>0.35</v>
      </c>
      <c r="C70" s="58">
        <f>I_O!$N218</f>
        <v>0.35</v>
      </c>
      <c r="D70" s="58">
        <f>I_O!$N218</f>
        <v>0.35</v>
      </c>
      <c r="E70" s="58">
        <f>I_O!$N218</f>
        <v>0.35</v>
      </c>
      <c r="F70" s="58"/>
      <c r="G70" s="58">
        <f>I_O!$N218</f>
        <v>0.35</v>
      </c>
      <c r="H70" s="58">
        <f>I_O!$N218</f>
        <v>0.35</v>
      </c>
      <c r="I70" s="58">
        <f>I_O!$N218</f>
        <v>0.35</v>
      </c>
      <c r="J70" s="58">
        <f>I_O!$N218</f>
        <v>0.35</v>
      </c>
      <c r="K70" s="58">
        <f>I_O!$N218</f>
        <v>0.35</v>
      </c>
      <c r="L70" s="58">
        <f>I_O!$N218</f>
        <v>0.35</v>
      </c>
      <c r="M70" s="58">
        <f>I_O!$N218</f>
        <v>0.35</v>
      </c>
      <c r="N70" s="58">
        <f>I_O!$N218</f>
        <v>0.35</v>
      </c>
      <c r="O70" s="58">
        <f>I_O!$N218</f>
        <v>0.35</v>
      </c>
      <c r="P70" s="58">
        <f>I_O!$N218</f>
        <v>0.35</v>
      </c>
      <c r="Q70" s="58">
        <f>I_O!$N218</f>
        <v>0.35</v>
      </c>
    </row>
    <row r="71" spans="1:17" x14ac:dyDescent="0.25">
      <c r="A71" s="57" t="str">
        <f>I_O!A219</f>
        <v>Soybean Oil (kg/yr)</v>
      </c>
      <c r="B71" s="58">
        <f>I_O!$N219</f>
        <v>0</v>
      </c>
      <c r="C71" s="58">
        <f>I_O!$N219</f>
        <v>0</v>
      </c>
      <c r="D71" s="58">
        <f>I_O!$N219</f>
        <v>0</v>
      </c>
      <c r="E71" s="58">
        <f>I_O!$N219</f>
        <v>0</v>
      </c>
      <c r="F71" s="58"/>
      <c r="G71" s="58">
        <f>I_O!$N219</f>
        <v>0</v>
      </c>
      <c r="H71" s="58">
        <f>I_O!$N219</f>
        <v>0</v>
      </c>
      <c r="I71" s="58">
        <f>I_O!$N219</f>
        <v>0</v>
      </c>
      <c r="J71" s="58">
        <f>I_O!$N219</f>
        <v>0</v>
      </c>
      <c r="K71" s="58">
        <f>I_O!$N219</f>
        <v>0</v>
      </c>
      <c r="L71" s="58">
        <f>I_O!$N219</f>
        <v>0</v>
      </c>
      <c r="M71" s="58">
        <f>I_O!$N219</f>
        <v>0</v>
      </c>
      <c r="N71" s="58">
        <f>I_O!$N219</f>
        <v>0</v>
      </c>
      <c r="O71" s="58">
        <f>I_O!$N219</f>
        <v>0</v>
      </c>
      <c r="P71" s="58">
        <f>I_O!$N219</f>
        <v>0</v>
      </c>
      <c r="Q71" s="58">
        <f>I_O!$N219</f>
        <v>0</v>
      </c>
    </row>
    <row r="72" spans="1:17" x14ac:dyDescent="0.25">
      <c r="A72" s="57" t="str">
        <f>I_O!A220</f>
        <v>Soybeans (kg/yr)</v>
      </c>
      <c r="B72" s="58">
        <f>I_O!$N220</f>
        <v>0.55000000000000004</v>
      </c>
      <c r="C72" s="58">
        <f>I_O!$N220</f>
        <v>0.55000000000000004</v>
      </c>
      <c r="D72" s="58">
        <f>I_O!$N220</f>
        <v>0.55000000000000004</v>
      </c>
      <c r="E72" s="58">
        <f>I_O!$N220</f>
        <v>0.55000000000000004</v>
      </c>
      <c r="F72" s="58"/>
      <c r="G72" s="58">
        <f>I_O!$N220</f>
        <v>0.55000000000000004</v>
      </c>
      <c r="H72" s="58">
        <f>I_O!$N220</f>
        <v>0.55000000000000004</v>
      </c>
      <c r="I72" s="58">
        <f>I_O!$N220</f>
        <v>0.55000000000000004</v>
      </c>
      <c r="J72" s="58">
        <f>I_O!$N220</f>
        <v>0.55000000000000004</v>
      </c>
      <c r="K72" s="58">
        <f>I_O!$N220</f>
        <v>0.55000000000000004</v>
      </c>
      <c r="L72" s="58">
        <f>I_O!$N220</f>
        <v>0.55000000000000004</v>
      </c>
      <c r="M72" s="58">
        <f>I_O!$N220</f>
        <v>0.55000000000000004</v>
      </c>
      <c r="N72" s="58">
        <f>I_O!$N220</f>
        <v>0.55000000000000004</v>
      </c>
      <c r="O72" s="58">
        <f>I_O!$N220</f>
        <v>0.55000000000000004</v>
      </c>
      <c r="P72" s="58">
        <f>I_O!$N220</f>
        <v>0.55000000000000004</v>
      </c>
      <c r="Q72" s="58">
        <f>I_O!$N220</f>
        <v>0.55000000000000004</v>
      </c>
    </row>
    <row r="73" spans="1:17" x14ac:dyDescent="0.25">
      <c r="A73" s="57" t="str">
        <f>I_O!A221</f>
        <v>Syncrude (kg/yr)</v>
      </c>
      <c r="B73" s="58">
        <f>I_O!$N221</f>
        <v>0</v>
      </c>
      <c r="C73" s="58">
        <f>I_O!$N221</f>
        <v>0</v>
      </c>
      <c r="D73" s="58">
        <f>I_O!$N221</f>
        <v>0</v>
      </c>
      <c r="E73" s="58">
        <f>I_O!$N221</f>
        <v>0</v>
      </c>
      <c r="F73" s="58"/>
      <c r="G73" s="58">
        <f>I_O!$N221</f>
        <v>0</v>
      </c>
      <c r="H73" s="58">
        <f>I_O!$N221</f>
        <v>0</v>
      </c>
      <c r="I73" s="58">
        <f>I_O!$N221</f>
        <v>0</v>
      </c>
      <c r="J73" s="58">
        <f>I_O!$N221</f>
        <v>0</v>
      </c>
      <c r="K73" s="58">
        <f>I_O!$N221</f>
        <v>0</v>
      </c>
      <c r="L73" s="58">
        <f>I_O!$N221</f>
        <v>0</v>
      </c>
      <c r="M73" s="58">
        <f>I_O!$N221</f>
        <v>0</v>
      </c>
      <c r="N73" s="58">
        <f>I_O!$N221</f>
        <v>0</v>
      </c>
      <c r="O73" s="58">
        <f>I_O!$N221</f>
        <v>0</v>
      </c>
      <c r="P73" s="58">
        <f>I_O!$N221</f>
        <v>0</v>
      </c>
      <c r="Q73" s="58">
        <f>I_O!$N221</f>
        <v>0</v>
      </c>
    </row>
    <row r="74" spans="1:17" x14ac:dyDescent="0.25">
      <c r="A74" s="57" t="str">
        <f>I_O!A222</f>
        <v>Wastewater, Gasification (kg/yr)</v>
      </c>
      <c r="B74" s="58">
        <f>I_O!$N222</f>
        <v>-1.17E-3</v>
      </c>
      <c r="C74" s="58">
        <f>I_O!$N222</f>
        <v>-1.17E-3</v>
      </c>
      <c r="D74" s="58">
        <f>I_O!$N222</f>
        <v>-1.17E-3</v>
      </c>
      <c r="E74" s="58">
        <f>I_O!$N222</f>
        <v>-1.17E-3</v>
      </c>
      <c r="F74" s="58"/>
      <c r="G74" s="58">
        <f>I_O!$N222</f>
        <v>-1.17E-3</v>
      </c>
      <c r="H74" s="58">
        <f>I_O!$N222</f>
        <v>-1.17E-3</v>
      </c>
      <c r="I74" s="58">
        <f>I_O!$N222</f>
        <v>-1.17E-3</v>
      </c>
      <c r="J74" s="58">
        <f>I_O!$N222</f>
        <v>-1.17E-3</v>
      </c>
      <c r="K74" s="58">
        <f>I_O!$N222</f>
        <v>-1.17E-3</v>
      </c>
      <c r="L74" s="58">
        <f>I_O!$N222</f>
        <v>-1.17E-3</v>
      </c>
      <c r="M74" s="58">
        <f>I_O!$N222</f>
        <v>-1.17E-3</v>
      </c>
      <c r="N74" s="58">
        <f>I_O!$N222</f>
        <v>-1.17E-3</v>
      </c>
      <c r="O74" s="58">
        <f>I_O!$N222</f>
        <v>-1.17E-3</v>
      </c>
      <c r="P74" s="58">
        <f>I_O!$N222</f>
        <v>-1.17E-3</v>
      </c>
      <c r="Q74" s="58">
        <f>I_O!$N222</f>
        <v>-1.17E-3</v>
      </c>
    </row>
    <row r="75" spans="1:17" x14ac:dyDescent="0.25">
      <c r="A75" s="57" t="str">
        <f>I_O!A223</f>
        <v>Water, Output (kg/yr)</v>
      </c>
      <c r="B75" s="58">
        <f>I_O!$N223</f>
        <v>0</v>
      </c>
      <c r="C75" s="58">
        <f>I_O!$N223</f>
        <v>0</v>
      </c>
      <c r="D75" s="58">
        <f>I_O!$N223</f>
        <v>0</v>
      </c>
      <c r="E75" s="58">
        <f>I_O!$N223</f>
        <v>0</v>
      </c>
      <c r="F75" s="58"/>
      <c r="G75" s="58">
        <f>I_O!$N223</f>
        <v>0</v>
      </c>
      <c r="H75" s="58">
        <f>I_O!$N223</f>
        <v>0</v>
      </c>
      <c r="I75" s="58">
        <f>I_O!$N223</f>
        <v>0</v>
      </c>
      <c r="J75" s="58">
        <f>I_O!$N223</f>
        <v>0</v>
      </c>
      <c r="K75" s="58">
        <f>I_O!$N223</f>
        <v>0</v>
      </c>
      <c r="L75" s="58">
        <f>I_O!$N223</f>
        <v>0</v>
      </c>
      <c r="M75" s="58">
        <f>I_O!$N223</f>
        <v>0</v>
      </c>
      <c r="N75" s="58">
        <f>I_O!$N223</f>
        <v>0</v>
      </c>
      <c r="O75" s="58">
        <f>I_O!$N223</f>
        <v>0</v>
      </c>
      <c r="P75" s="58">
        <f>I_O!$N223</f>
        <v>0</v>
      </c>
      <c r="Q75" s="58">
        <f>I_O!$N223</f>
        <v>0</v>
      </c>
    </row>
    <row r="76" spans="1:17" x14ac:dyDescent="0.25">
      <c r="A76" s="57" t="str">
        <f>I_O!A224</f>
        <v>WDGS (kg/yr)</v>
      </c>
      <c r="B76" s="58">
        <f>I_O!$N224</f>
        <v>0</v>
      </c>
      <c r="C76" s="58">
        <f>I_O!$N224</f>
        <v>0</v>
      </c>
      <c r="D76" s="58">
        <f>I_O!$N224</f>
        <v>0</v>
      </c>
      <c r="E76" s="58">
        <f>I_O!$N224</f>
        <v>0</v>
      </c>
      <c r="F76" s="58"/>
      <c r="G76" s="58">
        <f>I_O!$N224</f>
        <v>0</v>
      </c>
      <c r="H76" s="58">
        <f>I_O!$N224</f>
        <v>0</v>
      </c>
      <c r="I76" s="58">
        <f>I_O!$N224</f>
        <v>0</v>
      </c>
      <c r="J76" s="58">
        <f>I_O!$N224</f>
        <v>0</v>
      </c>
      <c r="K76" s="58">
        <f>I_O!$N224</f>
        <v>0</v>
      </c>
      <c r="L76" s="58">
        <f>I_O!$N224</f>
        <v>0</v>
      </c>
      <c r="M76" s="58">
        <f>I_O!$N224</f>
        <v>0</v>
      </c>
      <c r="N76" s="58">
        <f>I_O!$N224</f>
        <v>0</v>
      </c>
      <c r="O76" s="58">
        <f>I_O!$N224</f>
        <v>0</v>
      </c>
      <c r="P76" s="58">
        <f>I_O!$N224</f>
        <v>0</v>
      </c>
      <c r="Q76" s="58">
        <f>I_O!$N224</f>
        <v>0</v>
      </c>
    </row>
    <row r="77" spans="1:17" x14ac:dyDescent="0.25">
      <c r="A77" s="57" t="str">
        <f>I_O!A225</f>
        <v>WOG, Delivered (kg/yr)</v>
      </c>
      <c r="B77" s="58">
        <f>I_O!$N225</f>
        <v>0</v>
      </c>
      <c r="C77" s="58">
        <f>I_O!$N225</f>
        <v>0</v>
      </c>
      <c r="D77" s="58">
        <f>I_O!$N225</f>
        <v>0</v>
      </c>
      <c r="E77" s="58">
        <f>I_O!$N225</f>
        <v>0</v>
      </c>
      <c r="F77" s="58"/>
      <c r="G77" s="58">
        <f>I_O!$N225</f>
        <v>0</v>
      </c>
      <c r="H77" s="58">
        <f>I_O!$N225</f>
        <v>0</v>
      </c>
      <c r="I77" s="58">
        <f>I_O!$N225</f>
        <v>0</v>
      </c>
      <c r="J77" s="58">
        <f>I_O!$N225</f>
        <v>0</v>
      </c>
      <c r="K77" s="58">
        <f>I_O!$N225</f>
        <v>0</v>
      </c>
      <c r="L77" s="58">
        <f>I_O!$N225</f>
        <v>0</v>
      </c>
      <c r="M77" s="58">
        <f>I_O!$N225</f>
        <v>0</v>
      </c>
      <c r="N77" s="58">
        <f>I_O!$N225</f>
        <v>0</v>
      </c>
      <c r="O77" s="58">
        <f>I_O!$N225</f>
        <v>0</v>
      </c>
      <c r="P77" s="58">
        <f>I_O!$N225</f>
        <v>0</v>
      </c>
      <c r="Q77" s="58">
        <f>I_O!$N225</f>
        <v>0</v>
      </c>
    </row>
    <row r="78" spans="1:17" x14ac:dyDescent="0.25">
      <c r="A78" s="57" t="str">
        <f>I_O!A226</f>
        <v>Woody Biomass (kg/yr)</v>
      </c>
      <c r="B78" s="58">
        <f>I_O!$N226</f>
        <v>0</v>
      </c>
      <c r="C78" s="58">
        <f>I_O!$N226</f>
        <v>0</v>
      </c>
      <c r="D78" s="58">
        <f>I_O!$N226</f>
        <v>0</v>
      </c>
      <c r="E78" s="58">
        <f>I_O!$N226</f>
        <v>0</v>
      </c>
      <c r="F78" s="58"/>
      <c r="G78" s="58">
        <f>I_O!$N226</f>
        <v>0</v>
      </c>
      <c r="H78" s="58">
        <f>I_O!$N226</f>
        <v>0</v>
      </c>
      <c r="I78" s="58">
        <f>I_O!$N226</f>
        <v>0</v>
      </c>
      <c r="J78" s="58">
        <f>I_O!$N226</f>
        <v>0</v>
      </c>
      <c r="K78" s="58">
        <f>I_O!$N226</f>
        <v>0</v>
      </c>
      <c r="L78" s="58">
        <f>I_O!$N226</f>
        <v>0</v>
      </c>
      <c r="M78" s="58">
        <f>I_O!$N226</f>
        <v>0</v>
      </c>
      <c r="N78" s="58">
        <f>I_O!$N226</f>
        <v>0</v>
      </c>
      <c r="O78" s="58">
        <f>I_O!$N226</f>
        <v>0</v>
      </c>
      <c r="P78" s="58">
        <f>I_O!$N226</f>
        <v>0</v>
      </c>
      <c r="Q78" s="58">
        <f>I_O!$N226</f>
        <v>0</v>
      </c>
    </row>
    <row r="79" spans="1:17" x14ac:dyDescent="0.25">
      <c r="A79" s="57" t="str">
        <f>I_O!A227</f>
        <v>Biodiesel, Produced (kg/yr)</v>
      </c>
      <c r="B79" s="70">
        <f>B$49*(LCI!$E87/LCI!$E$91)</f>
        <v>4.4658619830798632</v>
      </c>
      <c r="C79" s="70">
        <f>C$49*(LCI!$E87/LCI!$E$91)</f>
        <v>3.8103257875940275</v>
      </c>
      <c r="D79" s="70">
        <f>D$49*(LCI!$E87/LCI!$E$91)</f>
        <v>1.6086956521739131</v>
      </c>
      <c r="E79" s="70">
        <f>E$49*(LCI!$E87/LCI!$E$91)</f>
        <v>1.6086956521739131</v>
      </c>
      <c r="F79" s="70"/>
      <c r="G79" s="70">
        <f>G$49*(LCI!$E87/LCI!$E$91)</f>
        <v>1.6086956521739131</v>
      </c>
      <c r="H79" s="70">
        <f>H$49*(LCI!$E87/LCI!$E$91)</f>
        <v>1.6086956521739131</v>
      </c>
      <c r="I79" s="70">
        <f>I$49*(LCI!$E87/LCI!$E$91)</f>
        <v>7.8322245378386812</v>
      </c>
      <c r="J79" s="70">
        <f>J$49*(LCI!$E87/LCI!$E$91)</f>
        <v>1.6086956521739131</v>
      </c>
      <c r="K79" s="70">
        <f>K$49*(LCI!$E87/LCI!$E$91)</f>
        <v>1.6086956521739131</v>
      </c>
      <c r="L79" s="70">
        <f>L$49*(LCI!$E87/LCI!$E$91)</f>
        <v>1.6086956521739131</v>
      </c>
      <c r="M79" s="70">
        <f>M$49*(LCI!$E87/LCI!$E$91)</f>
        <v>1.6086956521739131</v>
      </c>
      <c r="N79" s="70">
        <f>N$49*(LCI!$E87/LCI!$E$91)</f>
        <v>1.6086956521739131</v>
      </c>
      <c r="O79" s="70">
        <f>O$49*(LCI!$E87/LCI!$E$91)</f>
        <v>1.6086956521739131</v>
      </c>
      <c r="P79" s="70">
        <f>P$49*(LCI!$E87/LCI!$E$91)</f>
        <v>1.6086956521739131</v>
      </c>
      <c r="Q79" s="70">
        <f>Q$49*(LCI!$E87/LCI!$E$91)</f>
        <v>1.6086956521739131</v>
      </c>
    </row>
    <row r="80" spans="1:17" x14ac:dyDescent="0.25">
      <c r="A80" s="57" t="str">
        <f>I_O!A228</f>
        <v>Diesel, Produced (kg/yr)</v>
      </c>
      <c r="B80" s="70">
        <f>B$49*(LCI!$E88/LCI!$E$91)</f>
        <v>5.5521527357209104</v>
      </c>
      <c r="C80" s="70">
        <f>C$49*(LCI!$E88/LCI!$E$91)</f>
        <v>4.737161789981764</v>
      </c>
      <c r="D80" s="70">
        <f>D$49*(LCI!$E88/LCI!$E$91)</f>
        <v>2</v>
      </c>
      <c r="E80" s="70">
        <f>E$49*(LCI!$E88/LCI!$E$91)</f>
        <v>2</v>
      </c>
      <c r="F80" s="70"/>
      <c r="G80" s="70">
        <f>G$49*(LCI!$E88/LCI!$E$91)</f>
        <v>2</v>
      </c>
      <c r="H80" s="70">
        <f>H$49*(LCI!$E88/LCI!$E$91)</f>
        <v>2</v>
      </c>
      <c r="I80" s="70">
        <f>I$49*(LCI!$E88/LCI!$E$91)</f>
        <v>9.7373602362318739</v>
      </c>
      <c r="J80" s="70">
        <f>J$49*(LCI!$E88/LCI!$E$91)</f>
        <v>2</v>
      </c>
      <c r="K80" s="70">
        <f>K$49*(LCI!$E88/LCI!$E$91)</f>
        <v>2</v>
      </c>
      <c r="L80" s="70">
        <f>L$49*(LCI!$E88/LCI!$E$91)</f>
        <v>2</v>
      </c>
      <c r="M80" s="70">
        <f>M$49*(LCI!$E88/LCI!$E$91)</f>
        <v>2</v>
      </c>
      <c r="N80" s="70">
        <f>N$49*(LCI!$E88/LCI!$E$91)</f>
        <v>2</v>
      </c>
      <c r="O80" s="70">
        <f>O$49*(LCI!$E88/LCI!$E$91)</f>
        <v>2</v>
      </c>
      <c r="P80" s="70">
        <f>P$49*(LCI!$E88/LCI!$E$91)</f>
        <v>2</v>
      </c>
      <c r="Q80" s="70">
        <f>Q$49*(LCI!$E88/LCI!$E$91)</f>
        <v>2</v>
      </c>
    </row>
    <row r="81" spans="1:17" x14ac:dyDescent="0.25">
      <c r="A81" s="57" t="str">
        <f>I_O!A229</f>
        <v>Electricity, Generated (MJ/yr)</v>
      </c>
      <c r="B81" s="58">
        <f>I_O!$N229</f>
        <v>1.8722222E-2</v>
      </c>
      <c r="C81" s="58">
        <f>I_O!$N229</f>
        <v>1.8722222E-2</v>
      </c>
      <c r="D81" s="58">
        <f>I_O!$N229</f>
        <v>1.8722222E-2</v>
      </c>
      <c r="E81" s="58">
        <f>I_O!$N229</f>
        <v>1.8722222E-2</v>
      </c>
      <c r="F81" s="58"/>
      <c r="G81" s="58">
        <f>I_O!$N229</f>
        <v>1.8722222E-2</v>
      </c>
      <c r="H81" s="58">
        <f>I_O!$N229</f>
        <v>1.8722222E-2</v>
      </c>
      <c r="I81" s="58">
        <f>I_O!$N229</f>
        <v>1.8722222E-2</v>
      </c>
      <c r="J81" s="58">
        <f>I_O!$N229</f>
        <v>1.8722222E-2</v>
      </c>
      <c r="K81" s="58">
        <f>I_O!$N229</f>
        <v>1.8722222E-2</v>
      </c>
      <c r="L81" s="58">
        <f>I_O!$N229</f>
        <v>1.8722222E-2</v>
      </c>
      <c r="M81" s="58">
        <f>I_O!$N229</f>
        <v>1.8722222E-2</v>
      </c>
      <c r="N81" s="58">
        <f>I_O!$N229</f>
        <v>1.8722222E-2</v>
      </c>
      <c r="O81" s="58">
        <f>I_O!$N229</f>
        <v>1.8722222E-2</v>
      </c>
      <c r="P81" s="58">
        <f>I_O!$N229</f>
        <v>1.8722222E-2</v>
      </c>
      <c r="Q81" s="58">
        <f>I_O!$N229</f>
        <v>1.8722222E-2</v>
      </c>
    </row>
    <row r="82" spans="1:17" x14ac:dyDescent="0.25">
      <c r="A82" s="57" t="str">
        <f>I_O!A230</f>
        <v>Ethanol (kg/yr)</v>
      </c>
      <c r="B82" s="70">
        <f>B$49*(LCI!$E90/LCI!$E$91)</f>
        <v>3.620969175470159</v>
      </c>
      <c r="C82" s="70">
        <f>C$49*(LCI!$E90/LCI!$E$91)</f>
        <v>3.089453341292455</v>
      </c>
      <c r="D82" s="70">
        <f>D$49*(LCI!$E90/LCI!$E$91)</f>
        <v>1.3043478260869565</v>
      </c>
      <c r="E82" s="70">
        <f>E$49*(LCI!$E90/LCI!$E$91)</f>
        <v>1.3043478260869565</v>
      </c>
      <c r="F82" s="70"/>
      <c r="G82" s="70">
        <f>G$49*(LCI!$E90/LCI!$E$91)</f>
        <v>1.3043478260869565</v>
      </c>
      <c r="H82" s="70">
        <f>H$49*(LCI!$E90/LCI!$E$91)</f>
        <v>1.3043478260869565</v>
      </c>
      <c r="I82" s="70">
        <f>I$49*(LCI!$E90/LCI!$E$91)</f>
        <v>6.3504523279773091</v>
      </c>
      <c r="J82" s="70">
        <f>J$49*(LCI!$E90/LCI!$E$91)</f>
        <v>1.3043478260869565</v>
      </c>
      <c r="K82" s="70">
        <f>K$49*(LCI!$E90/LCI!$E$91)</f>
        <v>1.3043478260869565</v>
      </c>
      <c r="L82" s="70">
        <f>L$49*(LCI!$E90/LCI!$E$91)</f>
        <v>1.3043478260869565</v>
      </c>
      <c r="M82" s="70">
        <f>M$49*(LCI!$E90/LCI!$E$91)</f>
        <v>1.3043478260869565</v>
      </c>
      <c r="N82" s="70">
        <f>N$49*(LCI!$E90/LCI!$E$91)</f>
        <v>1.3043478260869565</v>
      </c>
      <c r="O82" s="70">
        <f>O$49*(LCI!$E90/LCI!$E$91)</f>
        <v>1.3043478260869565</v>
      </c>
      <c r="P82" s="70">
        <f>P$49*(LCI!$E90/LCI!$E$91)</f>
        <v>1.3043478260869565</v>
      </c>
      <c r="Q82" s="70">
        <f>Q$49*(LCI!$E90/LCI!$E$91)</f>
        <v>1.3043478260869565</v>
      </c>
    </row>
    <row r="83" spans="1:17" x14ac:dyDescent="0.25">
      <c r="A83" s="57" t="str">
        <f>I_O!A231</f>
        <v>Gasoline, Produced (kg/yr)</v>
      </c>
      <c r="B83" s="70">
        <f>B$49*(LCI!$E91/LCI!$E$91)</f>
        <v>5.5521527357209104</v>
      </c>
      <c r="C83" s="70">
        <f>C$49*(LCI!$E91/LCI!$E$91)</f>
        <v>4.737161789981764</v>
      </c>
      <c r="D83" s="70">
        <f>D$49*(LCI!$E91/LCI!$E$91)</f>
        <v>2</v>
      </c>
      <c r="E83" s="70">
        <f>E$49*(LCI!$E91/LCI!$E$91)</f>
        <v>2</v>
      </c>
      <c r="F83" s="70"/>
      <c r="G83" s="70">
        <f>G$49*(LCI!$E91/LCI!$E$91)</f>
        <v>2</v>
      </c>
      <c r="H83" s="70">
        <f>H$49*(LCI!$E91/LCI!$E$91)</f>
        <v>2</v>
      </c>
      <c r="I83" s="70">
        <f>I$49*(LCI!$E91/LCI!$E$91)</f>
        <v>9.7373602362318739</v>
      </c>
      <c r="J83" s="70">
        <f>J$49*(LCI!$E91/LCI!$E$91)</f>
        <v>2</v>
      </c>
      <c r="K83" s="70">
        <f>K$49*(LCI!$E91/LCI!$E$91)</f>
        <v>2</v>
      </c>
      <c r="L83" s="70">
        <f>L$49*(LCI!$E91/LCI!$E$91)</f>
        <v>2</v>
      </c>
      <c r="M83" s="70">
        <f>M$49*(LCI!$E91/LCI!$E$91)</f>
        <v>2</v>
      </c>
      <c r="N83" s="70">
        <f>N$49*(LCI!$E91/LCI!$E$91)</f>
        <v>2</v>
      </c>
      <c r="O83" s="70">
        <f>O$49*(LCI!$E91/LCI!$E$91)</f>
        <v>2</v>
      </c>
      <c r="P83" s="70">
        <f>P$49*(LCI!$E91/LCI!$E$91)</f>
        <v>2</v>
      </c>
      <c r="Q83" s="70">
        <f>Q$49*(LCI!$E91/LCI!$E$91)</f>
        <v>2</v>
      </c>
    </row>
    <row r="84" spans="1:17" x14ac:dyDescent="0.25">
      <c r="A84" s="57" t="str">
        <f>I_O!A232</f>
        <v>Hydrogen, Produced (kg/yr)</v>
      </c>
      <c r="B84" s="58">
        <f>I_O!$N232</f>
        <v>3.2160000000000002</v>
      </c>
      <c r="C84" s="58">
        <f>I_O!$N232</f>
        <v>3.2160000000000002</v>
      </c>
      <c r="D84" s="58">
        <f>I_O!$N232</f>
        <v>3.2160000000000002</v>
      </c>
      <c r="E84" s="58">
        <f>I_O!$N232</f>
        <v>3.2160000000000002</v>
      </c>
      <c r="F84" s="58"/>
      <c r="G84" s="58">
        <f>I_O!$N232</f>
        <v>3.2160000000000002</v>
      </c>
      <c r="H84" s="58">
        <f>I_O!$N232</f>
        <v>3.2160000000000002</v>
      </c>
      <c r="I84" s="58">
        <f>I_O!$N232</f>
        <v>3.2160000000000002</v>
      </c>
      <c r="J84" s="58">
        <f>I_O!$N232</f>
        <v>3.2160000000000002</v>
      </c>
      <c r="K84" s="58">
        <f>I_O!$N232</f>
        <v>3.2160000000000002</v>
      </c>
      <c r="L84" s="58">
        <f>I_O!$N232</f>
        <v>3.2160000000000002</v>
      </c>
      <c r="M84" s="58">
        <f>I_O!$N232</f>
        <v>3.2160000000000002</v>
      </c>
      <c r="N84" s="58">
        <f>I_O!$N232</f>
        <v>3.2160000000000002</v>
      </c>
      <c r="O84" s="58">
        <f>I_O!$N232</f>
        <v>3.2160000000000002</v>
      </c>
      <c r="P84" s="58">
        <f>I_O!$N232</f>
        <v>3.2160000000000002</v>
      </c>
      <c r="Q84" s="58">
        <f>I_O!$N232</f>
        <v>3.2160000000000002</v>
      </c>
    </row>
    <row r="85" spans="1:17" x14ac:dyDescent="0.25">
      <c r="A85" s="57" t="str">
        <f>I_O!A233</f>
        <v>Jet A-1 (kg/yr)</v>
      </c>
      <c r="B85" s="70">
        <f>B$49*(LCI!$E93/LCI!$E$91)</f>
        <v>5.5521527357209104</v>
      </c>
      <c r="C85" s="70">
        <f>C$49*(LCI!$E93/LCI!$E$91)</f>
        <v>4.737161789981764</v>
      </c>
      <c r="D85" s="70">
        <f>D$49*(LCI!$E93/LCI!$E$91)</f>
        <v>2</v>
      </c>
      <c r="E85" s="70">
        <f>E$49*(LCI!$E93/LCI!$E$91)</f>
        <v>2</v>
      </c>
      <c r="F85" s="70"/>
      <c r="G85" s="70">
        <f>G$49*(LCI!$E93/LCI!$E$91)</f>
        <v>2</v>
      </c>
      <c r="H85" s="70">
        <f>H$49*(LCI!$E93/LCI!$E$91)</f>
        <v>2</v>
      </c>
      <c r="I85" s="70">
        <f>I$49*(LCI!$E93/LCI!$E$91)</f>
        <v>9.7373602362318739</v>
      </c>
      <c r="J85" s="70">
        <f>J$49*(LCI!$E93/LCI!$E$91)</f>
        <v>2</v>
      </c>
      <c r="K85" s="70">
        <f>K$49*(LCI!$E93/LCI!$E$91)</f>
        <v>2</v>
      </c>
      <c r="L85" s="70">
        <f>L$49*(LCI!$E93/LCI!$E$91)</f>
        <v>2</v>
      </c>
      <c r="M85" s="70">
        <f>M$49*(LCI!$E93/LCI!$E$91)</f>
        <v>2</v>
      </c>
      <c r="N85" s="70">
        <f>N$49*(LCI!$E93/LCI!$E$91)</f>
        <v>2</v>
      </c>
      <c r="O85" s="70">
        <f>O$49*(LCI!$E93/LCI!$E$91)</f>
        <v>2</v>
      </c>
      <c r="P85" s="70">
        <f>P$49*(LCI!$E93/LCI!$E$91)</f>
        <v>2</v>
      </c>
      <c r="Q85" s="70">
        <f>Q$49*(LCI!$E93/LCI!$E$91)</f>
        <v>2</v>
      </c>
    </row>
    <row r="86" spans="1:17" x14ac:dyDescent="0.25">
      <c r="A86" s="57" t="str">
        <f>I_O!A234</f>
        <v>Jet-A (kg/yr)</v>
      </c>
      <c r="B86" s="70">
        <f>B$49*(LCI!$E94/LCI!$E$91)</f>
        <v>5.5521527357209104</v>
      </c>
      <c r="C86" s="70">
        <f>C$49*(LCI!$E94/LCI!$E$91)</f>
        <v>4.737161789981764</v>
      </c>
      <c r="D86" s="70">
        <f>D$49*(LCI!$E94/LCI!$E$91)</f>
        <v>2</v>
      </c>
      <c r="E86" s="70">
        <f>E$49*(LCI!$E94/LCI!$E$91)</f>
        <v>2</v>
      </c>
      <c r="F86" s="70"/>
      <c r="G86" s="70">
        <f>G$49*(LCI!$E94/LCI!$E$91)</f>
        <v>2</v>
      </c>
      <c r="H86" s="70">
        <f>H$49*(LCI!$E94/LCI!$E$91)</f>
        <v>2</v>
      </c>
      <c r="I86" s="70">
        <f>I$49*(LCI!$E94/LCI!$E$91)</f>
        <v>9.7373602362318739</v>
      </c>
      <c r="J86" s="70">
        <f>J$49*(LCI!$E94/LCI!$E$91)</f>
        <v>2</v>
      </c>
      <c r="K86" s="70">
        <f>K$49*(LCI!$E94/LCI!$E$91)</f>
        <v>2</v>
      </c>
      <c r="L86" s="70">
        <f>L$49*(LCI!$E94/LCI!$E$91)</f>
        <v>2</v>
      </c>
      <c r="M86" s="70">
        <f>M$49*(LCI!$E94/LCI!$E$91)</f>
        <v>2</v>
      </c>
      <c r="N86" s="70">
        <f>N$49*(LCI!$E94/LCI!$E$91)</f>
        <v>2</v>
      </c>
      <c r="O86" s="70">
        <f>O$49*(LCI!$E94/LCI!$E$91)</f>
        <v>2</v>
      </c>
      <c r="P86" s="70">
        <f>P$49*(LCI!$E94/LCI!$E$91)</f>
        <v>2</v>
      </c>
      <c r="Q86" s="70">
        <f>Q$49*(LCI!$E94/LCI!$E$91)</f>
        <v>2</v>
      </c>
    </row>
    <row r="87" spans="1:17" x14ac:dyDescent="0.25">
      <c r="A87" s="57" t="str">
        <f>I_O!A235</f>
        <v>JP-5 (kg/yr)</v>
      </c>
      <c r="B87" s="70">
        <f>B$49*(LCI!$E95/LCI!$E$91)</f>
        <v>5.5521527357209104</v>
      </c>
      <c r="C87" s="70">
        <f>C$49*(LCI!$E95/LCI!$E$91)</f>
        <v>4.737161789981764</v>
      </c>
      <c r="D87" s="70">
        <f>D$49*(LCI!$E95/LCI!$E$91)</f>
        <v>2</v>
      </c>
      <c r="E87" s="70">
        <f>E$49*(LCI!$E95/LCI!$E$91)</f>
        <v>2</v>
      </c>
      <c r="F87" s="70"/>
      <c r="G87" s="70">
        <f>G$49*(LCI!$E95/LCI!$E$91)</f>
        <v>2</v>
      </c>
      <c r="H87" s="70">
        <f>H$49*(LCI!$E95/LCI!$E$91)</f>
        <v>2</v>
      </c>
      <c r="I87" s="70">
        <f>I$49*(LCI!$E95/LCI!$E$91)</f>
        <v>9.7373602362318739</v>
      </c>
      <c r="J87" s="70">
        <f>J$49*(LCI!$E95/LCI!$E$91)</f>
        <v>2</v>
      </c>
      <c r="K87" s="70">
        <f>K$49*(LCI!$E95/LCI!$E$91)</f>
        <v>2</v>
      </c>
      <c r="L87" s="70">
        <f>L$49*(LCI!$E95/LCI!$E$91)</f>
        <v>2</v>
      </c>
      <c r="M87" s="70">
        <f>M$49*(LCI!$E95/LCI!$E$91)</f>
        <v>2</v>
      </c>
      <c r="N87" s="70">
        <f>N$49*(LCI!$E95/LCI!$E$91)</f>
        <v>2</v>
      </c>
      <c r="O87" s="70">
        <f>O$49*(LCI!$E95/LCI!$E$91)</f>
        <v>2</v>
      </c>
      <c r="P87" s="70">
        <f>P$49*(LCI!$E95/LCI!$E$91)</f>
        <v>2</v>
      </c>
      <c r="Q87" s="70">
        <f>Q$49*(LCI!$E95/LCI!$E$91)</f>
        <v>2</v>
      </c>
    </row>
    <row r="88" spans="1:17" x14ac:dyDescent="0.25">
      <c r="A88" s="57" t="str">
        <f>I_O!A236</f>
        <v>JP-8 (kg/yr)</v>
      </c>
      <c r="B88" s="70">
        <f>B$49*(LCI!$E96/LCI!$E$91)</f>
        <v>5.5521527357209104</v>
      </c>
      <c r="C88" s="70">
        <f>C$49*(LCI!$E96/LCI!$E$91)</f>
        <v>4.737161789981764</v>
      </c>
      <c r="D88" s="70">
        <f>D$49*(LCI!$E96/LCI!$E$91)</f>
        <v>2</v>
      </c>
      <c r="E88" s="70">
        <f>E$49*(LCI!$E96/LCI!$E$91)</f>
        <v>2</v>
      </c>
      <c r="F88" s="70"/>
      <c r="G88" s="70">
        <f>G$49*(LCI!$E96/LCI!$E$91)</f>
        <v>2</v>
      </c>
      <c r="H88" s="70">
        <f>H$49*(LCI!$E96/LCI!$E$91)</f>
        <v>2</v>
      </c>
      <c r="I88" s="70">
        <f>I$49*(LCI!$E96/LCI!$E$91)</f>
        <v>9.7373602362318739</v>
      </c>
      <c r="J88" s="70">
        <f>J$49*(LCI!$E96/LCI!$E$91)</f>
        <v>2</v>
      </c>
      <c r="K88" s="70">
        <f>K$49*(LCI!$E96/LCI!$E$91)</f>
        <v>2</v>
      </c>
      <c r="L88" s="70">
        <f>L$49*(LCI!$E96/LCI!$E$91)</f>
        <v>2</v>
      </c>
      <c r="M88" s="70">
        <f>M$49*(LCI!$E96/LCI!$E$91)</f>
        <v>2</v>
      </c>
      <c r="N88" s="70">
        <f>N$49*(LCI!$E96/LCI!$E$91)</f>
        <v>2</v>
      </c>
      <c r="O88" s="70">
        <f>O$49*(LCI!$E96/LCI!$E$91)</f>
        <v>2</v>
      </c>
      <c r="P88" s="70">
        <f>P$49*(LCI!$E96/LCI!$E$91)</f>
        <v>2</v>
      </c>
      <c r="Q88" s="70">
        <f>Q$49*(LCI!$E96/LCI!$E$91)</f>
        <v>2</v>
      </c>
    </row>
    <row r="89" spans="1:17" x14ac:dyDescent="0.25">
      <c r="A89" s="57" t="str">
        <f>I_O!A237</f>
        <v>LPG, Produced (kg/yr)</v>
      </c>
      <c r="B89" s="70">
        <f>B$49*(LCI!$E97/LCI!$E$91)</f>
        <v>5.9142496532679267</v>
      </c>
      <c r="C89" s="70">
        <f>C$49*(LCI!$E97/LCI!$E$91)</f>
        <v>5.0461071241110096</v>
      </c>
      <c r="D89" s="70">
        <f>D$49*(LCI!$E97/LCI!$E$91)</f>
        <v>2.1304347826086958</v>
      </c>
      <c r="E89" s="70">
        <f>E$49*(LCI!$E97/LCI!$E$91)</f>
        <v>2.1304347826086958</v>
      </c>
      <c r="F89" s="70"/>
      <c r="G89" s="70">
        <f>G$49*(LCI!$E97/LCI!$E$91)</f>
        <v>2.1304347826086958</v>
      </c>
      <c r="H89" s="70">
        <f>H$49*(LCI!$E97/LCI!$E$91)</f>
        <v>2.1304347826086958</v>
      </c>
      <c r="I89" s="70">
        <f>I$49*(LCI!$E97/LCI!$E$91)</f>
        <v>10.372405469029605</v>
      </c>
      <c r="J89" s="70">
        <f>J$49*(LCI!$E97/LCI!$E$91)</f>
        <v>2.1304347826086958</v>
      </c>
      <c r="K89" s="70">
        <f>K$49*(LCI!$E97/LCI!$E$91)</f>
        <v>2.1304347826086958</v>
      </c>
      <c r="L89" s="70">
        <f>L$49*(LCI!$E97/LCI!$E$91)</f>
        <v>2.1304347826086958</v>
      </c>
      <c r="M89" s="70">
        <f>M$49*(LCI!$E97/LCI!$E$91)</f>
        <v>2.1304347826086958</v>
      </c>
      <c r="N89" s="70">
        <f>N$49*(LCI!$E97/LCI!$E$91)</f>
        <v>2.1304347826086958</v>
      </c>
      <c r="O89" s="70">
        <f>O$49*(LCI!$E97/LCI!$E$91)</f>
        <v>2.1304347826086958</v>
      </c>
      <c r="P89" s="70">
        <f>P$49*(LCI!$E97/LCI!$E$91)</f>
        <v>2.1304347826086958</v>
      </c>
      <c r="Q89" s="70">
        <f>Q$49*(LCI!$E97/LCI!$E$91)</f>
        <v>2.1304347826086958</v>
      </c>
    </row>
    <row r="90" spans="1:17" x14ac:dyDescent="0.25">
      <c r="A90" s="57" t="str">
        <f>I_O!A238</f>
        <v>Naptha (kg/yr)</v>
      </c>
      <c r="B90" s="70">
        <f>B$49*(LCI!$E98/LCI!$E$91)</f>
        <v>5.7935506807522543</v>
      </c>
      <c r="C90" s="70">
        <f>C$49*(LCI!$E98/LCI!$E$91)</f>
        <v>4.9431253460679274</v>
      </c>
      <c r="D90" s="70">
        <f>D$49*(LCI!$E98/LCI!$E$91)</f>
        <v>2.0869565217391304</v>
      </c>
      <c r="E90" s="70">
        <f>E$49*(LCI!$E98/LCI!$E$91)</f>
        <v>2.0869565217391304</v>
      </c>
      <c r="F90" s="70"/>
      <c r="G90" s="70">
        <f>G$49*(LCI!$E98/LCI!$E$91)</f>
        <v>2.0869565217391304</v>
      </c>
      <c r="H90" s="70">
        <f>H$49*(LCI!$E98/LCI!$E$91)</f>
        <v>2.0869565217391304</v>
      </c>
      <c r="I90" s="70">
        <f>I$49*(LCI!$E98/LCI!$E$91)</f>
        <v>10.160723724763693</v>
      </c>
      <c r="J90" s="70">
        <f>J$49*(LCI!$E98/LCI!$E$91)</f>
        <v>2.0869565217391304</v>
      </c>
      <c r="K90" s="70">
        <f>K$49*(LCI!$E98/LCI!$E$91)</f>
        <v>2.0869565217391304</v>
      </c>
      <c r="L90" s="70">
        <f>L$49*(LCI!$E98/LCI!$E$91)</f>
        <v>2.0869565217391304</v>
      </c>
      <c r="M90" s="70">
        <f>M$49*(LCI!$E98/LCI!$E$91)</f>
        <v>2.0869565217391304</v>
      </c>
      <c r="N90" s="70">
        <f>N$49*(LCI!$E98/LCI!$E$91)</f>
        <v>2.0869565217391304</v>
      </c>
      <c r="O90" s="70">
        <f>O$49*(LCI!$E98/LCI!$E$91)</f>
        <v>2.0869565217391304</v>
      </c>
      <c r="P90" s="70">
        <f>P$49*(LCI!$E98/LCI!$E$91)</f>
        <v>2.0869565217391304</v>
      </c>
      <c r="Q90" s="70">
        <f>Q$49*(LCI!$E98/LCI!$E$91)</f>
        <v>2.0869565217391304</v>
      </c>
    </row>
    <row r="91" spans="1:17" x14ac:dyDescent="0.25">
      <c r="A91" s="57" t="str">
        <f>I_O!A239</f>
        <v>Propane, Produced (kg/yr)</v>
      </c>
      <c r="B91" s="58">
        <f>I_O!$N239</f>
        <v>0.19768720400000001</v>
      </c>
      <c r="C91" s="58">
        <f>I_O!$N239</f>
        <v>0.19768720400000001</v>
      </c>
      <c r="D91" s="58">
        <f>I_O!$N239</f>
        <v>0.19768720400000001</v>
      </c>
      <c r="E91" s="58">
        <f>I_O!$N239</f>
        <v>0.19768720400000001</v>
      </c>
      <c r="F91" s="58"/>
      <c r="G91" s="58">
        <f>I_O!$N239</f>
        <v>0.19768720400000001</v>
      </c>
      <c r="H91" s="58">
        <f>I_O!$N239</f>
        <v>0.19768720400000001</v>
      </c>
      <c r="I91" s="58">
        <f>I_O!$N239</f>
        <v>0.19768720400000001</v>
      </c>
      <c r="J91" s="58">
        <f>I_O!$N239</f>
        <v>0.19768720400000001</v>
      </c>
      <c r="K91" s="58">
        <f>I_O!$N239</f>
        <v>0.19768720400000001</v>
      </c>
      <c r="L91" s="58">
        <f>I_O!$N239</f>
        <v>0.19768720400000001</v>
      </c>
      <c r="M91" s="58">
        <f>I_O!$N239</f>
        <v>0.19768720400000001</v>
      </c>
      <c r="N91" s="58">
        <f>I_O!$N239</f>
        <v>0.19768720400000001</v>
      </c>
      <c r="O91" s="58">
        <f>I_O!$N239</f>
        <v>0.19768720400000001</v>
      </c>
      <c r="P91" s="58">
        <f>I_O!$N239</f>
        <v>0.19768720400000001</v>
      </c>
      <c r="Q91" s="58">
        <f>I_O!$N239</f>
        <v>0.19768720400000001</v>
      </c>
    </row>
    <row r="94" spans="1:17" x14ac:dyDescent="0.25">
      <c r="A94" s="53"/>
      <c r="B94" s="144" t="s">
        <v>104</v>
      </c>
      <c r="C94" s="144" t="s">
        <v>104</v>
      </c>
      <c r="D94" s="144" t="s">
        <v>104</v>
      </c>
      <c r="E94" s="144" t="s">
        <v>104</v>
      </c>
      <c r="F94" s="144"/>
      <c r="G94" s="144" t="s">
        <v>104</v>
      </c>
      <c r="H94" s="144" t="s">
        <v>104</v>
      </c>
      <c r="I94" s="144" t="s">
        <v>104</v>
      </c>
      <c r="J94" s="144" t="s">
        <v>104</v>
      </c>
      <c r="K94" s="144" t="s">
        <v>104</v>
      </c>
      <c r="L94" s="144" t="s">
        <v>104</v>
      </c>
      <c r="M94" s="144" t="s">
        <v>104</v>
      </c>
      <c r="N94" s="144" t="s">
        <v>104</v>
      </c>
      <c r="O94" s="144" t="s">
        <v>104</v>
      </c>
      <c r="P94" s="144" t="s">
        <v>104</v>
      </c>
      <c r="Q94" s="144" t="s">
        <v>104</v>
      </c>
    </row>
    <row r="95" spans="1:17" x14ac:dyDescent="0.25">
      <c r="A95" s="54" t="str">
        <f>I_O!A199</f>
        <v>Outputs</v>
      </c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</row>
    <row r="96" spans="1:17" x14ac:dyDescent="0.25">
      <c r="A96" s="53" t="str">
        <f>I_O!A200</f>
        <v>CH4 Emissions (kg/yr)</v>
      </c>
      <c r="B96" s="146">
        <f>I_O!B200*TEA!B52</f>
        <v>0</v>
      </c>
      <c r="C96" s="146">
        <f>I_O!C200*TEA!C52</f>
        <v>0</v>
      </c>
      <c r="D96" s="146">
        <f>I_O!D200*TEA!D52</f>
        <v>0</v>
      </c>
      <c r="E96" s="146">
        <f>I_O!E200*TEA!E52</f>
        <v>0</v>
      </c>
      <c r="F96" s="146"/>
      <c r="G96" s="146">
        <f>I_O!G200*TEA!G52</f>
        <v>0</v>
      </c>
      <c r="H96" s="146">
        <f>I_O!H200*TEA!H52</f>
        <v>0</v>
      </c>
      <c r="I96" s="146">
        <f>I_O!I200*TEA!I52</f>
        <v>0</v>
      </c>
      <c r="J96" s="146">
        <f>I_O!J200*TEA!J52</f>
        <v>0</v>
      </c>
      <c r="K96" s="146">
        <f>I_O!K200*TEA!K52</f>
        <v>0</v>
      </c>
      <c r="L96" s="146">
        <f>I_O!L200*TEA!L52</f>
        <v>0</v>
      </c>
      <c r="M96" s="146">
        <f>I_O!M200*TEA!M52</f>
        <v>0</v>
      </c>
      <c r="N96" s="146">
        <f>I_O!N200*TEA!N52</f>
        <v>0</v>
      </c>
      <c r="O96" s="146">
        <f>I_O!O200*TEA!O52</f>
        <v>0</v>
      </c>
      <c r="P96" s="146">
        <f>I_O!P200*TEA!P52</f>
        <v>0</v>
      </c>
      <c r="Q96" s="146">
        <f>I_O!Q200*TEA!Q52</f>
        <v>0</v>
      </c>
    </row>
    <row r="97" spans="1:17" x14ac:dyDescent="0.25">
      <c r="A97" s="53" t="str">
        <f>I_O!A201</f>
        <v>CO2 Emissions (kg/yr)</v>
      </c>
      <c r="B97" s="146">
        <f>I_O!B201*TEA!B53</f>
        <v>0</v>
      </c>
      <c r="C97" s="146">
        <f>I_O!C201*TEA!C53</f>
        <v>0</v>
      </c>
      <c r="D97" s="146">
        <f>I_O!D201*TEA!D53</f>
        <v>0</v>
      </c>
      <c r="E97" s="146">
        <f>I_O!E201*TEA!E53</f>
        <v>0</v>
      </c>
      <c r="F97" s="146"/>
      <c r="G97" s="146">
        <f>I_O!G201*TEA!G53</f>
        <v>0</v>
      </c>
      <c r="H97" s="146">
        <f>I_O!H201*TEA!H53</f>
        <v>0</v>
      </c>
      <c r="I97" s="146">
        <f>I_O!I201*TEA!I53</f>
        <v>0</v>
      </c>
      <c r="J97" s="146">
        <f>I_O!J201*TEA!J53</f>
        <v>0</v>
      </c>
      <c r="K97" s="146">
        <f>I_O!K201*TEA!K53</f>
        <v>0</v>
      </c>
      <c r="L97" s="146">
        <f>I_O!L201*TEA!L53</f>
        <v>0</v>
      </c>
      <c r="M97" s="146">
        <f>I_O!M201*TEA!M53</f>
        <v>0</v>
      </c>
      <c r="N97" s="146">
        <f>I_O!N201*TEA!N53</f>
        <v>0</v>
      </c>
      <c r="O97" s="146">
        <f>I_O!O201*TEA!O53</f>
        <v>0</v>
      </c>
      <c r="P97" s="146">
        <f>I_O!P201*TEA!P53</f>
        <v>0</v>
      </c>
      <c r="Q97" s="146">
        <f>I_O!Q201*TEA!Q53</f>
        <v>0</v>
      </c>
    </row>
    <row r="98" spans="1:17" x14ac:dyDescent="0.25">
      <c r="A98" s="53" t="str">
        <f>I_O!A202</f>
        <v>CO Emissions (kg/yr)</v>
      </c>
      <c r="B98" s="146">
        <f>I_O!B202*TEA!B54</f>
        <v>0</v>
      </c>
      <c r="C98" s="146">
        <f>I_O!C202*TEA!C54</f>
        <v>0</v>
      </c>
      <c r="D98" s="146">
        <f>I_O!D202*TEA!D54</f>
        <v>0</v>
      </c>
      <c r="E98" s="146">
        <f>I_O!E202*TEA!E54</f>
        <v>0</v>
      </c>
      <c r="F98" s="146"/>
      <c r="G98" s="146">
        <f>I_O!G202*TEA!G54</f>
        <v>0</v>
      </c>
      <c r="H98" s="146">
        <f>I_O!H202*TEA!H54</f>
        <v>0</v>
      </c>
      <c r="I98" s="146">
        <f>I_O!I202*TEA!I54</f>
        <v>0</v>
      </c>
      <c r="J98" s="146">
        <f>I_O!J202*TEA!J54</f>
        <v>0</v>
      </c>
      <c r="K98" s="146">
        <f>I_O!K202*TEA!K54</f>
        <v>0</v>
      </c>
      <c r="L98" s="146">
        <f>I_O!L202*TEA!L54</f>
        <v>0</v>
      </c>
      <c r="M98" s="146">
        <f>I_O!M202*TEA!M54</f>
        <v>0</v>
      </c>
      <c r="N98" s="146">
        <f>I_O!N202*TEA!N54</f>
        <v>0</v>
      </c>
      <c r="O98" s="146">
        <f>I_O!O202*TEA!O54</f>
        <v>0</v>
      </c>
      <c r="P98" s="146">
        <f>I_O!P202*TEA!P54</f>
        <v>0</v>
      </c>
      <c r="Q98" s="146">
        <f>I_O!Q202*TEA!Q54</f>
        <v>0</v>
      </c>
    </row>
    <row r="99" spans="1:17" x14ac:dyDescent="0.25">
      <c r="A99" s="53" t="str">
        <f>I_O!A203</f>
        <v>LUC Emissions (kg CO2e/yr)</v>
      </c>
      <c r="B99" s="146">
        <f>I_O!B203*TEA!B55</f>
        <v>0</v>
      </c>
      <c r="C99" s="146">
        <f>I_O!C203*TEA!C55</f>
        <v>0</v>
      </c>
      <c r="D99" s="146">
        <f>I_O!D203*TEA!D55</f>
        <v>0</v>
      </c>
      <c r="E99" s="146">
        <f>I_O!E203*TEA!E55</f>
        <v>0</v>
      </c>
      <c r="F99" s="146"/>
      <c r="G99" s="146">
        <f>I_O!G203*TEA!G55</f>
        <v>0</v>
      </c>
      <c r="H99" s="146">
        <f>I_O!H203*TEA!H55</f>
        <v>0</v>
      </c>
      <c r="I99" s="146">
        <f>I_O!I203*TEA!I55</f>
        <v>0</v>
      </c>
      <c r="J99" s="146">
        <f>I_O!J203*TEA!J55</f>
        <v>0</v>
      </c>
      <c r="K99" s="146">
        <f>I_O!K203*TEA!K55</f>
        <v>0</v>
      </c>
      <c r="L99" s="146">
        <f>I_O!L203*TEA!L55</f>
        <v>0</v>
      </c>
      <c r="M99" s="146">
        <f>I_O!M203*TEA!M55</f>
        <v>0</v>
      </c>
      <c r="N99" s="146">
        <f>I_O!N203*TEA!N55</f>
        <v>0</v>
      </c>
      <c r="O99" s="146">
        <f>I_O!O203*TEA!O55</f>
        <v>0</v>
      </c>
      <c r="P99" s="146">
        <f>I_O!P203*TEA!P55</f>
        <v>0</v>
      </c>
      <c r="Q99" s="146">
        <f>I_O!Q203*TEA!Q55</f>
        <v>0</v>
      </c>
    </row>
    <row r="100" spans="1:17" x14ac:dyDescent="0.25">
      <c r="A100" s="53" t="str">
        <f>I_O!A204</f>
        <v>N2O Emissions (kg/yr)</v>
      </c>
      <c r="B100" s="146">
        <f>I_O!B204*TEA!B56</f>
        <v>0</v>
      </c>
      <c r="C100" s="146">
        <f>I_O!C204*TEA!C56</f>
        <v>0</v>
      </c>
      <c r="D100" s="146">
        <f>I_O!D204*TEA!D56</f>
        <v>0</v>
      </c>
      <c r="E100" s="146">
        <f>I_O!E204*TEA!E56</f>
        <v>0</v>
      </c>
      <c r="F100" s="146"/>
      <c r="G100" s="146">
        <f>I_O!G204*TEA!G56</f>
        <v>0</v>
      </c>
      <c r="H100" s="146">
        <f>I_O!H204*TEA!H56</f>
        <v>0</v>
      </c>
      <c r="I100" s="146">
        <f>I_O!I204*TEA!I56</f>
        <v>0</v>
      </c>
      <c r="J100" s="146">
        <f>I_O!J204*TEA!J56</f>
        <v>0</v>
      </c>
      <c r="K100" s="146">
        <f>I_O!K204*TEA!K56</f>
        <v>0</v>
      </c>
      <c r="L100" s="146">
        <f>I_O!L204*TEA!L56</f>
        <v>0</v>
      </c>
      <c r="M100" s="146">
        <f>I_O!M204*TEA!M56</f>
        <v>0</v>
      </c>
      <c r="N100" s="146">
        <f>I_O!N204*TEA!N56</f>
        <v>0</v>
      </c>
      <c r="O100" s="146">
        <f>I_O!O204*TEA!O56</f>
        <v>0</v>
      </c>
      <c r="P100" s="146">
        <f>I_O!P204*TEA!P56</f>
        <v>0</v>
      </c>
      <c r="Q100" s="146">
        <f>I_O!Q204*TEA!Q56</f>
        <v>0</v>
      </c>
    </row>
    <row r="101" spans="1:17" x14ac:dyDescent="0.25">
      <c r="A101" s="53" t="str">
        <f>I_O!A205</f>
        <v>NOx Emissions (kg/yr)</v>
      </c>
      <c r="B101" s="146">
        <f>I_O!B205*TEA!B57</f>
        <v>0</v>
      </c>
      <c r="C101" s="146">
        <f>I_O!C205*TEA!C57</f>
        <v>0</v>
      </c>
      <c r="D101" s="146">
        <f>I_O!D205*TEA!D57</f>
        <v>0</v>
      </c>
      <c r="E101" s="146">
        <f>I_O!E205*TEA!E57</f>
        <v>0</v>
      </c>
      <c r="F101" s="146"/>
      <c r="G101" s="146">
        <f>I_O!G205*TEA!G57</f>
        <v>0</v>
      </c>
      <c r="H101" s="146">
        <f>I_O!H205*TEA!H57</f>
        <v>0</v>
      </c>
      <c r="I101" s="146">
        <f>I_O!I205*TEA!I57</f>
        <v>0</v>
      </c>
      <c r="J101" s="146">
        <f>I_O!J205*TEA!J57</f>
        <v>0</v>
      </c>
      <c r="K101" s="146">
        <f>I_O!K205*TEA!K57</f>
        <v>0</v>
      </c>
      <c r="L101" s="146">
        <f>I_O!L205*TEA!L57</f>
        <v>0</v>
      </c>
      <c r="M101" s="146">
        <f>I_O!M205*TEA!M57</f>
        <v>0</v>
      </c>
      <c r="N101" s="146">
        <f>I_O!N205*TEA!N57</f>
        <v>0</v>
      </c>
      <c r="O101" s="146">
        <f>I_O!O205*TEA!O57</f>
        <v>0</v>
      </c>
      <c r="P101" s="146">
        <f>I_O!P205*TEA!P57</f>
        <v>0</v>
      </c>
      <c r="Q101" s="146">
        <f>I_O!Q205*TEA!Q57</f>
        <v>0</v>
      </c>
    </row>
    <row r="102" spans="1:17" x14ac:dyDescent="0.25">
      <c r="A102" s="53" t="str">
        <f>I_O!A206</f>
        <v>Algal Biomass, Whole (kg/yr)</v>
      </c>
      <c r="B102" s="146">
        <f>I_O!B206*TEA!B58</f>
        <v>0</v>
      </c>
      <c r="C102" s="146">
        <f>I_O!C206*TEA!C58</f>
        <v>0</v>
      </c>
      <c r="D102" s="146">
        <f>I_O!D206*TEA!D58</f>
        <v>0</v>
      </c>
      <c r="E102" s="146">
        <f>I_O!E206*TEA!E58</f>
        <v>0</v>
      </c>
      <c r="F102" s="146"/>
      <c r="G102" s="146">
        <f>I_O!G206*TEA!G58</f>
        <v>0</v>
      </c>
      <c r="H102" s="146">
        <f>I_O!H206*TEA!H58</f>
        <v>0</v>
      </c>
      <c r="I102" s="146">
        <f>I_O!I206*TEA!I58</f>
        <v>0</v>
      </c>
      <c r="J102" s="146">
        <f>I_O!J206*TEA!J58</f>
        <v>0</v>
      </c>
      <c r="K102" s="146">
        <f>I_O!K206*TEA!K58</f>
        <v>0</v>
      </c>
      <c r="L102" s="146">
        <f>I_O!L206*TEA!L58</f>
        <v>0</v>
      </c>
      <c r="M102" s="146">
        <f>I_O!M206*TEA!M58</f>
        <v>0</v>
      </c>
      <c r="N102" s="146">
        <f>I_O!N206*TEA!N58</f>
        <v>0</v>
      </c>
      <c r="O102" s="146">
        <f>I_O!O206*TEA!O58</f>
        <v>0</v>
      </c>
      <c r="P102" s="146">
        <f>I_O!P206*TEA!P58</f>
        <v>0</v>
      </c>
      <c r="Q102" s="146">
        <f>I_O!Q206*TEA!Q58</f>
        <v>0</v>
      </c>
    </row>
    <row r="103" spans="1:17" x14ac:dyDescent="0.25">
      <c r="A103" s="53" t="str">
        <f>I_O!A207</f>
        <v>Algal Biomass, LEA Meal (kg/yr)</v>
      </c>
      <c r="B103" s="146">
        <f>I_O!B207*TEA!B59</f>
        <v>0</v>
      </c>
      <c r="C103" s="146">
        <f>I_O!C207*TEA!C59</f>
        <v>0</v>
      </c>
      <c r="D103" s="146">
        <f>I_O!D207*TEA!D59</f>
        <v>0</v>
      </c>
      <c r="E103" s="146">
        <f>I_O!E207*TEA!E59</f>
        <v>0</v>
      </c>
      <c r="F103" s="146"/>
      <c r="G103" s="146">
        <f>I_O!G207*TEA!G59</f>
        <v>0</v>
      </c>
      <c r="H103" s="146">
        <f>I_O!H207*TEA!H59</f>
        <v>0</v>
      </c>
      <c r="I103" s="146">
        <f>I_O!I207*TEA!I59</f>
        <v>1376595.6749999998</v>
      </c>
      <c r="J103" s="146">
        <f>I_O!J207*TEA!J59</f>
        <v>0</v>
      </c>
      <c r="K103" s="146">
        <f>I_O!K207*TEA!K59</f>
        <v>0</v>
      </c>
      <c r="L103" s="146">
        <f>I_O!L207*TEA!L59</f>
        <v>0</v>
      </c>
      <c r="M103" s="146">
        <f>I_O!M207*TEA!M59</f>
        <v>0</v>
      </c>
      <c r="N103" s="146">
        <f>I_O!N207*TEA!N59</f>
        <v>0.12249999999999998</v>
      </c>
      <c r="O103" s="146">
        <f>I_O!O207*TEA!O59</f>
        <v>0</v>
      </c>
      <c r="P103" s="146">
        <f>I_O!P207*TEA!P59</f>
        <v>0</v>
      </c>
      <c r="Q103" s="146">
        <f>I_O!Q207*TEA!Q59</f>
        <v>0</v>
      </c>
    </row>
    <row r="104" spans="1:17" x14ac:dyDescent="0.25">
      <c r="A104" s="53" t="str">
        <f>I_O!A208</f>
        <v>Algal Oil (kg/yr)</v>
      </c>
      <c r="B104" s="146">
        <f>I_O!B208*TEA!B60</f>
        <v>0</v>
      </c>
      <c r="C104" s="146">
        <f>I_O!C208*TEA!C60</f>
        <v>0</v>
      </c>
      <c r="D104" s="146">
        <f>I_O!D208*TEA!D60</f>
        <v>0</v>
      </c>
      <c r="E104" s="146">
        <f>I_O!E208*TEA!E60</f>
        <v>0</v>
      </c>
      <c r="F104" s="146"/>
      <c r="G104" s="146">
        <f>I_O!G208*TEA!G60</f>
        <v>0</v>
      </c>
      <c r="H104" s="146">
        <f>I_O!H208*TEA!H60</f>
        <v>0</v>
      </c>
      <c r="I104" s="146">
        <f>I_O!I208*TEA!I60</f>
        <v>0</v>
      </c>
      <c r="J104" s="146">
        <f>I_O!J208*TEA!J60</f>
        <v>0</v>
      </c>
      <c r="K104" s="146">
        <f>I_O!K208*TEA!K60</f>
        <v>0</v>
      </c>
      <c r="L104" s="146">
        <f>I_O!L208*TEA!L60</f>
        <v>0</v>
      </c>
      <c r="M104" s="146">
        <f>I_O!M208*TEA!M60</f>
        <v>0</v>
      </c>
      <c r="N104" s="146">
        <f>I_O!N208*TEA!N60</f>
        <v>0</v>
      </c>
      <c r="O104" s="146">
        <f>I_O!O208*TEA!O60</f>
        <v>0</v>
      </c>
      <c r="P104" s="146">
        <f>I_O!P208*TEA!P60</f>
        <v>0</v>
      </c>
      <c r="Q104" s="146">
        <f>I_O!Q208*TEA!Q60</f>
        <v>0</v>
      </c>
    </row>
    <row r="105" spans="1:17" x14ac:dyDescent="0.25">
      <c r="A105" s="53" t="str">
        <f>I_O!A209</f>
        <v>Corn Grain (kg/yr)</v>
      </c>
      <c r="B105" s="146">
        <f>I_O!B209*TEA!B61</f>
        <v>0</v>
      </c>
      <c r="C105" s="146">
        <f>I_O!C209*TEA!C61</f>
        <v>0</v>
      </c>
      <c r="D105" s="146">
        <f>I_O!D209*TEA!D61</f>
        <v>0</v>
      </c>
      <c r="E105" s="146">
        <f>I_O!E209*TEA!E61</f>
        <v>0</v>
      </c>
      <c r="F105" s="146"/>
      <c r="G105" s="146">
        <f>I_O!G209*TEA!G61</f>
        <v>0</v>
      </c>
      <c r="H105" s="146">
        <f>I_O!H209*TEA!H61</f>
        <v>0</v>
      </c>
      <c r="I105" s="146">
        <f>I_O!I209*TEA!I61</f>
        <v>0</v>
      </c>
      <c r="J105" s="146">
        <f>I_O!J209*TEA!J61</f>
        <v>0</v>
      </c>
      <c r="K105" s="146">
        <f>I_O!K209*TEA!K61</f>
        <v>0</v>
      </c>
      <c r="L105" s="146">
        <f>I_O!L209*TEA!L61</f>
        <v>0</v>
      </c>
      <c r="M105" s="146">
        <f>I_O!M209*TEA!M61</f>
        <v>0</v>
      </c>
      <c r="N105" s="146">
        <f>I_O!N209*TEA!N61</f>
        <v>0</v>
      </c>
      <c r="O105" s="146">
        <f>I_O!O209*TEA!O61</f>
        <v>0</v>
      </c>
      <c r="P105" s="146">
        <f>I_O!P209*TEA!P61</f>
        <v>0</v>
      </c>
      <c r="Q105" s="146">
        <f>I_O!Q209*TEA!Q61</f>
        <v>0</v>
      </c>
    </row>
    <row r="106" spans="1:17" x14ac:dyDescent="0.25">
      <c r="A106" s="53" t="str">
        <f>I_O!A210</f>
        <v>Corn Stover, Collected (kg/yr)</v>
      </c>
      <c r="B106" s="146">
        <f>I_O!B210*TEA!B62</f>
        <v>0</v>
      </c>
      <c r="C106" s="146">
        <f>I_O!C210*TEA!C62</f>
        <v>0</v>
      </c>
      <c r="D106" s="146">
        <f>I_O!D210*TEA!D62</f>
        <v>0</v>
      </c>
      <c r="E106" s="146">
        <f>I_O!E210*TEA!E62</f>
        <v>0</v>
      </c>
      <c r="F106" s="146"/>
      <c r="G106" s="146">
        <f>I_O!G210*TEA!G62</f>
        <v>0</v>
      </c>
      <c r="H106" s="146">
        <f>I_O!H210*TEA!H62</f>
        <v>0</v>
      </c>
      <c r="I106" s="146">
        <f>I_O!I210*TEA!I62</f>
        <v>0</v>
      </c>
      <c r="J106" s="146">
        <f>I_O!J210*TEA!J62</f>
        <v>0</v>
      </c>
      <c r="K106" s="146">
        <f>I_O!K210*TEA!K62</f>
        <v>0</v>
      </c>
      <c r="L106" s="146">
        <f>I_O!L210*TEA!L62</f>
        <v>0</v>
      </c>
      <c r="M106" s="146">
        <f>I_O!M210*TEA!M62</f>
        <v>0</v>
      </c>
      <c r="N106" s="146">
        <f>I_O!N210*TEA!N62</f>
        <v>0</v>
      </c>
      <c r="O106" s="146">
        <f>I_O!O210*TEA!O62</f>
        <v>0</v>
      </c>
      <c r="P106" s="146">
        <f>I_O!P210*TEA!P62</f>
        <v>0</v>
      </c>
      <c r="Q106" s="146">
        <f>I_O!Q210*TEA!Q62</f>
        <v>0</v>
      </c>
    </row>
    <row r="107" spans="1:17" x14ac:dyDescent="0.25">
      <c r="A107" s="53" t="str">
        <f>I_O!A211</f>
        <v>Corn Stover, Left (kg/yr)</v>
      </c>
      <c r="B107" s="146">
        <f>I_O!B211*TEA!B63</f>
        <v>0</v>
      </c>
      <c r="C107" s="146">
        <f>I_O!C211*TEA!C63</f>
        <v>0</v>
      </c>
      <c r="D107" s="146">
        <f>I_O!D211*TEA!D63</f>
        <v>0</v>
      </c>
      <c r="E107" s="146">
        <f>I_O!E211*TEA!E63</f>
        <v>0</v>
      </c>
      <c r="F107" s="146"/>
      <c r="G107" s="146">
        <f>I_O!G211*TEA!G63</f>
        <v>0</v>
      </c>
      <c r="H107" s="146">
        <f>I_O!H211*TEA!H63</f>
        <v>0</v>
      </c>
      <c r="I107" s="146">
        <f>I_O!I211*TEA!I63</f>
        <v>0</v>
      </c>
      <c r="J107" s="146">
        <f>I_O!J211*TEA!J63</f>
        <v>0</v>
      </c>
      <c r="K107" s="146">
        <f>I_O!K211*TEA!K63</f>
        <v>0</v>
      </c>
      <c r="L107" s="146">
        <f>I_O!L211*TEA!L63</f>
        <v>0</v>
      </c>
      <c r="M107" s="146">
        <f>I_O!M211*TEA!M63</f>
        <v>0</v>
      </c>
      <c r="N107" s="146">
        <f>I_O!N211*TEA!N63</f>
        <v>0</v>
      </c>
      <c r="O107" s="146">
        <f>I_O!O211*TEA!O63</f>
        <v>0</v>
      </c>
      <c r="P107" s="146">
        <f>I_O!P211*TEA!P63</f>
        <v>0</v>
      </c>
      <c r="Q107" s="146">
        <f>I_O!Q211*TEA!Q63</f>
        <v>0</v>
      </c>
    </row>
    <row r="108" spans="1:17" x14ac:dyDescent="0.25">
      <c r="A108" s="53" t="str">
        <f>I_O!A212</f>
        <v>DDGS (kg/yr)</v>
      </c>
      <c r="B108" s="146">
        <f>I_O!B212*TEA!B64</f>
        <v>0</v>
      </c>
      <c r="C108" s="146">
        <f>I_O!C212*TEA!C64</f>
        <v>0</v>
      </c>
      <c r="D108" s="146">
        <f>I_O!D212*TEA!D64</f>
        <v>0</v>
      </c>
      <c r="E108" s="146">
        <f>I_O!E212*TEA!E64</f>
        <v>0</v>
      </c>
      <c r="F108" s="146"/>
      <c r="G108" s="146">
        <f>I_O!G212*TEA!G64</f>
        <v>0</v>
      </c>
      <c r="H108" s="146">
        <f>I_O!H212*TEA!H64</f>
        <v>0</v>
      </c>
      <c r="I108" s="146">
        <f>I_O!I212*TEA!I64</f>
        <v>0</v>
      </c>
      <c r="J108" s="146">
        <f>I_O!J212*TEA!J64</f>
        <v>0</v>
      </c>
      <c r="K108" s="146">
        <f>I_O!K212*TEA!K64</f>
        <v>0</v>
      </c>
      <c r="L108" s="146">
        <f>I_O!L212*TEA!L64</f>
        <v>0</v>
      </c>
      <c r="M108" s="146">
        <f>I_O!M212*TEA!M64</f>
        <v>0</v>
      </c>
      <c r="N108" s="146">
        <f>I_O!N212*TEA!N64</f>
        <v>2.3825471273070293E-2</v>
      </c>
      <c r="O108" s="146">
        <f>I_O!O212*TEA!O64</f>
        <v>0</v>
      </c>
      <c r="P108" s="146">
        <f>I_O!P212*TEA!P64</f>
        <v>0</v>
      </c>
      <c r="Q108" s="146">
        <f>I_O!Q212*TEA!Q64</f>
        <v>0</v>
      </c>
    </row>
    <row r="109" spans="1:17" x14ac:dyDescent="0.25">
      <c r="A109" s="53" t="str">
        <f>I_O!A213</f>
        <v>Glycerin (kg/yr)</v>
      </c>
      <c r="B109" s="146">
        <f>I_O!B213*TEA!B65</f>
        <v>782.56599665677334</v>
      </c>
      <c r="C109" s="146">
        <f>I_O!C213*TEA!C65</f>
        <v>0</v>
      </c>
      <c r="D109" s="146">
        <f>I_O!D213*TEA!D65</f>
        <v>0</v>
      </c>
      <c r="E109" s="146">
        <f>I_O!E213*TEA!E65</f>
        <v>0</v>
      </c>
      <c r="F109" s="146"/>
      <c r="G109" s="146">
        <f>I_O!G213*TEA!G65</f>
        <v>0</v>
      </c>
      <c r="H109" s="146">
        <f>I_O!H213*TEA!H65</f>
        <v>0</v>
      </c>
      <c r="I109" s="146">
        <f>I_O!I213*TEA!I65</f>
        <v>0</v>
      </c>
      <c r="J109" s="146">
        <f>I_O!J213*TEA!J65</f>
        <v>0</v>
      </c>
      <c r="K109" s="146">
        <f>I_O!K213*TEA!K65</f>
        <v>0</v>
      </c>
      <c r="L109" s="146">
        <f>I_O!L213*TEA!L65</f>
        <v>0</v>
      </c>
      <c r="M109" s="146">
        <f>I_O!M213*TEA!M65</f>
        <v>0</v>
      </c>
      <c r="N109" s="146">
        <f>I_O!N213*TEA!N65</f>
        <v>1.7424000000000002E-2</v>
      </c>
      <c r="O109" s="146">
        <f>I_O!O213*TEA!O65</f>
        <v>103.29871155869408</v>
      </c>
      <c r="P109" s="146">
        <f>I_O!P213*TEA!P65</f>
        <v>0</v>
      </c>
      <c r="Q109" s="146">
        <f>I_O!Q213*TEA!Q65</f>
        <v>0</v>
      </c>
    </row>
    <row r="110" spans="1:17" x14ac:dyDescent="0.25">
      <c r="A110" s="53" t="str">
        <f>I_O!A214</f>
        <v>MSW Co-Products (kg/yr)</v>
      </c>
      <c r="B110" s="146">
        <f>I_O!B214*TEA!B66</f>
        <v>0</v>
      </c>
      <c r="C110" s="146">
        <f>I_O!C214*TEA!C66</f>
        <v>0</v>
      </c>
      <c r="D110" s="146">
        <f>I_O!D214*TEA!D66</f>
        <v>0</v>
      </c>
      <c r="E110" s="146">
        <f>I_O!E214*TEA!E66</f>
        <v>0</v>
      </c>
      <c r="F110" s="146"/>
      <c r="G110" s="146">
        <f>I_O!G214*TEA!G66</f>
        <v>0</v>
      </c>
      <c r="H110" s="146">
        <f>I_O!H214*TEA!H66</f>
        <v>0</v>
      </c>
      <c r="I110" s="146">
        <f>I_O!I214*TEA!I66</f>
        <v>0</v>
      </c>
      <c r="J110" s="146">
        <f>I_O!J214*TEA!J66</f>
        <v>0</v>
      </c>
      <c r="K110" s="146">
        <f>I_O!K214*TEA!K66</f>
        <v>0</v>
      </c>
      <c r="L110" s="146">
        <f>I_O!L214*TEA!L66</f>
        <v>0</v>
      </c>
      <c r="M110" s="146">
        <f>I_O!M214*TEA!M66</f>
        <v>0</v>
      </c>
      <c r="N110" s="146">
        <f>I_O!N214*TEA!N66</f>
        <v>0.10890000000000001</v>
      </c>
      <c r="O110" s="146">
        <f>I_O!O214*TEA!O66</f>
        <v>0</v>
      </c>
      <c r="P110" s="146">
        <f>I_O!P214*TEA!P66</f>
        <v>0</v>
      </c>
      <c r="Q110" s="146">
        <f>I_O!Q214*TEA!Q66</f>
        <v>0</v>
      </c>
    </row>
    <row r="111" spans="1:17" x14ac:dyDescent="0.25">
      <c r="A111" s="53" t="str">
        <f>I_O!A215</f>
        <v>Nitrogen Gas (kg/yr)</v>
      </c>
      <c r="B111" s="146">
        <f>I_O!B215*TEA!B67</f>
        <v>0</v>
      </c>
      <c r="C111" s="146">
        <f>I_O!C215*TEA!C67</f>
        <v>0</v>
      </c>
      <c r="D111" s="146">
        <f>I_O!D215*TEA!D67</f>
        <v>0</v>
      </c>
      <c r="E111" s="146">
        <f>I_O!E215*TEA!E67</f>
        <v>0</v>
      </c>
      <c r="F111" s="146"/>
      <c r="G111" s="146">
        <f>I_O!G215*TEA!G67</f>
        <v>0</v>
      </c>
      <c r="H111" s="146">
        <f>I_O!H215*TEA!H67</f>
        <v>0</v>
      </c>
      <c r="I111" s="146">
        <f>I_O!I215*TEA!I67</f>
        <v>0</v>
      </c>
      <c r="J111" s="146">
        <f>I_O!J215*TEA!J67</f>
        <v>0</v>
      </c>
      <c r="K111" s="146">
        <f>I_O!K215*TEA!K67</f>
        <v>0</v>
      </c>
      <c r="L111" s="146">
        <f>I_O!L215*TEA!L67</f>
        <v>0</v>
      </c>
      <c r="M111" s="146">
        <f>I_O!M215*TEA!M67</f>
        <v>0</v>
      </c>
      <c r="N111" s="146">
        <f>I_O!N215*TEA!N67</f>
        <v>0</v>
      </c>
      <c r="O111" s="146">
        <f>I_O!O215*TEA!O67</f>
        <v>0</v>
      </c>
      <c r="P111" s="146">
        <f>I_O!P215*TEA!P67</f>
        <v>0</v>
      </c>
      <c r="Q111" s="146">
        <f>I_O!Q215*TEA!Q67</f>
        <v>0</v>
      </c>
    </row>
    <row r="112" spans="1:17" x14ac:dyDescent="0.25">
      <c r="A112" s="53" t="str">
        <f>I_O!A216</f>
        <v>Refused Derived Fuel (kg/yr)</v>
      </c>
      <c r="B112" s="146">
        <f>I_O!B216*TEA!B68</f>
        <v>0</v>
      </c>
      <c r="C112" s="146">
        <f>I_O!C216*TEA!C68</f>
        <v>0</v>
      </c>
      <c r="D112" s="146">
        <f>I_O!D216*TEA!D68</f>
        <v>0</v>
      </c>
      <c r="E112" s="146">
        <f>I_O!E216*TEA!E68</f>
        <v>0</v>
      </c>
      <c r="F112" s="146"/>
      <c r="G112" s="146">
        <f>I_O!G216*TEA!G68</f>
        <v>0</v>
      </c>
      <c r="H112" s="146">
        <f>I_O!H216*TEA!H68</f>
        <v>0</v>
      </c>
      <c r="I112" s="146">
        <f>I_O!I216*TEA!I68</f>
        <v>0</v>
      </c>
      <c r="J112" s="146">
        <f>I_O!J216*TEA!J68</f>
        <v>0</v>
      </c>
      <c r="K112" s="146">
        <f>I_O!K216*TEA!K68</f>
        <v>0</v>
      </c>
      <c r="L112" s="146">
        <f>I_O!L216*TEA!L68</f>
        <v>0</v>
      </c>
      <c r="M112" s="146">
        <f>I_O!M216*TEA!M68</f>
        <v>0</v>
      </c>
      <c r="N112" s="146">
        <f>I_O!N216*TEA!N68</f>
        <v>0</v>
      </c>
      <c r="O112" s="146">
        <f>I_O!O216*TEA!O68</f>
        <v>0</v>
      </c>
      <c r="P112" s="146">
        <f>I_O!P216*TEA!P68</f>
        <v>0</v>
      </c>
      <c r="Q112" s="146">
        <f>I_O!Q216*TEA!Q68</f>
        <v>0</v>
      </c>
    </row>
    <row r="113" spans="1:17" x14ac:dyDescent="0.25">
      <c r="A113" s="53" t="str">
        <f>I_O!A217</f>
        <v>Slag (kg/yr)</v>
      </c>
      <c r="B113" s="146">
        <f>I_O!B217*TEA!B69</f>
        <v>0</v>
      </c>
      <c r="C113" s="146">
        <f>I_O!C217*TEA!C69</f>
        <v>0</v>
      </c>
      <c r="D113" s="146">
        <f>I_O!D217*TEA!D69</f>
        <v>0</v>
      </c>
      <c r="E113" s="146">
        <f>I_O!E217*TEA!E69</f>
        <v>0</v>
      </c>
      <c r="F113" s="146"/>
      <c r="G113" s="146">
        <f>I_O!G217*TEA!G69</f>
        <v>0</v>
      </c>
      <c r="H113" s="146">
        <f>I_O!H217*TEA!H69</f>
        <v>0</v>
      </c>
      <c r="I113" s="146">
        <f>I_O!I217*TEA!I69</f>
        <v>0</v>
      </c>
      <c r="J113" s="146">
        <f>I_O!J217*TEA!J69</f>
        <v>0</v>
      </c>
      <c r="K113" s="146">
        <f>I_O!K217*TEA!K69</f>
        <v>0</v>
      </c>
      <c r="L113" s="146">
        <f>I_O!L217*TEA!L69</f>
        <v>0</v>
      </c>
      <c r="M113" s="146">
        <f>I_O!M217*TEA!M69</f>
        <v>0</v>
      </c>
      <c r="N113" s="146">
        <f>I_O!N217*TEA!N69</f>
        <v>6.7080999999999998E-4</v>
      </c>
      <c r="O113" s="146">
        <f>I_O!O217*TEA!O69</f>
        <v>0</v>
      </c>
      <c r="P113" s="146">
        <f>I_O!P217*TEA!P69</f>
        <v>0</v>
      </c>
      <c r="Q113" s="146">
        <f>I_O!Q217*TEA!Q69</f>
        <v>0</v>
      </c>
    </row>
    <row r="114" spans="1:17" x14ac:dyDescent="0.25">
      <c r="A114" s="53" t="str">
        <f>I_O!A218</f>
        <v>Soybean Meal (kg/yr)</v>
      </c>
      <c r="B114" s="146">
        <f>I_O!B218*TEA!B70</f>
        <v>82133.06392200003</v>
      </c>
      <c r="C114" s="146">
        <f>I_O!C218*TEA!C70</f>
        <v>82133.06392200003</v>
      </c>
      <c r="D114" s="146">
        <f>I_O!D218*TEA!D70</f>
        <v>0</v>
      </c>
      <c r="E114" s="146">
        <f>I_O!E218*TEA!E70</f>
        <v>0</v>
      </c>
      <c r="F114" s="146"/>
      <c r="G114" s="146">
        <f>I_O!G218*TEA!G70</f>
        <v>0</v>
      </c>
      <c r="H114" s="146">
        <f>I_O!H218*TEA!H70</f>
        <v>0</v>
      </c>
      <c r="I114" s="146">
        <f>I_O!I218*TEA!I70</f>
        <v>0</v>
      </c>
      <c r="J114" s="146">
        <f>I_O!J218*TEA!J70</f>
        <v>0</v>
      </c>
      <c r="K114" s="146">
        <f>I_O!K218*TEA!K70</f>
        <v>0</v>
      </c>
      <c r="L114" s="146">
        <f>I_O!L218*TEA!L70</f>
        <v>0</v>
      </c>
      <c r="M114" s="146">
        <f>I_O!M218*TEA!M70</f>
        <v>0</v>
      </c>
      <c r="N114" s="146">
        <f>I_O!N218*TEA!N70</f>
        <v>0.12249999999999998</v>
      </c>
      <c r="O114" s="146">
        <f>I_O!O218*TEA!O70</f>
        <v>28746.572372700008</v>
      </c>
      <c r="P114" s="146">
        <f>I_O!P218*TEA!P70</f>
        <v>28746.572372700008</v>
      </c>
      <c r="Q114" s="146">
        <f>I_O!Q218*TEA!Q70</f>
        <v>0</v>
      </c>
    </row>
    <row r="115" spans="1:17" x14ac:dyDescent="0.25">
      <c r="A115" s="53" t="str">
        <f>I_O!A219</f>
        <v>Soybean Oil (kg/yr)</v>
      </c>
      <c r="B115" s="146">
        <f>I_O!B219*TEA!B71</f>
        <v>0</v>
      </c>
      <c r="C115" s="146">
        <f>I_O!C219*TEA!C71</f>
        <v>0</v>
      </c>
      <c r="D115" s="146">
        <f>I_O!D219*TEA!D71</f>
        <v>0</v>
      </c>
      <c r="E115" s="146">
        <f>I_O!E219*TEA!E71</f>
        <v>0</v>
      </c>
      <c r="F115" s="146"/>
      <c r="G115" s="146">
        <f>I_O!G219*TEA!G71</f>
        <v>0</v>
      </c>
      <c r="H115" s="146">
        <f>I_O!H219*TEA!H71</f>
        <v>0</v>
      </c>
      <c r="I115" s="146">
        <f>I_O!I219*TEA!I71</f>
        <v>0</v>
      </c>
      <c r="J115" s="146">
        <f>I_O!J219*TEA!J71</f>
        <v>0</v>
      </c>
      <c r="K115" s="146">
        <f>I_O!K219*TEA!K71</f>
        <v>0</v>
      </c>
      <c r="L115" s="146">
        <f>I_O!L219*TEA!L71</f>
        <v>0</v>
      </c>
      <c r="M115" s="146">
        <f>I_O!M219*TEA!M71</f>
        <v>0</v>
      </c>
      <c r="N115" s="146">
        <f>I_O!N219*TEA!N71</f>
        <v>0</v>
      </c>
      <c r="O115" s="146">
        <f>I_O!O219*TEA!O71</f>
        <v>0</v>
      </c>
      <c r="P115" s="146">
        <f>I_O!P219*TEA!P71</f>
        <v>0</v>
      </c>
      <c r="Q115" s="146">
        <f>I_O!Q219*TEA!Q71</f>
        <v>0</v>
      </c>
    </row>
    <row r="116" spans="1:17" x14ac:dyDescent="0.25">
      <c r="A116" s="53" t="str">
        <f>I_O!A220</f>
        <v>Soybeans (kg/yr)</v>
      </c>
      <c r="B116" s="146">
        <f>I_O!B220*TEA!B72</f>
        <v>0</v>
      </c>
      <c r="C116" s="146">
        <f>I_O!C220*TEA!C72</f>
        <v>0</v>
      </c>
      <c r="D116" s="146">
        <f>I_O!D220*TEA!D72</f>
        <v>0</v>
      </c>
      <c r="E116" s="146">
        <f>I_O!E220*TEA!E72</f>
        <v>0</v>
      </c>
      <c r="F116" s="146"/>
      <c r="G116" s="146">
        <f>I_O!G220*TEA!G72</f>
        <v>0</v>
      </c>
      <c r="H116" s="146">
        <f>I_O!H220*TEA!H72</f>
        <v>0</v>
      </c>
      <c r="I116" s="146">
        <f>I_O!I220*TEA!I72</f>
        <v>0</v>
      </c>
      <c r="J116" s="146">
        <f>I_O!J220*TEA!J72</f>
        <v>0</v>
      </c>
      <c r="K116" s="146">
        <f>I_O!K220*TEA!K72</f>
        <v>0</v>
      </c>
      <c r="L116" s="146">
        <f>I_O!L220*TEA!L72</f>
        <v>0</v>
      </c>
      <c r="M116" s="146">
        <f>I_O!M220*TEA!M72</f>
        <v>0</v>
      </c>
      <c r="N116" s="146">
        <f>I_O!N220*TEA!N72</f>
        <v>0.30250000000000005</v>
      </c>
      <c r="O116" s="146">
        <f>I_O!O220*TEA!O72</f>
        <v>0</v>
      </c>
      <c r="P116" s="146">
        <f>I_O!P220*TEA!P72</f>
        <v>0</v>
      </c>
      <c r="Q116" s="146">
        <f>I_O!Q220*TEA!Q72</f>
        <v>0</v>
      </c>
    </row>
    <row r="117" spans="1:17" x14ac:dyDescent="0.25">
      <c r="A117" s="53" t="str">
        <f>I_O!A221</f>
        <v>Syncrude (kg/yr)</v>
      </c>
      <c r="B117" s="146">
        <f>I_O!B221*TEA!B73</f>
        <v>0</v>
      </c>
      <c r="C117" s="146">
        <f>I_O!C221*TEA!C73</f>
        <v>0</v>
      </c>
      <c r="D117" s="146">
        <f>I_O!D221*TEA!D73</f>
        <v>0</v>
      </c>
      <c r="E117" s="146">
        <f>I_O!E221*TEA!E73</f>
        <v>0</v>
      </c>
      <c r="F117" s="146"/>
      <c r="G117" s="146">
        <f>I_O!G221*TEA!G73</f>
        <v>0</v>
      </c>
      <c r="H117" s="146">
        <f>I_O!H221*TEA!H73</f>
        <v>0</v>
      </c>
      <c r="I117" s="146">
        <f>I_O!I221*TEA!I73</f>
        <v>0</v>
      </c>
      <c r="J117" s="146">
        <f>I_O!J221*TEA!J73</f>
        <v>0</v>
      </c>
      <c r="K117" s="146">
        <f>I_O!K221*TEA!K73</f>
        <v>0</v>
      </c>
      <c r="L117" s="146">
        <f>I_O!L221*TEA!L73</f>
        <v>0</v>
      </c>
      <c r="M117" s="146">
        <f>I_O!M221*TEA!M73</f>
        <v>0</v>
      </c>
      <c r="N117" s="146">
        <f>I_O!N221*TEA!N73</f>
        <v>0</v>
      </c>
      <c r="O117" s="146">
        <f>I_O!O221*TEA!O73</f>
        <v>0</v>
      </c>
      <c r="P117" s="146">
        <f>I_O!P221*TEA!P73</f>
        <v>0</v>
      </c>
      <c r="Q117" s="146">
        <f>I_O!Q221*TEA!Q73</f>
        <v>0</v>
      </c>
    </row>
    <row r="118" spans="1:17" x14ac:dyDescent="0.25">
      <c r="A118" s="53" t="str">
        <f>I_O!A222</f>
        <v>Wastewater, Gasification (kg/yr)</v>
      </c>
      <c r="B118" s="146">
        <f>I_O!B222*TEA!B74</f>
        <v>0</v>
      </c>
      <c r="C118" s="146">
        <f>I_O!C222*TEA!C74</f>
        <v>0</v>
      </c>
      <c r="D118" s="146">
        <f>I_O!D222*TEA!D74</f>
        <v>0</v>
      </c>
      <c r="E118" s="146">
        <f>I_O!E222*TEA!E74</f>
        <v>0</v>
      </c>
      <c r="F118" s="146"/>
      <c r="G118" s="146">
        <f>I_O!G222*TEA!G74</f>
        <v>0</v>
      </c>
      <c r="H118" s="146">
        <f>I_O!H222*TEA!H74</f>
        <v>0</v>
      </c>
      <c r="I118" s="146">
        <f>I_O!I222*TEA!I74</f>
        <v>0</v>
      </c>
      <c r="J118" s="146">
        <f>I_O!J222*TEA!J74</f>
        <v>0</v>
      </c>
      <c r="K118" s="146">
        <f>I_O!K222*TEA!K74</f>
        <v>0</v>
      </c>
      <c r="L118" s="146">
        <f>I_O!L222*TEA!L74</f>
        <v>0</v>
      </c>
      <c r="M118" s="146">
        <f>I_O!M222*TEA!M74</f>
        <v>0</v>
      </c>
      <c r="N118" s="146">
        <f>I_O!N222*TEA!N74</f>
        <v>1.3689000000000001E-6</v>
      </c>
      <c r="O118" s="146">
        <f>I_O!O222*TEA!O74</f>
        <v>0</v>
      </c>
      <c r="P118" s="146">
        <f>I_O!P222*TEA!P74</f>
        <v>0</v>
      </c>
      <c r="Q118" s="146">
        <f>I_O!Q222*TEA!Q74</f>
        <v>0</v>
      </c>
    </row>
    <row r="119" spans="1:17" x14ac:dyDescent="0.25">
      <c r="A119" s="53" t="str">
        <f>I_O!A223</f>
        <v>Water, Output (kg/yr)</v>
      </c>
      <c r="B119" s="146">
        <f>I_O!B223*TEA!B75</f>
        <v>0</v>
      </c>
      <c r="C119" s="146">
        <f>I_O!C223*TEA!C75</f>
        <v>0</v>
      </c>
      <c r="D119" s="146">
        <f>I_O!D223*TEA!D75</f>
        <v>0</v>
      </c>
      <c r="E119" s="146">
        <f>I_O!E223*TEA!E75</f>
        <v>0</v>
      </c>
      <c r="F119" s="146"/>
      <c r="G119" s="146">
        <f>I_O!G223*TEA!G75</f>
        <v>0</v>
      </c>
      <c r="H119" s="146">
        <f>I_O!H223*TEA!H75</f>
        <v>0</v>
      </c>
      <c r="I119" s="146">
        <f>I_O!I223*TEA!I75</f>
        <v>0</v>
      </c>
      <c r="J119" s="146">
        <f>I_O!J223*TEA!J75</f>
        <v>0</v>
      </c>
      <c r="K119" s="146">
        <f>I_O!K223*TEA!K75</f>
        <v>0</v>
      </c>
      <c r="L119" s="146">
        <f>I_O!L223*TEA!L75</f>
        <v>0</v>
      </c>
      <c r="M119" s="146">
        <f>I_O!M223*TEA!M75</f>
        <v>0</v>
      </c>
      <c r="N119" s="146">
        <f>I_O!N223*TEA!N75</f>
        <v>0</v>
      </c>
      <c r="O119" s="146">
        <f>I_O!O223*TEA!O75</f>
        <v>0</v>
      </c>
      <c r="P119" s="146">
        <f>I_O!P223*TEA!P75</f>
        <v>0</v>
      </c>
      <c r="Q119" s="146">
        <f>I_O!Q223*TEA!Q75</f>
        <v>0</v>
      </c>
    </row>
    <row r="120" spans="1:17" x14ac:dyDescent="0.25">
      <c r="A120" s="53" t="str">
        <f>I_O!A224</f>
        <v>WDGS (kg/yr)</v>
      </c>
      <c r="B120" s="146">
        <f>I_O!B224*TEA!B76</f>
        <v>0</v>
      </c>
      <c r="C120" s="146">
        <f>I_O!C224*TEA!C76</f>
        <v>0</v>
      </c>
      <c r="D120" s="146">
        <f>I_O!D224*TEA!D76</f>
        <v>0</v>
      </c>
      <c r="E120" s="146">
        <f>I_O!E224*TEA!E76</f>
        <v>0</v>
      </c>
      <c r="F120" s="146"/>
      <c r="G120" s="146">
        <f>I_O!G224*TEA!G76</f>
        <v>0</v>
      </c>
      <c r="H120" s="146">
        <f>I_O!H224*TEA!H76</f>
        <v>0</v>
      </c>
      <c r="I120" s="146">
        <f>I_O!I224*TEA!I76</f>
        <v>0</v>
      </c>
      <c r="J120" s="146">
        <f>I_O!J224*TEA!J76</f>
        <v>0</v>
      </c>
      <c r="K120" s="146">
        <f>I_O!K224*TEA!K76</f>
        <v>0</v>
      </c>
      <c r="L120" s="146">
        <f>I_O!L224*TEA!L76</f>
        <v>0</v>
      </c>
      <c r="M120" s="146">
        <f>I_O!M224*TEA!M76</f>
        <v>0</v>
      </c>
      <c r="N120" s="146">
        <f>I_O!N224*TEA!N76</f>
        <v>0</v>
      </c>
      <c r="O120" s="146">
        <f>I_O!O224*TEA!O76</f>
        <v>0</v>
      </c>
      <c r="P120" s="146">
        <f>I_O!P224*TEA!P76</f>
        <v>0</v>
      </c>
      <c r="Q120" s="146">
        <f>I_O!Q224*TEA!Q76</f>
        <v>0</v>
      </c>
    </row>
    <row r="121" spans="1:17" x14ac:dyDescent="0.25">
      <c r="A121" s="53" t="str">
        <f>I_O!A225</f>
        <v>WOG, Delivered (kg/yr)</v>
      </c>
      <c r="B121" s="146">
        <f>I_O!B225*TEA!B77</f>
        <v>0</v>
      </c>
      <c r="C121" s="146">
        <f>I_O!C225*TEA!C77</f>
        <v>0</v>
      </c>
      <c r="D121" s="146">
        <f>I_O!D225*TEA!D77</f>
        <v>0</v>
      </c>
      <c r="E121" s="146">
        <f>I_O!E225*TEA!E77</f>
        <v>0</v>
      </c>
      <c r="F121" s="146"/>
      <c r="G121" s="146">
        <f>I_O!G225*TEA!G77</f>
        <v>0</v>
      </c>
      <c r="H121" s="146">
        <f>I_O!H225*TEA!H77</f>
        <v>0</v>
      </c>
      <c r="I121" s="146">
        <f>I_O!I225*TEA!I77</f>
        <v>0</v>
      </c>
      <c r="J121" s="146">
        <f>I_O!J225*TEA!J77</f>
        <v>0</v>
      </c>
      <c r="K121" s="146">
        <f>I_O!K225*TEA!K77</f>
        <v>0</v>
      </c>
      <c r="L121" s="146">
        <f>I_O!L225*TEA!L77</f>
        <v>0</v>
      </c>
      <c r="M121" s="146">
        <f>I_O!M225*TEA!M77</f>
        <v>0</v>
      </c>
      <c r="N121" s="146">
        <f>I_O!N225*TEA!N77</f>
        <v>0</v>
      </c>
      <c r="O121" s="146">
        <f>I_O!O225*TEA!O77</f>
        <v>0</v>
      </c>
      <c r="P121" s="146">
        <f>I_O!P225*TEA!P77</f>
        <v>0</v>
      </c>
      <c r="Q121" s="146">
        <f>I_O!Q225*TEA!Q77</f>
        <v>0</v>
      </c>
    </row>
    <row r="122" spans="1:17" x14ac:dyDescent="0.25">
      <c r="A122" s="53" t="str">
        <f>I_O!A226</f>
        <v>Woody Biomass (kg/yr)</v>
      </c>
      <c r="B122" s="146">
        <f>I_O!B226*TEA!B78</f>
        <v>0</v>
      </c>
      <c r="C122" s="146">
        <f>I_O!C226*TEA!C78</f>
        <v>0</v>
      </c>
      <c r="D122" s="146">
        <f>I_O!D226*TEA!D78</f>
        <v>0</v>
      </c>
      <c r="E122" s="146">
        <f>I_O!E226*TEA!E78</f>
        <v>0</v>
      </c>
      <c r="F122" s="146"/>
      <c r="G122" s="146">
        <f>I_O!G226*TEA!G78</f>
        <v>0</v>
      </c>
      <c r="H122" s="146">
        <f>I_O!H226*TEA!H78</f>
        <v>0</v>
      </c>
      <c r="I122" s="146">
        <f>I_O!I226*TEA!I78</f>
        <v>0</v>
      </c>
      <c r="J122" s="146">
        <f>I_O!J226*TEA!J78</f>
        <v>0</v>
      </c>
      <c r="K122" s="146">
        <f>I_O!K226*TEA!K78</f>
        <v>0</v>
      </c>
      <c r="L122" s="146">
        <f>I_O!L226*TEA!L78</f>
        <v>0</v>
      </c>
      <c r="M122" s="146">
        <f>I_O!M226*TEA!M78</f>
        <v>0</v>
      </c>
      <c r="N122" s="146">
        <f>I_O!N226*TEA!N78</f>
        <v>0</v>
      </c>
      <c r="O122" s="146">
        <f>I_O!O226*TEA!O78</f>
        <v>0</v>
      </c>
      <c r="P122" s="146">
        <f>I_O!P226*TEA!P78</f>
        <v>0</v>
      </c>
      <c r="Q122" s="146">
        <f>I_O!Q226*TEA!Q78</f>
        <v>0</v>
      </c>
    </row>
    <row r="123" spans="1:17" x14ac:dyDescent="0.25">
      <c r="A123" s="53" t="str">
        <f>I_O!A227</f>
        <v>Biodiesel, Produced (kg/yr)</v>
      </c>
      <c r="B123" s="146">
        <f>I_O!B227*TEA!B79</f>
        <v>272948.43281165941</v>
      </c>
      <c r="C123" s="146">
        <f>I_O!C227*TEA!C79</f>
        <v>0</v>
      </c>
      <c r="D123" s="146">
        <f>I_O!D227*TEA!D79</f>
        <v>0</v>
      </c>
      <c r="E123" s="146">
        <f>I_O!E227*TEA!E79</f>
        <v>0</v>
      </c>
      <c r="F123" s="146"/>
      <c r="G123" s="146">
        <f>I_O!G227*TEA!G79</f>
        <v>0</v>
      </c>
      <c r="H123" s="146">
        <f>I_O!H227*TEA!H79</f>
        <v>0</v>
      </c>
      <c r="I123" s="146">
        <f>I_O!I227*TEA!I79</f>
        <v>0</v>
      </c>
      <c r="J123" s="146">
        <f>I_O!J227*TEA!J79</f>
        <v>0</v>
      </c>
      <c r="K123" s="146">
        <f>I_O!K227*TEA!K79</f>
        <v>0</v>
      </c>
      <c r="L123" s="146">
        <f>I_O!L227*TEA!L79</f>
        <v>0</v>
      </c>
      <c r="M123" s="146">
        <f>I_O!M227*TEA!M79</f>
        <v>0</v>
      </c>
      <c r="N123" s="146">
        <f>I_O!N227*TEA!N79</f>
        <v>0.80434782608695654</v>
      </c>
      <c r="O123" s="146">
        <f>I_O!O227*TEA!O79</f>
        <v>49160.829286195571</v>
      </c>
      <c r="P123" s="146">
        <f>I_O!P227*TEA!P79</f>
        <v>0</v>
      </c>
      <c r="Q123" s="146">
        <f>I_O!Q227*TEA!Q79</f>
        <v>0</v>
      </c>
    </row>
    <row r="124" spans="1:17" x14ac:dyDescent="0.25">
      <c r="A124" s="53" t="str">
        <f>I_O!A228</f>
        <v>Diesel, Produced (kg/yr)</v>
      </c>
      <c r="B124" s="146">
        <f>I_O!B228*TEA!B80</f>
        <v>0</v>
      </c>
      <c r="C124" s="146">
        <f>I_O!C228*TEA!C80</f>
        <v>74004.149894338596</v>
      </c>
      <c r="D124" s="146">
        <f>I_O!D228*TEA!D80</f>
        <v>0</v>
      </c>
      <c r="E124" s="146">
        <f>I_O!E228*TEA!E80</f>
        <v>0</v>
      </c>
      <c r="F124" s="146"/>
      <c r="G124" s="146">
        <f>I_O!G228*TEA!G80</f>
        <v>0</v>
      </c>
      <c r="H124" s="146">
        <f>I_O!H228*TEA!H80</f>
        <v>0</v>
      </c>
      <c r="I124" s="146">
        <f>I_O!I228*TEA!I80</f>
        <v>2257521.0336975954</v>
      </c>
      <c r="J124" s="146">
        <f>I_O!J228*TEA!J80</f>
        <v>0</v>
      </c>
      <c r="K124" s="146">
        <f>I_O!K228*TEA!K80</f>
        <v>0</v>
      </c>
      <c r="L124" s="146">
        <f>I_O!L228*TEA!L80</f>
        <v>0</v>
      </c>
      <c r="M124" s="146">
        <f>I_O!M228*TEA!M80</f>
        <v>0</v>
      </c>
      <c r="N124" s="146">
        <f>I_O!N228*TEA!N80</f>
        <v>1.1742257439999999</v>
      </c>
      <c r="O124" s="146">
        <f>I_O!O228*TEA!O80</f>
        <v>0</v>
      </c>
      <c r="P124" s="146">
        <f>I_O!P228*TEA!P80</f>
        <v>18343.806232782641</v>
      </c>
      <c r="Q124" s="146">
        <f>I_O!Q228*TEA!Q80</f>
        <v>0</v>
      </c>
    </row>
    <row r="125" spans="1:17" x14ac:dyDescent="0.25">
      <c r="A125" s="53" t="str">
        <f>I_O!A229</f>
        <v>Electricity, Generated (MJ/yr)</v>
      </c>
      <c r="B125" s="146">
        <f>I_O!B229*TEA!B81</f>
        <v>0</v>
      </c>
      <c r="C125" s="146">
        <f>I_O!C229*TEA!C81</f>
        <v>0</v>
      </c>
      <c r="D125" s="146">
        <f>I_O!D229*TEA!D81</f>
        <v>0</v>
      </c>
      <c r="E125" s="146">
        <f>I_O!E229*TEA!E81</f>
        <v>0</v>
      </c>
      <c r="F125" s="146"/>
      <c r="G125" s="146">
        <f>I_O!G229*TEA!G81</f>
        <v>0</v>
      </c>
      <c r="H125" s="146">
        <f>I_O!H229*TEA!H81</f>
        <v>0</v>
      </c>
      <c r="I125" s="146">
        <f>I_O!I229*TEA!I81</f>
        <v>0</v>
      </c>
      <c r="J125" s="146">
        <f>I_O!J229*TEA!J81</f>
        <v>0</v>
      </c>
      <c r="K125" s="146">
        <f>I_O!K229*TEA!K81</f>
        <v>0</v>
      </c>
      <c r="L125" s="146">
        <f>I_O!L229*TEA!L81</f>
        <v>0</v>
      </c>
      <c r="M125" s="146">
        <f>I_O!M229*TEA!M81</f>
        <v>0</v>
      </c>
      <c r="N125" s="146">
        <f>I_O!N229*TEA!N81</f>
        <v>3.5052159661728402E-4</v>
      </c>
      <c r="O125" s="146">
        <f>I_O!O229*TEA!O81</f>
        <v>0</v>
      </c>
      <c r="P125" s="146">
        <f>I_O!P229*TEA!P81</f>
        <v>0</v>
      </c>
      <c r="Q125" s="146">
        <f>I_O!Q229*TEA!Q81</f>
        <v>0</v>
      </c>
    </row>
    <row r="126" spans="1:17" x14ac:dyDescent="0.25">
      <c r="A126" s="53" t="str">
        <f>I_O!A230</f>
        <v>Ethanol (kg/yr)</v>
      </c>
      <c r="B126" s="146">
        <f>I_O!B230*TEA!B82</f>
        <v>0</v>
      </c>
      <c r="C126" s="146">
        <f>I_O!C230*TEA!C82</f>
        <v>0</v>
      </c>
      <c r="D126" s="146">
        <f>I_O!D230*TEA!D82</f>
        <v>0</v>
      </c>
      <c r="E126" s="146">
        <f>I_O!E230*TEA!E82</f>
        <v>0</v>
      </c>
      <c r="F126" s="146"/>
      <c r="G126" s="146">
        <f>I_O!G230*TEA!G82</f>
        <v>0</v>
      </c>
      <c r="H126" s="146">
        <f>I_O!H230*TEA!H82</f>
        <v>0</v>
      </c>
      <c r="I126" s="146">
        <f>I_O!I230*TEA!I82</f>
        <v>0</v>
      </c>
      <c r="J126" s="146">
        <f>I_O!J230*TEA!J82</f>
        <v>0</v>
      </c>
      <c r="K126" s="146">
        <f>I_O!K230*TEA!K82</f>
        <v>0</v>
      </c>
      <c r="L126" s="146">
        <f>I_O!L230*TEA!L82</f>
        <v>0</v>
      </c>
      <c r="M126" s="146">
        <f>I_O!M230*TEA!M82</f>
        <v>0</v>
      </c>
      <c r="N126" s="146">
        <f>I_O!N230*TEA!N82</f>
        <v>0.54782608695652169</v>
      </c>
      <c r="O126" s="146">
        <f>I_O!O230*TEA!O82</f>
        <v>0</v>
      </c>
      <c r="P126" s="146">
        <f>I_O!P230*TEA!P82</f>
        <v>0</v>
      </c>
      <c r="Q126" s="146">
        <f>I_O!Q230*TEA!Q82</f>
        <v>0</v>
      </c>
    </row>
    <row r="127" spans="1:17" x14ac:dyDescent="0.25">
      <c r="A127" s="53" t="str">
        <f>I_O!A231</f>
        <v>Gasoline, Produced (kg/yr)</v>
      </c>
      <c r="B127" s="146">
        <f>I_O!B231*TEA!B83</f>
        <v>0</v>
      </c>
      <c r="C127" s="146">
        <f>I_O!C231*TEA!C83</f>
        <v>22233.006406024473</v>
      </c>
      <c r="D127" s="146">
        <f>I_O!D231*TEA!D83</f>
        <v>0</v>
      </c>
      <c r="E127" s="146">
        <f>I_O!E231*TEA!E83</f>
        <v>0</v>
      </c>
      <c r="F127" s="146"/>
      <c r="G127" s="146">
        <f>I_O!G231*TEA!G83</f>
        <v>0</v>
      </c>
      <c r="H127" s="146">
        <f>I_O!H231*TEA!H83</f>
        <v>0</v>
      </c>
      <c r="I127" s="146">
        <f>I_O!I231*TEA!I83</f>
        <v>556144.66667056642</v>
      </c>
      <c r="J127" s="146">
        <f>I_O!J231*TEA!J83</f>
        <v>0</v>
      </c>
      <c r="K127" s="146">
        <f>I_O!K231*TEA!K83</f>
        <v>0</v>
      </c>
      <c r="L127" s="146">
        <f>I_O!L231*TEA!L83</f>
        <v>0</v>
      </c>
      <c r="M127" s="146">
        <f>I_O!M231*TEA!M83</f>
        <v>0</v>
      </c>
      <c r="N127" s="146">
        <f>I_O!N231*TEA!N83</f>
        <v>1.1742257439999999</v>
      </c>
      <c r="O127" s="146">
        <f>I_O!O231*TEA!O83</f>
        <v>0</v>
      </c>
      <c r="P127" s="146">
        <f>I_O!P231*TEA!P83</f>
        <v>5511.0147480462874</v>
      </c>
      <c r="Q127" s="146">
        <f>I_O!Q231*TEA!Q83</f>
        <v>0</v>
      </c>
    </row>
    <row r="128" spans="1:17" x14ac:dyDescent="0.25">
      <c r="A128" s="53" t="str">
        <f>I_O!A232</f>
        <v>Hydrogen, Produced (kg/yr)</v>
      </c>
      <c r="B128" s="146">
        <f>I_O!B232*TEA!B84</f>
        <v>0</v>
      </c>
      <c r="C128" s="146">
        <f>I_O!C232*TEA!C84</f>
        <v>0</v>
      </c>
      <c r="D128" s="146">
        <f>I_O!D232*TEA!D84</f>
        <v>0</v>
      </c>
      <c r="E128" s="146">
        <f>I_O!E232*TEA!E84</f>
        <v>0</v>
      </c>
      <c r="F128" s="146"/>
      <c r="G128" s="146">
        <f>I_O!G232*TEA!G84</f>
        <v>0</v>
      </c>
      <c r="H128" s="146">
        <f>I_O!H232*TEA!H84</f>
        <v>0</v>
      </c>
      <c r="I128" s="146">
        <f>I_O!I232*TEA!I84</f>
        <v>0</v>
      </c>
      <c r="J128" s="146">
        <f>I_O!J232*TEA!J84</f>
        <v>0</v>
      </c>
      <c r="K128" s="146">
        <f>I_O!K232*TEA!K84</f>
        <v>0</v>
      </c>
      <c r="L128" s="146">
        <f>I_O!L232*TEA!L84</f>
        <v>0</v>
      </c>
      <c r="M128" s="146">
        <f>I_O!M232*TEA!M84</f>
        <v>0</v>
      </c>
      <c r="N128" s="146">
        <f>I_O!N232*TEA!N84</f>
        <v>10.342656000000002</v>
      </c>
      <c r="O128" s="146">
        <f>I_O!O232*TEA!O84</f>
        <v>0</v>
      </c>
      <c r="P128" s="146">
        <f>I_O!P232*TEA!P84</f>
        <v>0</v>
      </c>
      <c r="Q128" s="146">
        <f>I_O!Q232*TEA!Q84</f>
        <v>0</v>
      </c>
    </row>
    <row r="129" spans="1:17" x14ac:dyDescent="0.25">
      <c r="A129" s="53" t="str">
        <f>I_O!A233</f>
        <v>Jet A-1 (kg/yr)</v>
      </c>
      <c r="B129" s="146">
        <f>I_O!B233*TEA!B85</f>
        <v>0</v>
      </c>
      <c r="C129" s="146">
        <f>I_O!C233*TEA!C85</f>
        <v>0</v>
      </c>
      <c r="D129" s="146">
        <f>I_O!D233*TEA!D85</f>
        <v>0</v>
      </c>
      <c r="E129" s="146">
        <f>I_O!E233*TEA!E85</f>
        <v>0</v>
      </c>
      <c r="F129" s="146"/>
      <c r="G129" s="146">
        <f>I_O!G233*TEA!G85</f>
        <v>0</v>
      </c>
      <c r="H129" s="146">
        <f>I_O!H233*TEA!H85</f>
        <v>0</v>
      </c>
      <c r="I129" s="146">
        <f>I_O!I233*TEA!I85</f>
        <v>0</v>
      </c>
      <c r="J129" s="146">
        <f>I_O!J233*TEA!J85</f>
        <v>0</v>
      </c>
      <c r="K129" s="146">
        <f>I_O!K233*TEA!K85</f>
        <v>0</v>
      </c>
      <c r="L129" s="146">
        <f>I_O!L233*TEA!L85</f>
        <v>0</v>
      </c>
      <c r="M129" s="146">
        <f>I_O!M233*TEA!M85</f>
        <v>0</v>
      </c>
      <c r="N129" s="146">
        <f>I_O!N233*TEA!N85</f>
        <v>1.2147162878270243</v>
      </c>
      <c r="O129" s="146">
        <f>I_O!O233*TEA!O85</f>
        <v>0</v>
      </c>
      <c r="P129" s="146">
        <f>I_O!P233*TEA!P85</f>
        <v>0</v>
      </c>
      <c r="Q129" s="146">
        <f>I_O!Q233*TEA!Q85</f>
        <v>0</v>
      </c>
    </row>
    <row r="130" spans="1:17" x14ac:dyDescent="0.25">
      <c r="A130" s="53" t="str">
        <f>I_O!A234</f>
        <v>Jet-A (kg/yr)</v>
      </c>
      <c r="B130" s="146">
        <f>I_O!B234*TEA!B86</f>
        <v>0</v>
      </c>
      <c r="C130" s="146">
        <f>I_O!C234*TEA!C86</f>
        <v>156901.50235108697</v>
      </c>
      <c r="D130" s="146">
        <f>I_O!D234*TEA!D86</f>
        <v>0</v>
      </c>
      <c r="E130" s="146">
        <f>I_O!E234*TEA!E86</f>
        <v>0</v>
      </c>
      <c r="F130" s="146"/>
      <c r="G130" s="146">
        <f>I_O!G234*TEA!G86</f>
        <v>0</v>
      </c>
      <c r="H130" s="146">
        <f>I_O!H234*TEA!H86</f>
        <v>0</v>
      </c>
      <c r="I130" s="146">
        <f>I_O!I234*TEA!I86</f>
        <v>4786332.1486979052</v>
      </c>
      <c r="J130" s="146">
        <f>I_O!J234*TEA!J86</f>
        <v>0</v>
      </c>
      <c r="K130" s="146">
        <f>I_O!K234*TEA!K86</f>
        <v>0</v>
      </c>
      <c r="L130" s="146">
        <f>I_O!L234*TEA!L86</f>
        <v>0</v>
      </c>
      <c r="M130" s="146">
        <f>I_O!M234*TEA!M86</f>
        <v>0</v>
      </c>
      <c r="N130" s="146">
        <f>I_O!N234*TEA!N86</f>
        <v>1.2147162878270243</v>
      </c>
      <c r="O130" s="146">
        <f>I_O!O234*TEA!O86</f>
        <v>0</v>
      </c>
      <c r="P130" s="146">
        <f>I_O!P234*TEA!P86</f>
        <v>40233.122477146637</v>
      </c>
      <c r="Q130" s="146">
        <f>I_O!Q234*TEA!Q86</f>
        <v>0</v>
      </c>
    </row>
    <row r="131" spans="1:17" x14ac:dyDescent="0.25">
      <c r="A131" s="53" t="str">
        <f>I_O!A235</f>
        <v>JP-5 (kg/yr)</v>
      </c>
      <c r="B131" s="146">
        <f>I_O!B235*TEA!B87</f>
        <v>0</v>
      </c>
      <c r="C131" s="146">
        <f>I_O!C235*TEA!C87</f>
        <v>0</v>
      </c>
      <c r="D131" s="146">
        <f>I_O!D235*TEA!D87</f>
        <v>0</v>
      </c>
      <c r="E131" s="146">
        <f>I_O!E235*TEA!E87</f>
        <v>0</v>
      </c>
      <c r="F131" s="146"/>
      <c r="G131" s="146">
        <f>I_O!G235*TEA!G87</f>
        <v>0</v>
      </c>
      <c r="H131" s="146">
        <f>I_O!H235*TEA!H87</f>
        <v>0</v>
      </c>
      <c r="I131" s="146">
        <f>I_O!I235*TEA!I87</f>
        <v>0</v>
      </c>
      <c r="J131" s="146">
        <f>I_O!J235*TEA!J87</f>
        <v>0</v>
      </c>
      <c r="K131" s="146">
        <f>I_O!K235*TEA!K87</f>
        <v>0</v>
      </c>
      <c r="L131" s="146">
        <f>I_O!L235*TEA!L87</f>
        <v>0</v>
      </c>
      <c r="M131" s="146">
        <f>I_O!M235*TEA!M87</f>
        <v>0</v>
      </c>
      <c r="N131" s="146">
        <f>I_O!N235*TEA!N87</f>
        <v>1.2147162878270243</v>
      </c>
      <c r="O131" s="146">
        <f>I_O!O235*TEA!O87</f>
        <v>0</v>
      </c>
      <c r="P131" s="146">
        <f>I_O!P235*TEA!P87</f>
        <v>0</v>
      </c>
      <c r="Q131" s="146">
        <f>I_O!Q235*TEA!Q87</f>
        <v>0</v>
      </c>
    </row>
    <row r="132" spans="1:17" x14ac:dyDescent="0.25">
      <c r="A132" s="53" t="str">
        <f>I_O!A236</f>
        <v>JP-8 (kg/yr)</v>
      </c>
      <c r="B132" s="146">
        <f>I_O!B236*TEA!B88</f>
        <v>0</v>
      </c>
      <c r="C132" s="146">
        <f>I_O!C236*TEA!C88</f>
        <v>0</v>
      </c>
      <c r="D132" s="146">
        <f>I_O!D236*TEA!D88</f>
        <v>0</v>
      </c>
      <c r="E132" s="146">
        <f>I_O!E236*TEA!E88</f>
        <v>0</v>
      </c>
      <c r="F132" s="146"/>
      <c r="G132" s="146">
        <f>I_O!G236*TEA!G88</f>
        <v>0</v>
      </c>
      <c r="H132" s="146">
        <f>I_O!H236*TEA!H88</f>
        <v>0</v>
      </c>
      <c r="I132" s="146">
        <f>I_O!I236*TEA!I88</f>
        <v>0</v>
      </c>
      <c r="J132" s="146">
        <f>I_O!J236*TEA!J88</f>
        <v>0</v>
      </c>
      <c r="K132" s="146">
        <f>I_O!K236*TEA!K88</f>
        <v>0</v>
      </c>
      <c r="L132" s="146">
        <f>I_O!L236*TEA!L88</f>
        <v>0</v>
      </c>
      <c r="M132" s="146">
        <f>I_O!M236*TEA!M88</f>
        <v>0</v>
      </c>
      <c r="N132" s="146">
        <f>I_O!N236*TEA!N88</f>
        <v>1.2147162878270243</v>
      </c>
      <c r="O132" s="146">
        <f>I_O!O236*TEA!O88</f>
        <v>0</v>
      </c>
      <c r="P132" s="146">
        <f>I_O!P236*TEA!P88</f>
        <v>0</v>
      </c>
      <c r="Q132" s="146">
        <f>I_O!Q236*TEA!Q88</f>
        <v>0</v>
      </c>
    </row>
    <row r="133" spans="1:17" x14ac:dyDescent="0.25">
      <c r="A133" s="53" t="str">
        <f>I_O!A237</f>
        <v>LPG, Produced (kg/yr)</v>
      </c>
      <c r="B133" s="146">
        <f>I_O!B237*TEA!B89</f>
        <v>0</v>
      </c>
      <c r="C133" s="146">
        <f>I_O!C237*TEA!C89</f>
        <v>20299.70150115278</v>
      </c>
      <c r="D133" s="146">
        <f>I_O!D237*TEA!D89</f>
        <v>0</v>
      </c>
      <c r="E133" s="146">
        <f>I_O!E237*TEA!E89</f>
        <v>0</v>
      </c>
      <c r="F133" s="146"/>
      <c r="G133" s="146">
        <f>I_O!G237*TEA!G89</f>
        <v>0</v>
      </c>
      <c r="H133" s="146">
        <f>I_O!H237*TEA!H89</f>
        <v>0</v>
      </c>
      <c r="I133" s="146">
        <f>I_O!I237*TEA!I89</f>
        <v>619249.09862576309</v>
      </c>
      <c r="J133" s="146">
        <f>I_O!J237*TEA!J89</f>
        <v>0</v>
      </c>
      <c r="K133" s="146">
        <f>I_O!K237*TEA!K89</f>
        <v>0</v>
      </c>
      <c r="L133" s="146">
        <f>I_O!L237*TEA!L89</f>
        <v>0</v>
      </c>
      <c r="M133" s="146">
        <f>I_O!M237*TEA!M89</f>
        <v>0</v>
      </c>
      <c r="N133" s="146">
        <f>I_O!N237*TEA!N89</f>
        <v>1.3720000000000001</v>
      </c>
      <c r="O133" s="146">
        <f>I_O!O237*TEA!O89</f>
        <v>0</v>
      </c>
      <c r="P133" s="146">
        <f>I_O!P237*TEA!P89</f>
        <v>5519.3418955584011</v>
      </c>
      <c r="Q133" s="146">
        <f>I_O!Q237*TEA!Q89</f>
        <v>0</v>
      </c>
    </row>
    <row r="134" spans="1:17" x14ac:dyDescent="0.25">
      <c r="A134" s="53" t="str">
        <f>I_O!A238</f>
        <v>Naptha (kg/yr)</v>
      </c>
      <c r="B134" s="146">
        <f>I_O!B238*TEA!B90</f>
        <v>0</v>
      </c>
      <c r="C134" s="146">
        <f>I_O!C238*TEA!C90</f>
        <v>0</v>
      </c>
      <c r="D134" s="146">
        <f>I_O!D238*TEA!D90</f>
        <v>0</v>
      </c>
      <c r="E134" s="146">
        <f>I_O!E238*TEA!E90</f>
        <v>0</v>
      </c>
      <c r="F134" s="146"/>
      <c r="G134" s="146">
        <f>I_O!G238*TEA!G90</f>
        <v>0</v>
      </c>
      <c r="H134" s="146">
        <f>I_O!H238*TEA!H90</f>
        <v>0</v>
      </c>
      <c r="I134" s="146">
        <f>I_O!I238*TEA!I90</f>
        <v>0</v>
      </c>
      <c r="J134" s="146">
        <f>I_O!J238*TEA!J90</f>
        <v>0</v>
      </c>
      <c r="K134" s="146">
        <f>I_O!K238*TEA!K90</f>
        <v>0</v>
      </c>
      <c r="L134" s="146">
        <f>I_O!L238*TEA!L90</f>
        <v>0</v>
      </c>
      <c r="M134" s="146">
        <f>I_O!M238*TEA!M90</f>
        <v>0</v>
      </c>
      <c r="N134" s="146">
        <f>I_O!N238*TEA!N90</f>
        <v>1.1478260869565218</v>
      </c>
      <c r="O134" s="146">
        <f>I_O!O238*TEA!O90</f>
        <v>0</v>
      </c>
      <c r="P134" s="146">
        <f>I_O!P238*TEA!P90</f>
        <v>0</v>
      </c>
      <c r="Q134" s="146">
        <f>I_O!Q238*TEA!Q90</f>
        <v>0</v>
      </c>
    </row>
    <row r="135" spans="1:17" x14ac:dyDescent="0.25">
      <c r="A135" s="53" t="str">
        <f>I_O!A239</f>
        <v>Propane, Produced (kg/yr)</v>
      </c>
      <c r="B135" s="146">
        <f>I_O!B239*TEA!B91</f>
        <v>0</v>
      </c>
      <c r="C135" s="146">
        <f>I_O!C239*TEA!C91</f>
        <v>556.68534043520435</v>
      </c>
      <c r="D135" s="146">
        <f>I_O!D239*TEA!D91</f>
        <v>0</v>
      </c>
      <c r="E135" s="146">
        <f>I_O!E239*TEA!E91</f>
        <v>0</v>
      </c>
      <c r="F135" s="146"/>
      <c r="G135" s="146">
        <f>I_O!G239*TEA!G91</f>
        <v>0</v>
      </c>
      <c r="H135" s="146">
        <f>I_O!H239*TEA!H91</f>
        <v>0</v>
      </c>
      <c r="I135" s="146">
        <f>I_O!I239*TEA!I91</f>
        <v>8261.5682810180533</v>
      </c>
      <c r="J135" s="146">
        <f>I_O!J239*TEA!J91</f>
        <v>0</v>
      </c>
      <c r="K135" s="146">
        <f>I_O!K239*TEA!K91</f>
        <v>0</v>
      </c>
      <c r="L135" s="146">
        <f>I_O!L239*TEA!L91</f>
        <v>0</v>
      </c>
      <c r="M135" s="146">
        <f>I_O!M239*TEA!M91</f>
        <v>0</v>
      </c>
      <c r="N135" s="146">
        <f>I_O!N239*TEA!N91</f>
        <v>3.9080230625337616E-2</v>
      </c>
      <c r="O135" s="146">
        <f>I_O!O239*TEA!O91</f>
        <v>0</v>
      </c>
      <c r="P135" s="146">
        <f>I_O!P239*TEA!P91</f>
        <v>110.04956845842369</v>
      </c>
      <c r="Q135" s="146">
        <f>I_O!Q239*TEA!Q91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A5C8-D484-A34A-97F4-A672F8151BEC}">
  <sheetPr codeName="Sheet6"/>
  <dimension ref="A1:DR33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defaultColWidth="11" defaultRowHeight="15.75" x14ac:dyDescent="0.25"/>
  <cols>
    <col min="1" max="1" width="12.125" customWidth="1"/>
    <col min="2" max="2" width="23.375" style="30" bestFit="1" customWidth="1"/>
    <col min="3" max="5" width="10.875" style="30"/>
    <col min="6" max="6" width="11" style="30"/>
    <col min="7" max="8" width="10.875" style="30"/>
    <col min="9" max="9" width="11.875" style="30" bestFit="1" customWidth="1"/>
    <col min="10" max="12" width="10.875" style="30"/>
    <col min="13" max="13" width="11.5" style="30" bestFit="1" customWidth="1"/>
    <col min="14" max="16" width="10.875" style="30"/>
    <col min="17" max="17" width="11" style="30"/>
    <col min="18" max="23" width="10.875" style="30"/>
    <col min="24" max="24" width="12.625" style="30" bestFit="1" customWidth="1"/>
    <col min="25" max="27" width="10.875" style="30"/>
    <col min="28" max="28" width="11" style="30"/>
    <col min="29" max="34" width="10.875" style="30"/>
    <col min="35" max="35" width="11.875" style="30" bestFit="1" customWidth="1"/>
    <col min="36" max="38" width="10.875" style="30"/>
    <col min="39" max="39" width="11" style="30"/>
    <col min="40" max="45" width="10.875" style="30"/>
    <col min="46" max="46" width="12.5" style="30" bestFit="1" customWidth="1"/>
    <col min="47" max="49" width="10.875" style="30"/>
    <col min="50" max="50" width="11" style="30"/>
    <col min="51" max="56" width="10.875" style="30"/>
    <col min="57" max="57" width="11.875" style="30" bestFit="1" customWidth="1"/>
    <col min="58" max="60" width="10.875" style="30"/>
    <col min="61" max="61" width="11" style="30"/>
    <col min="62" max="67" width="10.875" style="30"/>
    <col min="68" max="68" width="13.875" style="30" bestFit="1" customWidth="1"/>
    <col min="69" max="71" width="10.875" style="30"/>
    <col min="72" max="72" width="11" style="30"/>
    <col min="73" max="74" width="10.875" style="30"/>
    <col min="75" max="75" width="11.875" style="30" bestFit="1" customWidth="1"/>
    <col min="76" max="78" width="10.875" style="30"/>
    <col min="79" max="79" width="14" style="30" bestFit="1" customWidth="1"/>
    <col min="80" max="82" width="10.875" style="30"/>
    <col min="83" max="83" width="11" style="30"/>
    <col min="84" max="85" width="10.875" style="30"/>
    <col min="86" max="86" width="11.875" style="30" bestFit="1" customWidth="1"/>
    <col min="87" max="89" width="10.875" style="30"/>
    <col min="90" max="90" width="10.5" style="30" bestFit="1" customWidth="1"/>
    <col min="91" max="93" width="10.875" style="30"/>
    <col min="94" max="94" width="11" style="30"/>
    <col min="95" max="100" width="10.875" style="30"/>
    <col min="101" max="101" width="11.875" style="30" bestFit="1" customWidth="1"/>
    <col min="102" max="104" width="10.875" style="30"/>
    <col min="105" max="105" width="11" style="30"/>
    <col min="106" max="107" width="10.875" style="30"/>
    <col min="108" max="108" width="11.875" style="30" bestFit="1" customWidth="1"/>
    <col min="109" max="111" width="10.875" style="30"/>
    <col min="112" max="112" width="19.125" style="30" bestFit="1" customWidth="1"/>
    <col min="113" max="115" width="10.875" style="30"/>
    <col min="116" max="116" width="11" style="30"/>
    <col min="117" max="118" width="10.875" style="30"/>
    <col min="119" max="119" width="11.875" style="30" bestFit="1" customWidth="1"/>
    <col min="120" max="122" width="10.875" style="30"/>
  </cols>
  <sheetData>
    <row r="1" spans="1:122" x14ac:dyDescent="0.25">
      <c r="A1" s="3" t="s">
        <v>105</v>
      </c>
      <c r="B1" s="33" t="s">
        <v>106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22" t="s">
        <v>107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18" t="s">
        <v>108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9" t="s">
        <v>109</v>
      </c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23" t="s">
        <v>110</v>
      </c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4" t="s">
        <v>111</v>
      </c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5" t="s">
        <v>112</v>
      </c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6" t="s">
        <v>113</v>
      </c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7" t="s">
        <v>114</v>
      </c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8" t="s">
        <v>115</v>
      </c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9" t="s">
        <v>116</v>
      </c>
      <c r="DI1" s="29"/>
      <c r="DJ1" s="29"/>
      <c r="DK1" s="29"/>
      <c r="DL1" s="29"/>
      <c r="DM1" s="29"/>
      <c r="DN1" s="29"/>
      <c r="DO1" s="29"/>
      <c r="DP1" s="29"/>
      <c r="DQ1" s="29"/>
      <c r="DR1" s="29"/>
    </row>
    <row r="2" spans="1:122" x14ac:dyDescent="0.25">
      <c r="A2" s="5" t="s">
        <v>57</v>
      </c>
      <c r="B2" s="30" t="str">
        <f>General!$B$1</f>
        <v>Soy Biodiesel</v>
      </c>
      <c r="C2" s="30" t="str">
        <f>General!$C$1</f>
        <v>Soy Jet</v>
      </c>
      <c r="D2" s="30" t="str">
        <f>General!$D$1</f>
        <v>Corn Grain EtOH</v>
      </c>
      <c r="E2" s="30" t="str">
        <f>General!$E$1</f>
        <v>Corn Stover EtOH</v>
      </c>
      <c r="F2" s="30" t="str">
        <f>General!$F$1</f>
        <v>Corn Stover Pyrol Jet</v>
      </c>
      <c r="G2" s="30" t="str">
        <f>General!$G$1</f>
        <v>Poplar Jet</v>
      </c>
      <c r="H2" s="30" t="str">
        <f>General!$H$1</f>
        <v>Switchgrass Jet</v>
      </c>
      <c r="I2" s="30" t="str">
        <f>General!$I$1</f>
        <v>Algae HEFA</v>
      </c>
      <c r="J2" s="30" t="str">
        <f>General!$J$1</f>
        <v>Algae HTL</v>
      </c>
      <c r="K2" s="30" t="str">
        <f>General!$K$1</f>
        <v>Forestry Residue</v>
      </c>
      <c r="L2" s="30" t="str">
        <f>General!$M$1</f>
        <v>Carinata</v>
      </c>
      <c r="M2" s="30" t="str">
        <f>General!$B$1</f>
        <v>Soy Biodiesel</v>
      </c>
      <c r="N2" s="30" t="str">
        <f>General!$C$1</f>
        <v>Soy Jet</v>
      </c>
      <c r="O2" s="30" t="str">
        <f>General!$D$1</f>
        <v>Corn Grain EtOH</v>
      </c>
      <c r="P2" s="30" t="str">
        <f>General!$E$1</f>
        <v>Corn Stover EtOH</v>
      </c>
      <c r="R2" s="30" t="str">
        <f>General!$G$1</f>
        <v>Poplar Jet</v>
      </c>
      <c r="S2" s="30" t="str">
        <f>General!$H$1</f>
        <v>Switchgrass Jet</v>
      </c>
      <c r="T2" s="30" t="str">
        <f>General!$I$1</f>
        <v>Algae HEFA</v>
      </c>
      <c r="U2" s="30" t="str">
        <f>General!$J$1</f>
        <v>Algae HTL</v>
      </c>
      <c r="V2" s="30" t="str">
        <f>General!$K$1</f>
        <v>Forestry Residue</v>
      </c>
      <c r="W2" s="30" t="str">
        <f>General!$M$1</f>
        <v>Carinata</v>
      </c>
      <c r="X2" s="30" t="str">
        <f>General!$B$1</f>
        <v>Soy Biodiesel</v>
      </c>
      <c r="Y2" s="30" t="str">
        <f>General!$C$1</f>
        <v>Soy Jet</v>
      </c>
      <c r="Z2" s="30" t="str">
        <f>General!$D$1</f>
        <v>Corn Grain EtOH</v>
      </c>
      <c r="AA2" s="30" t="str">
        <f>General!$E$1</f>
        <v>Corn Stover EtOH</v>
      </c>
      <c r="AC2" s="30" t="str">
        <f>General!$G$1</f>
        <v>Poplar Jet</v>
      </c>
      <c r="AD2" s="30" t="str">
        <f>General!$H$1</f>
        <v>Switchgrass Jet</v>
      </c>
      <c r="AE2" s="30" t="str">
        <f>General!$I$1</f>
        <v>Algae HEFA</v>
      </c>
      <c r="AF2" s="30" t="str">
        <f>General!$J$1</f>
        <v>Algae HTL</v>
      </c>
      <c r="AG2" s="30" t="str">
        <f>General!$K$1</f>
        <v>Forestry Residue</v>
      </c>
      <c r="AH2" s="30" t="str">
        <f>General!$M$1</f>
        <v>Carinata</v>
      </c>
      <c r="AI2" s="30" t="str">
        <f>General!$B$1</f>
        <v>Soy Biodiesel</v>
      </c>
      <c r="AJ2" s="30" t="str">
        <f>General!$C$1</f>
        <v>Soy Jet</v>
      </c>
      <c r="AK2" s="30" t="str">
        <f>General!$D$1</f>
        <v>Corn Grain EtOH</v>
      </c>
      <c r="AL2" s="30" t="str">
        <f>General!$E$1</f>
        <v>Corn Stover EtOH</v>
      </c>
      <c r="AN2" s="30" t="str">
        <f>General!$G$1</f>
        <v>Poplar Jet</v>
      </c>
      <c r="AO2" s="30" t="str">
        <f>General!$H$1</f>
        <v>Switchgrass Jet</v>
      </c>
      <c r="AP2" s="30" t="str">
        <f>General!$I$1</f>
        <v>Algae HEFA</v>
      </c>
      <c r="AQ2" s="30" t="str">
        <f>General!$J$1</f>
        <v>Algae HTL</v>
      </c>
      <c r="AR2" s="30" t="str">
        <f>General!$K$1</f>
        <v>Forestry Residue</v>
      </c>
      <c r="AS2" s="30" t="str">
        <f>General!$M$1</f>
        <v>Carinata</v>
      </c>
      <c r="AT2" s="30" t="str">
        <f>General!$B$1</f>
        <v>Soy Biodiesel</v>
      </c>
      <c r="AU2" s="30" t="str">
        <f>General!$C$1</f>
        <v>Soy Jet</v>
      </c>
      <c r="AV2" s="30" t="str">
        <f>General!$D$1</f>
        <v>Corn Grain EtOH</v>
      </c>
      <c r="AW2" s="30" t="str">
        <f>General!$E$1</f>
        <v>Corn Stover EtOH</v>
      </c>
      <c r="AY2" s="30" t="str">
        <f>General!$G$1</f>
        <v>Poplar Jet</v>
      </c>
      <c r="AZ2" s="30" t="str">
        <f>General!$H$1</f>
        <v>Switchgrass Jet</v>
      </c>
      <c r="BA2" s="30" t="str">
        <f>General!$I$1</f>
        <v>Algae HEFA</v>
      </c>
      <c r="BB2" s="30" t="str">
        <f>General!$J$1</f>
        <v>Algae HTL</v>
      </c>
      <c r="BC2" s="30" t="str">
        <f>General!$K$1</f>
        <v>Forestry Residue</v>
      </c>
      <c r="BD2" s="30" t="str">
        <f>General!$M$1</f>
        <v>Carinata</v>
      </c>
      <c r="BE2" s="30" t="str">
        <f>General!$B$1</f>
        <v>Soy Biodiesel</v>
      </c>
      <c r="BF2" s="30" t="str">
        <f>General!$C$1</f>
        <v>Soy Jet</v>
      </c>
      <c r="BG2" s="30" t="str">
        <f>General!$D$1</f>
        <v>Corn Grain EtOH</v>
      </c>
      <c r="BH2" s="30" t="str">
        <f>General!$E$1</f>
        <v>Corn Stover EtOH</v>
      </c>
      <c r="BJ2" s="30" t="str">
        <f>General!$G$1</f>
        <v>Poplar Jet</v>
      </c>
      <c r="BK2" s="30" t="str">
        <f>General!$H$1</f>
        <v>Switchgrass Jet</v>
      </c>
      <c r="BL2" s="30" t="str">
        <f>General!$I$1</f>
        <v>Algae HEFA</v>
      </c>
      <c r="BM2" s="30" t="str">
        <f>General!$J$1</f>
        <v>Algae HTL</v>
      </c>
      <c r="BN2" s="30" t="str">
        <f>General!$K$1</f>
        <v>Forestry Residue</v>
      </c>
      <c r="BO2" s="30" t="str">
        <f>General!$M$1</f>
        <v>Carinata</v>
      </c>
      <c r="BP2" s="30" t="str">
        <f>General!$B$1</f>
        <v>Soy Biodiesel</v>
      </c>
      <c r="BQ2" s="30" t="str">
        <f>General!$C$1</f>
        <v>Soy Jet</v>
      </c>
      <c r="BR2" s="30" t="str">
        <f>General!$D$1</f>
        <v>Corn Grain EtOH</v>
      </c>
      <c r="BS2" s="30" t="str">
        <f>General!$E$1</f>
        <v>Corn Stover EtOH</v>
      </c>
      <c r="BU2" s="30" t="str">
        <f>General!$G$1</f>
        <v>Poplar Jet</v>
      </c>
      <c r="BV2" s="30" t="str">
        <f>General!$H$1</f>
        <v>Switchgrass Jet</v>
      </c>
      <c r="BW2" s="30" t="str">
        <f>General!$I$1</f>
        <v>Algae HEFA</v>
      </c>
      <c r="BX2" s="30" t="str">
        <f>General!$J$1</f>
        <v>Algae HTL</v>
      </c>
      <c r="BY2" s="30" t="str">
        <f>General!$K$1</f>
        <v>Forestry Residue</v>
      </c>
      <c r="BZ2" s="30" t="str">
        <f>General!$M$1</f>
        <v>Carinata</v>
      </c>
      <c r="CA2" s="30" t="str">
        <f>General!$B$1</f>
        <v>Soy Biodiesel</v>
      </c>
      <c r="CB2" s="30" t="str">
        <f>General!$C$1</f>
        <v>Soy Jet</v>
      </c>
      <c r="CC2" s="30" t="str">
        <f>General!$D$1</f>
        <v>Corn Grain EtOH</v>
      </c>
      <c r="CD2" s="30" t="str">
        <f>General!$E$1</f>
        <v>Corn Stover EtOH</v>
      </c>
      <c r="CF2" s="30" t="str">
        <f>General!$G$1</f>
        <v>Poplar Jet</v>
      </c>
      <c r="CG2" s="30" t="str">
        <f>General!$H$1</f>
        <v>Switchgrass Jet</v>
      </c>
      <c r="CH2" s="30" t="str">
        <f>General!$I$1</f>
        <v>Algae HEFA</v>
      </c>
      <c r="CI2" s="30" t="str">
        <f>General!$J$1</f>
        <v>Algae HTL</v>
      </c>
      <c r="CJ2" s="30" t="str">
        <f>General!$K$1</f>
        <v>Forestry Residue</v>
      </c>
      <c r="CK2" s="30" t="str">
        <f>General!$M$1</f>
        <v>Carinata</v>
      </c>
      <c r="CL2" s="30" t="str">
        <f>General!$B$1</f>
        <v>Soy Biodiesel</v>
      </c>
      <c r="CM2" s="30" t="str">
        <f>General!$C$1</f>
        <v>Soy Jet</v>
      </c>
      <c r="CN2" s="30" t="str">
        <f>General!$D$1</f>
        <v>Corn Grain EtOH</v>
      </c>
      <c r="CO2" s="30" t="str">
        <f>General!$E$1</f>
        <v>Corn Stover EtOH</v>
      </c>
      <c r="CQ2" s="30" t="str">
        <f>General!$G$1</f>
        <v>Poplar Jet</v>
      </c>
      <c r="CR2" s="30" t="str">
        <f>General!$H$1</f>
        <v>Switchgrass Jet</v>
      </c>
      <c r="CS2" s="30" t="str">
        <f>General!$I$1</f>
        <v>Algae HEFA</v>
      </c>
      <c r="CT2" s="30" t="str">
        <f>General!$J$1</f>
        <v>Algae HTL</v>
      </c>
      <c r="CU2" s="30" t="str">
        <f>General!$K$1</f>
        <v>Forestry Residue</v>
      </c>
      <c r="CV2" s="30" t="str">
        <f>General!$M$1</f>
        <v>Carinata</v>
      </c>
      <c r="CW2" s="30" t="str">
        <f>General!$B$1</f>
        <v>Soy Biodiesel</v>
      </c>
      <c r="CX2" s="30" t="str">
        <f>General!$C$1</f>
        <v>Soy Jet</v>
      </c>
      <c r="CY2" s="30" t="str">
        <f>General!$D$1</f>
        <v>Corn Grain EtOH</v>
      </c>
      <c r="CZ2" s="30" t="str">
        <f>General!$E$1</f>
        <v>Corn Stover EtOH</v>
      </c>
      <c r="DB2" s="30" t="str">
        <f>General!$G$1</f>
        <v>Poplar Jet</v>
      </c>
      <c r="DC2" s="30" t="str">
        <f>General!$H$1</f>
        <v>Switchgrass Jet</v>
      </c>
      <c r="DD2" s="30" t="str">
        <f>General!$I$1</f>
        <v>Algae HEFA</v>
      </c>
      <c r="DE2" s="30" t="str">
        <f>General!$J$1</f>
        <v>Algae HTL</v>
      </c>
      <c r="DF2" s="30" t="str">
        <f>General!$K$1</f>
        <v>Forestry Residue</v>
      </c>
      <c r="DG2" s="30" t="str">
        <f>General!$M$1</f>
        <v>Carinata</v>
      </c>
      <c r="DH2" s="30" t="str">
        <f>General!$B$1</f>
        <v>Soy Biodiesel</v>
      </c>
      <c r="DI2" s="30" t="str">
        <f>General!$C$1</f>
        <v>Soy Jet</v>
      </c>
      <c r="DJ2" s="30" t="str">
        <f>General!$D$1</f>
        <v>Corn Grain EtOH</v>
      </c>
      <c r="DK2" s="30" t="str">
        <f>General!$E$1</f>
        <v>Corn Stover EtOH</v>
      </c>
      <c r="DM2" s="30" t="str">
        <f>General!$G$1</f>
        <v>Poplar Jet</v>
      </c>
      <c r="DN2" s="30" t="str">
        <f>General!$H$1</f>
        <v>Switchgrass Jet</v>
      </c>
      <c r="DO2" s="30" t="str">
        <f>General!$I$1</f>
        <v>Algae HEFA</v>
      </c>
      <c r="DP2" s="30" t="str">
        <f>General!$J$1</f>
        <v>Algae HTL</v>
      </c>
      <c r="DQ2" s="30" t="str">
        <f>General!$K$1</f>
        <v>Forestry Residue</v>
      </c>
      <c r="DR2" s="30" t="str">
        <f>General!$M$1</f>
        <v>Carinata</v>
      </c>
    </row>
    <row r="3" spans="1:122" x14ac:dyDescent="0.25">
      <c r="A3" s="4">
        <v>0</v>
      </c>
      <c r="B3" s="21">
        <f>DH3</f>
        <v>-1018904.1256997506</v>
      </c>
      <c r="C3" s="21">
        <f>DI3</f>
        <v>-1009132.1152247288</v>
      </c>
      <c r="D3" s="21">
        <f>DJ3</f>
        <v>-2072640.24</v>
      </c>
      <c r="E3" s="21">
        <f>DK3</f>
        <v>-901056</v>
      </c>
      <c r="F3" s="21"/>
      <c r="G3" s="21">
        <f t="shared" ref="G3:L3" si="0">DM3</f>
        <v>0</v>
      </c>
      <c r="H3" s="21">
        <f t="shared" si="0"/>
        <v>0</v>
      </c>
      <c r="I3" s="21">
        <f t="shared" si="0"/>
        <v>-17721866.619541999</v>
      </c>
      <c r="J3" s="21">
        <f t="shared" si="0"/>
        <v>0</v>
      </c>
      <c r="K3" s="21">
        <f t="shared" si="0"/>
        <v>0</v>
      </c>
      <c r="L3" s="21">
        <f t="shared" si="0"/>
        <v>0</v>
      </c>
      <c r="M3" s="21"/>
      <c r="X3" s="20">
        <v>0</v>
      </c>
      <c r="Y3" s="20">
        <v>0</v>
      </c>
      <c r="Z3" s="20">
        <v>0</v>
      </c>
      <c r="AA3" s="20">
        <v>0</v>
      </c>
      <c r="AB3" s="20"/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1"/>
      <c r="AT3" s="20"/>
      <c r="BE3" s="21"/>
      <c r="BP3" s="21"/>
      <c r="CA3" s="21"/>
      <c r="CL3" s="21">
        <f>IF(CA3&gt;0,CA3*TEA!B$17-TEA!B$24,0)</f>
        <v>0</v>
      </c>
      <c r="CM3" s="21">
        <f>IF(CB3&gt;0,CB3*TEA!C$17-TEA!C$24,0)</f>
        <v>0</v>
      </c>
      <c r="CN3" s="21">
        <f>IF(CC3&gt;0,CC3*TEA!D$17-TEA!D$24,0)</f>
        <v>0</v>
      </c>
      <c r="CO3" s="21">
        <f>IF(CD3&gt;0,CD3*TEA!E$17-TEA!E$24,0)</f>
        <v>0</v>
      </c>
      <c r="CP3" s="21"/>
      <c r="CQ3" s="21">
        <f>IF(CF3&gt;0,CF3*TEA!G$17-TEA!G$24,0)</f>
        <v>0</v>
      </c>
      <c r="CR3" s="21">
        <f>IF(CG3&gt;0,CG3*TEA!H$17-TEA!H$24,0)</f>
        <v>0</v>
      </c>
      <c r="CS3" s="21">
        <f>IF(CH3&gt;0,CH3*TEA!I$17-TEA!I$24,0)</f>
        <v>0</v>
      </c>
      <c r="CT3" s="21">
        <f>IF(CI3&gt;0,CI3*TEA!J$17-TEA!J$24,0)</f>
        <v>0</v>
      </c>
      <c r="CU3" s="21">
        <f>IF(CJ3&gt;0,CJ3*TEA!K$17-TEA!K$24,0)</f>
        <v>0</v>
      </c>
      <c r="CV3" s="21">
        <f>IF(CK3&gt;0,CK3*TEA!L$17-TEA!L$24,0)</f>
        <v>0</v>
      </c>
      <c r="CW3" s="21">
        <f>-TEA!B40</f>
        <v>-1018904.1256997506</v>
      </c>
      <c r="CX3" s="21">
        <f>-TEA!C40</f>
        <v>-1009132.1152247288</v>
      </c>
      <c r="CY3" s="21">
        <f>-TEA!D40</f>
        <v>-2072640.24</v>
      </c>
      <c r="CZ3" s="21">
        <f>-TEA!E40</f>
        <v>-901056</v>
      </c>
      <c r="DA3" s="21"/>
      <c r="DB3" s="21">
        <f>-TEA!G40</f>
        <v>0</v>
      </c>
      <c r="DC3" s="21">
        <f>-TEA!H40</f>
        <v>0</v>
      </c>
      <c r="DD3" s="21">
        <f>-TEA!I40</f>
        <v>-17721866.619541999</v>
      </c>
      <c r="DE3" s="21">
        <f>-TEA!J40</f>
        <v>0</v>
      </c>
      <c r="DF3" s="21">
        <f>-TEA!K40</f>
        <v>0</v>
      </c>
      <c r="DG3" s="21">
        <f>-TEA!L40</f>
        <v>0</v>
      </c>
      <c r="DH3" s="21">
        <f>CW3/(1+TEA!B$16)^$A3</f>
        <v>-1018904.1256997506</v>
      </c>
      <c r="DI3" s="21">
        <f>CX3/(1+TEA!C$16)^$A3</f>
        <v>-1009132.1152247288</v>
      </c>
      <c r="DJ3" s="21">
        <f>CY3/(1+TEA!D$16)^$A3</f>
        <v>-2072640.24</v>
      </c>
      <c r="DK3" s="21">
        <f>CZ3/(1+TEA!E$16)^$A3</f>
        <v>-901056</v>
      </c>
      <c r="DL3" s="21"/>
      <c r="DM3" s="21">
        <f>DB3/(1+TEA!G$16)^$A3</f>
        <v>0</v>
      </c>
      <c r="DN3" s="21">
        <f>DC3/(1+TEA!H$16)^$A3</f>
        <v>0</v>
      </c>
      <c r="DO3" s="21">
        <f>DD3/(1+TEA!I$16)^$A3</f>
        <v>-17721866.619541999</v>
      </c>
      <c r="DP3" s="21">
        <f>DE3/(1+TEA!J$16)^$A3</f>
        <v>0</v>
      </c>
      <c r="DQ3" s="21">
        <f>DF3/(1+TEA!K$16)^$A3</f>
        <v>0</v>
      </c>
      <c r="DR3" s="21">
        <f>DG3/(1+TEA!L$16)^$A3</f>
        <v>0</v>
      </c>
    </row>
    <row r="4" spans="1:122" x14ac:dyDescent="0.25">
      <c r="A4" s="4">
        <f t="shared" ref="A4:A33" si="1">A3+1</f>
        <v>1</v>
      </c>
      <c r="B4" s="21">
        <f>B3+DH4</f>
        <v>-968891.22312710551</v>
      </c>
      <c r="C4" s="21">
        <f t="shared" ref="C4:C33" si="2">C3+DI4</f>
        <v>-963387.70594973699</v>
      </c>
      <c r="D4" s="21" t="e">
        <f t="shared" ref="D4:D33" si="3">D3+DJ4</f>
        <v>#VALUE!</v>
      </c>
      <c r="E4" s="21" t="e">
        <f t="shared" ref="E4:E33" si="4">E3+DK4</f>
        <v>#VALUE!</v>
      </c>
      <c r="F4" s="21"/>
      <c r="G4" s="21">
        <f t="shared" ref="G4:G33" si="5">G3+DM4</f>
        <v>0</v>
      </c>
      <c r="H4" s="21">
        <f t="shared" ref="H4:H33" si="6">H3+DN4</f>
        <v>0</v>
      </c>
      <c r="I4" s="21">
        <f t="shared" ref="I4:I33" si="7">I3+DO4</f>
        <v>-16860288.585856408</v>
      </c>
      <c r="J4" s="21">
        <f t="shared" ref="J4:J33" si="8">J3+DP4</f>
        <v>0</v>
      </c>
      <c r="K4" s="21">
        <f t="shared" ref="K4:K33" si="9">K3+DQ4</f>
        <v>0</v>
      </c>
      <c r="L4" s="21">
        <f t="shared" ref="L4:L33" si="10">L3+DR4</f>
        <v>0</v>
      </c>
      <c r="M4" s="31">
        <f>TEA!B$37*TEA!B28</f>
        <v>114846.77244389473</v>
      </c>
      <c r="N4" s="31">
        <f>TEA!C$37*TEA!C28</f>
        <v>111702.62807355644</v>
      </c>
      <c r="O4" s="31">
        <f>TEA!D$37*TEA!D28</f>
        <v>453886.36721999996</v>
      </c>
      <c r="P4" s="31">
        <f>TEA!E$37*TEA!E28</f>
        <v>76929.137999999992</v>
      </c>
      <c r="Q4" s="31"/>
      <c r="R4" s="31">
        <f>TEA!G$37*TEA!G28</f>
        <v>0</v>
      </c>
      <c r="S4" s="31">
        <f>TEA!H$37*TEA!H28</f>
        <v>0</v>
      </c>
      <c r="T4" s="31">
        <f>TEA!I$37*TEA!I28</f>
        <v>5636620.8175376374</v>
      </c>
      <c r="U4" s="31">
        <f>TEA!J$37*TEA!J28</f>
        <v>0</v>
      </c>
      <c r="V4" s="31">
        <f>TEA!K$37*TEA!K28</f>
        <v>0</v>
      </c>
      <c r="W4" s="31">
        <f>TEA!L$37*TEA!L28</f>
        <v>0</v>
      </c>
      <c r="X4" s="20">
        <f>TEA!B$39</f>
        <v>227770.14132656169</v>
      </c>
      <c r="Y4" s="20">
        <f>TEA!C$39</f>
        <v>225585.66473960926</v>
      </c>
      <c r="Z4" s="20">
        <f>TEA!D$39</f>
        <v>463326.77283027547</v>
      </c>
      <c r="AA4" s="20">
        <f>TEA!E$39</f>
        <v>201425.87245114797</v>
      </c>
      <c r="AB4" s="20"/>
      <c r="AC4" s="20">
        <f>TEA!G$39</f>
        <v>0</v>
      </c>
      <c r="AD4" s="20">
        <f>TEA!H$39</f>
        <v>0</v>
      </c>
      <c r="AE4" s="20">
        <f>TEA!I$39</f>
        <v>3961621.0816021687</v>
      </c>
      <c r="AF4" s="20">
        <f>TEA!J$39</f>
        <v>0</v>
      </c>
      <c r="AG4" s="20">
        <f>TEA!K$39</f>
        <v>0</v>
      </c>
      <c r="AH4" s="20">
        <f>TEA!L$39</f>
        <v>0</v>
      </c>
      <c r="AI4" s="21">
        <f>TEA!B$38*TEA!B19</f>
        <v>122268.49508397006</v>
      </c>
      <c r="AJ4" s="21">
        <f>TEA!C$38*TEA!C19</f>
        <v>121095.85382696745</v>
      </c>
      <c r="AK4" s="21">
        <f>TEA!D$38*TEA!D19</f>
        <v>248716.82879999999</v>
      </c>
      <c r="AL4" s="21">
        <f>TEA!E$38*TEA!E19</f>
        <v>108126.72</v>
      </c>
      <c r="AM4" s="21"/>
      <c r="AN4" s="21">
        <f>TEA!G$38*TEA!G19</f>
        <v>0</v>
      </c>
      <c r="AO4" s="21">
        <f>TEA!H$38*TEA!H19</f>
        <v>0</v>
      </c>
      <c r="AP4" s="21">
        <f>TEA!I$38*TEA!I19</f>
        <v>2126623.9943450401</v>
      </c>
      <c r="AQ4" s="21">
        <f>TEA!J$38*TEA!J19</f>
        <v>0</v>
      </c>
      <c r="AR4" s="21">
        <f>TEA!K$38*TEA!K19</f>
        <v>0</v>
      </c>
      <c r="AS4" s="21">
        <f>TEA!L$38*TEA!L19</f>
        <v>0</v>
      </c>
      <c r="AT4" s="20">
        <f>TEA!B$38-X4+AI4</f>
        <v>1422854.5423070341</v>
      </c>
      <c r="AU4" s="20">
        <f>TEA!C$38-Y4+AJ4</f>
        <v>1409208.3619244513</v>
      </c>
      <c r="AV4" s="20">
        <f>TEA!D$38-Z4+AK4</f>
        <v>2894350.4159697243</v>
      </c>
      <c r="AW4" s="20">
        <f>TEA!E$38-AA4+AL4</f>
        <v>1258284.847548852</v>
      </c>
      <c r="AX4" s="20"/>
      <c r="AY4" s="20">
        <f>TEA!G$38-AC4+AN4</f>
        <v>0</v>
      </c>
      <c r="AZ4" s="20">
        <f>TEA!H$38-AD4+AO4</f>
        <v>0</v>
      </c>
      <c r="BA4" s="20">
        <f>TEA!I$38-AE4+AP4</f>
        <v>24747802.842055872</v>
      </c>
      <c r="BB4" s="20">
        <f>TEA!J$38-AF4+AQ4</f>
        <v>0</v>
      </c>
      <c r="BC4" s="20">
        <f>TEA!K$38-AG4+AR4</f>
        <v>0</v>
      </c>
      <c r="BD4" s="20">
        <f>TEA!L$38-AH4+AS4</f>
        <v>0</v>
      </c>
      <c r="BE4" s="21">
        <f>TEA!B$47-TEA!B$43-M4-AI4</f>
        <v>57086.333285758199</v>
      </c>
      <c r="BF4" s="21">
        <f>TEA!C$47-TEA!C$43-N4-AJ4</f>
        <v>53882.541301970487</v>
      </c>
      <c r="BG4" s="21" t="e">
        <f>TEA!D$47-TEA!D$43-O4-AK4</f>
        <v>#VALUE!</v>
      </c>
      <c r="BH4" s="21" t="e">
        <f>TEA!E$47-TEA!E$43-P4-AL4</f>
        <v>#VALUE!</v>
      </c>
      <c r="BI4" s="21"/>
      <c r="BJ4" s="21">
        <f>TEA!G$47-TEA!G$43-R4-AN4</f>
        <v>0</v>
      </c>
      <c r="BK4" s="21">
        <f>TEA!H$47-TEA!H$43-S4-AO4</f>
        <v>0</v>
      </c>
      <c r="BL4" s="21">
        <f>TEA!I$47-TEA!I$43-T4-AP4</f>
        <v>-2853887.8932263581</v>
      </c>
      <c r="BM4" s="21">
        <f>TEA!J$47-TEA!J$43-U4-AQ4</f>
        <v>0</v>
      </c>
      <c r="BN4" s="21">
        <f>TEA!K$47-TEA!K$43-V4-AR4</f>
        <v>0</v>
      </c>
      <c r="BO4" s="21">
        <f>TEA!L$47-TEA!L$43-W4-AS4</f>
        <v>0</v>
      </c>
      <c r="BP4" s="21">
        <f t="shared" ref="BP4:BP33" si="11">IF(CA3&lt;0,CA3,0)</f>
        <v>0</v>
      </c>
      <c r="BQ4" s="21">
        <f t="shared" ref="BQ4:BQ33" si="12">IF(CB3&lt;0,CB3,0)</f>
        <v>0</v>
      </c>
      <c r="BR4" s="21">
        <f t="shared" ref="BR4:BR33" si="13">IF(CC3&lt;0,CC3,0)</f>
        <v>0</v>
      </c>
      <c r="BS4" s="21">
        <f t="shared" ref="BS4:BS33" si="14">IF(CD3&lt;0,CD3,0)</f>
        <v>0</v>
      </c>
      <c r="BT4" s="21"/>
      <c r="BU4" s="21">
        <f t="shared" ref="BU4:BU33" si="15">IF(CF3&lt;0,CF3,0)</f>
        <v>0</v>
      </c>
      <c r="BV4" s="21">
        <f t="shared" ref="BV4:BV33" si="16">IF(CG3&lt;0,CG3,0)</f>
        <v>0</v>
      </c>
      <c r="BW4" s="21">
        <f t="shared" ref="BW4:BW33" si="17">IF(CH3&lt;0,CH3,0)</f>
        <v>0</v>
      </c>
      <c r="BX4" s="21">
        <f t="shared" ref="BX4:BX33" si="18">IF(CI3&lt;0,CI3,0)</f>
        <v>0</v>
      </c>
      <c r="BY4" s="21">
        <f t="shared" ref="BY4:BY33" si="19">IF(CJ3&lt;0,CJ3,0)</f>
        <v>0</v>
      </c>
      <c r="BZ4" s="21">
        <f t="shared" ref="BZ4:BZ33" si="20">IF(CK3&lt;0,CK3,0)</f>
        <v>0</v>
      </c>
      <c r="CA4" s="21">
        <f t="shared" ref="CA4:CA33" si="21">BE4+BP4</f>
        <v>57086.333285758199</v>
      </c>
      <c r="CB4" s="21">
        <f t="shared" ref="CB4:CB33" si="22">BF4+BQ4</f>
        <v>53882.541301970487</v>
      </c>
      <c r="CC4" s="21" t="e">
        <f t="shared" ref="CC4:CC33" si="23">BG4+BR4</f>
        <v>#VALUE!</v>
      </c>
      <c r="CD4" s="21" t="e">
        <f t="shared" ref="CD4:CD33" si="24">BH4+BS4</f>
        <v>#VALUE!</v>
      </c>
      <c r="CE4" s="21"/>
      <c r="CF4" s="21">
        <f t="shared" ref="CF4:CF33" si="25">BJ4+BU4</f>
        <v>0</v>
      </c>
      <c r="CG4" s="21">
        <f t="shared" ref="CG4:CG33" si="26">BK4+BV4</f>
        <v>0</v>
      </c>
      <c r="CH4" s="21">
        <f t="shared" ref="CH4:CH33" si="27">BL4+BW4</f>
        <v>-2853887.8932263581</v>
      </c>
      <c r="CI4" s="21">
        <f t="shared" ref="CI4:CI33" si="28">BM4+BX4</f>
        <v>0</v>
      </c>
      <c r="CJ4" s="21">
        <f t="shared" ref="CJ4:CJ33" si="29">BN4+BY4</f>
        <v>0</v>
      </c>
      <c r="CK4" s="21">
        <f t="shared" ref="CK4:CK33" si="30">BO4+BZ4</f>
        <v>0</v>
      </c>
      <c r="CL4" s="21">
        <f>IF(CA4&gt;0,CA4*TEA!B$17-TEA!B$24,0)</f>
        <v>11417.26665715164</v>
      </c>
      <c r="CM4" s="21">
        <f>IF(CB4&gt;0,CB4*TEA!C$17-TEA!C$24,0)</f>
        <v>10776.508260394097</v>
      </c>
      <c r="CN4" s="21" t="e">
        <f>IF(CC4&gt;0,CC4*TEA!D$17-TEA!D$24,0)</f>
        <v>#VALUE!</v>
      </c>
      <c r="CO4" s="21" t="e">
        <f>IF(CD4&gt;0,CD4*TEA!E$17-TEA!E$24,0)</f>
        <v>#VALUE!</v>
      </c>
      <c r="CP4" s="21"/>
      <c r="CQ4" s="21">
        <f>IF(CF4&gt;0,CF4*TEA!G$17-TEA!G$24,0)</f>
        <v>0</v>
      </c>
      <c r="CR4" s="21">
        <f>IF(CG4&gt;0,CG4*TEA!H$17-TEA!H$24,0)</f>
        <v>0</v>
      </c>
      <c r="CS4" s="21">
        <f>IF(CH4&gt;0,CH4*TEA!I$17-TEA!I$24,0)</f>
        <v>0</v>
      </c>
      <c r="CT4" s="21">
        <f>IF(CI4&gt;0,CI4*TEA!J$17-TEA!J$24,0)</f>
        <v>0</v>
      </c>
      <c r="CU4" s="21">
        <f>IF(CJ4&gt;0,CJ4*TEA!K$17-TEA!K$24,0)</f>
        <v>0</v>
      </c>
      <c r="CV4" s="21">
        <f>IF(CK4&gt;0,CK4*TEA!L$17-TEA!L$24,0)</f>
        <v>0</v>
      </c>
      <c r="CW4" s="21">
        <f>TEA!B$47-TEA!B$43-X4-CL4</f>
        <v>55014.192829909669</v>
      </c>
      <c r="CX4" s="21">
        <f>TEA!C$47-TEA!C$43-Y4-CM4</f>
        <v>50318.850202491012</v>
      </c>
      <c r="CY4" s="21" t="e">
        <f>TEA!D$47-TEA!D$43-Z4-CN4</f>
        <v>#VALUE!</v>
      </c>
      <c r="CZ4" s="21" t="e">
        <f>TEA!E$47-TEA!E$43-AA4-CO4</f>
        <v>#VALUE!</v>
      </c>
      <c r="DA4" s="21"/>
      <c r="DB4" s="21">
        <f>TEA!G$47-TEA!G$43-AC4-CQ4</f>
        <v>0</v>
      </c>
      <c r="DC4" s="21">
        <f>TEA!H$47-TEA!H$43-AD4-CR4</f>
        <v>0</v>
      </c>
      <c r="DD4" s="21">
        <f>TEA!I$47-TEA!I$43-AE4-CS4</f>
        <v>947735.83705415064</v>
      </c>
      <c r="DE4" s="21">
        <f>TEA!J$47-TEA!J$43-AF4-CT4</f>
        <v>0</v>
      </c>
      <c r="DF4" s="21">
        <f>TEA!K$47-TEA!K$43-AG4-CU4</f>
        <v>0</v>
      </c>
      <c r="DG4" s="21">
        <f>TEA!L$47-TEA!L$43-AH4-CV4</f>
        <v>0</v>
      </c>
      <c r="DH4" s="21">
        <f>CW4/(1+TEA!B$16)^$A4</f>
        <v>50012.902572645151</v>
      </c>
      <c r="DI4" s="21">
        <f>CX4/(1+TEA!C$16)^$A4</f>
        <v>45744.409274991827</v>
      </c>
      <c r="DJ4" s="21" t="e">
        <f>CY4/(1+TEA!D$16)^$A4</f>
        <v>#VALUE!</v>
      </c>
      <c r="DK4" s="21" t="e">
        <f>CZ4/(1+TEA!E$16)^$A4</f>
        <v>#VALUE!</v>
      </c>
      <c r="DL4" s="21"/>
      <c r="DM4" s="21">
        <f>DB4/(1+TEA!G$16)^$A4</f>
        <v>0</v>
      </c>
      <c r="DN4" s="21">
        <f>DC4/(1+TEA!H$16)^$A4</f>
        <v>0</v>
      </c>
      <c r="DO4" s="21">
        <f>DD4/(1+TEA!I$16)^$A4</f>
        <v>861578.03368559142</v>
      </c>
      <c r="DP4" s="21">
        <f>DE4/(1+TEA!J$16)^$A4</f>
        <v>0</v>
      </c>
      <c r="DQ4" s="21">
        <f>DF4/(1+TEA!K$16)^$A4</f>
        <v>0</v>
      </c>
      <c r="DR4" s="21">
        <f>DG4/(1+TEA!L$16)^$A4</f>
        <v>0</v>
      </c>
    </row>
    <row r="5" spans="1:122" x14ac:dyDescent="0.25">
      <c r="A5" s="4">
        <f t="shared" si="1"/>
        <v>2</v>
      </c>
      <c r="B5" s="21">
        <f t="shared" ref="B5:B32" si="31">B4+DH5</f>
        <v>-913989.19049317052</v>
      </c>
      <c r="C5" s="21">
        <f t="shared" si="2"/>
        <v>-912895.67416222859</v>
      </c>
      <c r="D5" s="21" t="e">
        <f t="shared" si="3"/>
        <v>#VALUE!</v>
      </c>
      <c r="E5" s="21" t="e">
        <f t="shared" si="4"/>
        <v>#VALUE!</v>
      </c>
      <c r="F5" s="21"/>
      <c r="G5" s="21">
        <f t="shared" si="5"/>
        <v>0</v>
      </c>
      <c r="H5" s="21">
        <f t="shared" si="6"/>
        <v>0</v>
      </c>
      <c r="I5" s="21">
        <f t="shared" si="7"/>
        <v>-16077035.827960417</v>
      </c>
      <c r="J5" s="21">
        <f t="shared" si="8"/>
        <v>0</v>
      </c>
      <c r="K5" s="21">
        <f t="shared" si="9"/>
        <v>0</v>
      </c>
      <c r="L5" s="21">
        <f t="shared" si="10"/>
        <v>0</v>
      </c>
      <c r="M5" s="31">
        <f>TEA!B$37*TEA!B29</f>
        <v>196765.44929198749</v>
      </c>
      <c r="N5" s="31">
        <f>TEA!C$37*TEA!C29</f>
        <v>191378.62851763167</v>
      </c>
      <c r="O5" s="31">
        <f>TEA!D$37*TEA!D29</f>
        <v>777637.48230000003</v>
      </c>
      <c r="P5" s="31">
        <f>TEA!E$37*TEA!E29</f>
        <v>131801.66999999998</v>
      </c>
      <c r="Q5" s="31"/>
      <c r="R5" s="31">
        <f>TEA!G$37*TEA!G29</f>
        <v>0</v>
      </c>
      <c r="S5" s="31">
        <f>TEA!H$37*TEA!H29</f>
        <v>0</v>
      </c>
      <c r="T5" s="31">
        <f>TEA!I$37*TEA!I29</f>
        <v>9657147.5545225274</v>
      </c>
      <c r="U5" s="31">
        <f>TEA!J$37*TEA!J29</f>
        <v>0</v>
      </c>
      <c r="V5" s="31">
        <f>TEA!K$37*TEA!K29</f>
        <v>0</v>
      </c>
      <c r="W5" s="31">
        <f>TEA!L$37*TEA!L29</f>
        <v>0</v>
      </c>
      <c r="X5" s="20">
        <f>TEA!B$39</f>
        <v>227770.14132656169</v>
      </c>
      <c r="Y5" s="20">
        <f>TEA!C$39</f>
        <v>225585.66473960926</v>
      </c>
      <c r="Z5" s="20">
        <f>TEA!D$39</f>
        <v>463326.77283027547</v>
      </c>
      <c r="AA5" s="20">
        <f>TEA!E$39</f>
        <v>201425.87245114797</v>
      </c>
      <c r="AB5" s="20"/>
      <c r="AC5" s="20">
        <f>TEA!G$39</f>
        <v>0</v>
      </c>
      <c r="AD5" s="20">
        <f>TEA!H$39</f>
        <v>0</v>
      </c>
      <c r="AE5" s="20">
        <f>TEA!I$39</f>
        <v>3961621.0816021687</v>
      </c>
      <c r="AF5" s="20">
        <f>TEA!J$39</f>
        <v>0</v>
      </c>
      <c r="AG5" s="20">
        <f>TEA!K$39</f>
        <v>0</v>
      </c>
      <c r="AH5" s="20">
        <f>TEA!L$39</f>
        <v>0</v>
      </c>
      <c r="AI5" s="21">
        <f>AT4*TEA!$B$19</f>
        <v>113828.36338456273</v>
      </c>
      <c r="AJ5" s="21">
        <f>AU4*TEA!$B$19</f>
        <v>112736.6689539561</v>
      </c>
      <c r="AK5" s="21">
        <f>AV4*TEA!$B$19</f>
        <v>231548.03327757795</v>
      </c>
      <c r="AL5" s="21">
        <f>AW4*TEA!$B$19</f>
        <v>100662.78780390816</v>
      </c>
      <c r="AM5" s="21"/>
      <c r="AN5" s="21">
        <f>AY4*TEA!$B$19</f>
        <v>0</v>
      </c>
      <c r="AO5" s="21">
        <f>AZ4*TEA!$B$19</f>
        <v>0</v>
      </c>
      <c r="AP5" s="21">
        <f>BA4*TEA!$B$19</f>
        <v>1979824.2273644698</v>
      </c>
      <c r="AQ5" s="21">
        <f>BB4*TEA!$B$19</f>
        <v>0</v>
      </c>
      <c r="AR5" s="21">
        <f>BC4*TEA!$B$19</f>
        <v>0</v>
      </c>
      <c r="AS5" s="21">
        <f>BD4*TEA!$B$19</f>
        <v>0</v>
      </c>
      <c r="AT5" s="20">
        <f t="shared" ref="AT5:AT16" si="32">AT4-X5+AI5</f>
        <v>1308912.7643650353</v>
      </c>
      <c r="AU5" s="20">
        <f t="shared" ref="AU5:AU16" si="33">AU4-Y5+AJ5</f>
        <v>1296359.3661387982</v>
      </c>
      <c r="AV5" s="20">
        <f t="shared" ref="AV5:AV16" si="34">AV4-Z5+AK5</f>
        <v>2662571.6764170267</v>
      </c>
      <c r="AW5" s="20">
        <f t="shared" ref="AW5:AW16" si="35">AW4-AA5+AL5</f>
        <v>1157521.7629016121</v>
      </c>
      <c r="AX5" s="20"/>
      <c r="AY5" s="20">
        <f t="shared" ref="AY5:AY16" si="36">AY4-AC5+AN5</f>
        <v>0</v>
      </c>
      <c r="AZ5" s="20">
        <f t="shared" ref="AZ5:AZ16" si="37">AZ4-AD5+AO5</f>
        <v>0</v>
      </c>
      <c r="BA5" s="20">
        <f t="shared" ref="BA5:BA16" si="38">BA4-AE5+AP5</f>
        <v>22766005.987818174</v>
      </c>
      <c r="BB5" s="20">
        <f t="shared" ref="BB5:BB16" si="39">BB4-AF5+AQ5</f>
        <v>0</v>
      </c>
      <c r="BC5" s="20">
        <f t="shared" ref="BC5:BC16" si="40">BC4-AG5+AR5</f>
        <v>0</v>
      </c>
      <c r="BD5" s="20">
        <f t="shared" ref="BD5:BD16" si="41">BD4-AH5+AS5</f>
        <v>0</v>
      </c>
      <c r="BE5" s="21">
        <f>TEA!B$47-TEA!B$43-M5-AI5</f>
        <v>-16392.21186292723</v>
      </c>
      <c r="BF5" s="21">
        <f>TEA!C$47-TEA!C$43-N5-AJ5</f>
        <v>-17434.27426909341</v>
      </c>
      <c r="BG5" s="21" t="e">
        <f>TEA!D$47-TEA!D$43-O5-AK5</f>
        <v>#VALUE!</v>
      </c>
      <c r="BH5" s="21" t="e">
        <f>TEA!E$47-TEA!E$43-P5-AL5</f>
        <v>#VALUE!</v>
      </c>
      <c r="BI5" s="21"/>
      <c r="BJ5" s="21">
        <f>TEA!G$47-TEA!G$43-R5-AN5</f>
        <v>0</v>
      </c>
      <c r="BK5" s="21">
        <f>TEA!H$47-TEA!H$43-S5-AO5</f>
        <v>0</v>
      </c>
      <c r="BL5" s="21">
        <f>TEA!I$47-TEA!I$43-T5-AP5</f>
        <v>-6727614.8632306773</v>
      </c>
      <c r="BM5" s="21">
        <f>TEA!J$47-TEA!J$43-U5-AQ5</f>
        <v>0</v>
      </c>
      <c r="BN5" s="21">
        <f>TEA!K$47-TEA!K$43-V5-AR5</f>
        <v>0</v>
      </c>
      <c r="BO5" s="21">
        <f>TEA!L$47-TEA!L$43-W5-AS5</f>
        <v>0</v>
      </c>
      <c r="BP5" s="21">
        <f t="shared" si="11"/>
        <v>0</v>
      </c>
      <c r="BQ5" s="21">
        <f t="shared" si="12"/>
        <v>0</v>
      </c>
      <c r="BR5" s="21" t="e">
        <f t="shared" si="13"/>
        <v>#VALUE!</v>
      </c>
      <c r="BS5" s="21" t="e">
        <f t="shared" si="14"/>
        <v>#VALUE!</v>
      </c>
      <c r="BT5" s="21"/>
      <c r="BU5" s="21">
        <f t="shared" si="15"/>
        <v>0</v>
      </c>
      <c r="BV5" s="21">
        <f t="shared" si="16"/>
        <v>0</v>
      </c>
      <c r="BW5" s="21">
        <f t="shared" si="17"/>
        <v>-2853887.8932263581</v>
      </c>
      <c r="BX5" s="21">
        <f t="shared" si="18"/>
        <v>0</v>
      </c>
      <c r="BY5" s="21">
        <f t="shared" si="19"/>
        <v>0</v>
      </c>
      <c r="BZ5" s="21">
        <f t="shared" si="20"/>
        <v>0</v>
      </c>
      <c r="CA5" s="21">
        <f t="shared" si="21"/>
        <v>-16392.21186292723</v>
      </c>
      <c r="CB5" s="21">
        <f t="shared" si="22"/>
        <v>-17434.27426909341</v>
      </c>
      <c r="CC5" s="21" t="e">
        <f t="shared" si="23"/>
        <v>#VALUE!</v>
      </c>
      <c r="CD5" s="21" t="e">
        <f t="shared" si="24"/>
        <v>#VALUE!</v>
      </c>
      <c r="CE5" s="21"/>
      <c r="CF5" s="21">
        <f t="shared" si="25"/>
        <v>0</v>
      </c>
      <c r="CG5" s="21">
        <f t="shared" si="26"/>
        <v>0</v>
      </c>
      <c r="CH5" s="21">
        <f t="shared" si="27"/>
        <v>-9581502.7564570345</v>
      </c>
      <c r="CI5" s="21">
        <f t="shared" si="28"/>
        <v>0</v>
      </c>
      <c r="CJ5" s="21">
        <f t="shared" si="29"/>
        <v>0</v>
      </c>
      <c r="CK5" s="21">
        <f t="shared" si="30"/>
        <v>0</v>
      </c>
      <c r="CL5" s="21">
        <f>IF(CA5&gt;0,CA5*TEA!B$17-TEA!B$24,0)</f>
        <v>0</v>
      </c>
      <c r="CM5" s="21">
        <f>IF(CB5&gt;0,CB5*TEA!C$17-TEA!C$24,0)</f>
        <v>0</v>
      </c>
      <c r="CN5" s="21" t="e">
        <f>IF(CC5&gt;0,CC5*TEA!D$17-TEA!D$24,0)</f>
        <v>#VALUE!</v>
      </c>
      <c r="CO5" s="21" t="e">
        <f>IF(CD5&gt;0,CD5*TEA!E$17-TEA!E$24,0)</f>
        <v>#VALUE!</v>
      </c>
      <c r="CP5" s="21"/>
      <c r="CQ5" s="21">
        <f>IF(CF5&gt;0,CF5*TEA!G$17-TEA!G$24,0)</f>
        <v>0</v>
      </c>
      <c r="CR5" s="21">
        <f>IF(CG5&gt;0,CG5*TEA!H$17-TEA!H$24,0)</f>
        <v>0</v>
      </c>
      <c r="CS5" s="21">
        <f>IF(CH5&gt;0,CH5*TEA!I$17-TEA!I$24,0)</f>
        <v>0</v>
      </c>
      <c r="CT5" s="21">
        <f>IF(CI5&gt;0,CI5*TEA!J$17-TEA!J$24,0)</f>
        <v>0</v>
      </c>
      <c r="CU5" s="21">
        <f>IF(CJ5&gt;0,CJ5*TEA!K$17-TEA!K$24,0)</f>
        <v>0</v>
      </c>
      <c r="CV5" s="21">
        <f>IF(CK5&gt;0,CK5*TEA!L$17-TEA!L$24,0)</f>
        <v>0</v>
      </c>
      <c r="CW5" s="21">
        <f>TEA!B$47-TEA!B$43-X5-CL5</f>
        <v>66431.459487061307</v>
      </c>
      <c r="CX5" s="21">
        <f>TEA!C$47-TEA!C$43-Y5-CM5</f>
        <v>61095.358462885109</v>
      </c>
      <c r="CY5" s="21" t="e">
        <f>TEA!D$47-TEA!D$43-Z5-CN5</f>
        <v>#VALUE!</v>
      </c>
      <c r="CZ5" s="21" t="e">
        <f>TEA!E$47-TEA!E$43-AA5-CO5</f>
        <v>#VALUE!</v>
      </c>
      <c r="DA5" s="21"/>
      <c r="DB5" s="21">
        <f>TEA!G$47-TEA!G$43-AC5-CQ5</f>
        <v>0</v>
      </c>
      <c r="DC5" s="21">
        <f>TEA!H$47-TEA!H$43-AD5-CR5</f>
        <v>0</v>
      </c>
      <c r="DD5" s="21">
        <f>TEA!I$47-TEA!I$43-AE5-CS5</f>
        <v>947735.83705415064</v>
      </c>
      <c r="DE5" s="21">
        <f>TEA!J$47-TEA!J$43-AF5-CT5</f>
        <v>0</v>
      </c>
      <c r="DF5" s="21">
        <f>TEA!K$47-TEA!K$43-AG5-CU5</f>
        <v>0</v>
      </c>
      <c r="DG5" s="21">
        <f>TEA!L$47-TEA!L$43-AH5-CV5</f>
        <v>0</v>
      </c>
      <c r="DH5" s="21">
        <f>CW5/(1+TEA!B$16)^$A5</f>
        <v>54902.032633934956</v>
      </c>
      <c r="DI5" s="21">
        <f>CX5/(1+TEA!C$16)^$A5</f>
        <v>50492.031787508349</v>
      </c>
      <c r="DJ5" s="21" t="e">
        <f>CY5/(1+TEA!D$16)^$A5</f>
        <v>#VALUE!</v>
      </c>
      <c r="DK5" s="21" t="e">
        <f>CZ5/(1+TEA!E$16)^$A5</f>
        <v>#VALUE!</v>
      </c>
      <c r="DL5" s="21"/>
      <c r="DM5" s="21">
        <f>DB5/(1+TEA!G$16)^$A5</f>
        <v>0</v>
      </c>
      <c r="DN5" s="21">
        <f>DC5/(1+TEA!H$16)^$A5</f>
        <v>0</v>
      </c>
      <c r="DO5" s="21">
        <f>DD5/(1+TEA!I$16)^$A5</f>
        <v>783252.75789599214</v>
      </c>
      <c r="DP5" s="21">
        <f>DE5/(1+TEA!J$16)^$A5</f>
        <v>0</v>
      </c>
      <c r="DQ5" s="21">
        <f>DF5/(1+TEA!K$16)^$A5</f>
        <v>0</v>
      </c>
      <c r="DR5" s="21">
        <f>DG5/(1+TEA!L$16)^$A5</f>
        <v>0</v>
      </c>
    </row>
    <row r="6" spans="1:122" x14ac:dyDescent="0.25">
      <c r="A6" s="4">
        <f t="shared" si="1"/>
        <v>3</v>
      </c>
      <c r="B6" s="21">
        <f t="shared" si="31"/>
        <v>-868969.25373462948</v>
      </c>
      <c r="C6" s="21">
        <f t="shared" si="2"/>
        <v>-871327.25747674925</v>
      </c>
      <c r="D6" s="21" t="e">
        <f t="shared" si="3"/>
        <v>#VALUE!</v>
      </c>
      <c r="E6" s="21" t="e">
        <f t="shared" si="4"/>
        <v>#VALUE!</v>
      </c>
      <c r="F6" s="21"/>
      <c r="G6" s="21">
        <f t="shared" si="5"/>
        <v>0</v>
      </c>
      <c r="H6" s="21">
        <f t="shared" si="6"/>
        <v>0</v>
      </c>
      <c r="I6" s="21">
        <f t="shared" si="7"/>
        <v>-15364987.866236787</v>
      </c>
      <c r="J6" s="21">
        <f t="shared" si="8"/>
        <v>0</v>
      </c>
      <c r="K6" s="21">
        <f t="shared" si="9"/>
        <v>0</v>
      </c>
      <c r="L6" s="21">
        <f t="shared" si="10"/>
        <v>0</v>
      </c>
      <c r="M6" s="31">
        <f>TEA!B$37*TEA!B30</f>
        <v>140546.74949427677</v>
      </c>
      <c r="N6" s="31">
        <f>TEA!C$37*TEA!C30</f>
        <v>136699.02036973691</v>
      </c>
      <c r="O6" s="31">
        <f>TEA!D$37*TEA!D30</f>
        <v>555455.34450000001</v>
      </c>
      <c r="P6" s="31">
        <f>TEA!E$37*TEA!E30</f>
        <v>94144.049999999988</v>
      </c>
      <c r="Q6" s="31"/>
      <c r="R6" s="31">
        <f>TEA!G$37*TEA!G30</f>
        <v>0</v>
      </c>
      <c r="S6" s="31">
        <f>TEA!H$37*TEA!H30</f>
        <v>0</v>
      </c>
      <c r="T6" s="31">
        <f>TEA!I$37*TEA!I30</f>
        <v>6897962.5389446616</v>
      </c>
      <c r="U6" s="31">
        <f>TEA!J$37*TEA!J30</f>
        <v>0</v>
      </c>
      <c r="V6" s="31">
        <f>TEA!K$37*TEA!K30</f>
        <v>0</v>
      </c>
      <c r="W6" s="31">
        <f>TEA!L$37*TEA!L30</f>
        <v>0</v>
      </c>
      <c r="X6" s="20">
        <f>TEA!B$39</f>
        <v>227770.14132656169</v>
      </c>
      <c r="Y6" s="20">
        <f>TEA!C$39</f>
        <v>225585.66473960926</v>
      </c>
      <c r="Z6" s="20">
        <f>TEA!D$39</f>
        <v>463326.77283027547</v>
      </c>
      <c r="AA6" s="20">
        <f>TEA!E$39</f>
        <v>201425.87245114797</v>
      </c>
      <c r="AB6" s="20"/>
      <c r="AC6" s="20">
        <f>TEA!G$39</f>
        <v>0</v>
      </c>
      <c r="AD6" s="20">
        <f>TEA!H$39</f>
        <v>0</v>
      </c>
      <c r="AE6" s="20">
        <f>TEA!I$39</f>
        <v>3961621.0816021687</v>
      </c>
      <c r="AF6" s="20">
        <f>TEA!J$39</f>
        <v>0</v>
      </c>
      <c r="AG6" s="20">
        <f>TEA!K$39</f>
        <v>0</v>
      </c>
      <c r="AH6" s="20">
        <f>TEA!L$39</f>
        <v>0</v>
      </c>
      <c r="AI6" s="21">
        <f>AT5*TEA!$B$19</f>
        <v>104713.02114920283</v>
      </c>
      <c r="AJ6" s="21">
        <f>AU5*TEA!$B$19</f>
        <v>103708.74929110386</v>
      </c>
      <c r="AK6" s="21">
        <f>AV5*TEA!$B$19</f>
        <v>213005.73411336215</v>
      </c>
      <c r="AL6" s="21">
        <f>AW5*TEA!$B$19</f>
        <v>92601.741032128964</v>
      </c>
      <c r="AM6" s="21"/>
      <c r="AN6" s="21">
        <f>AY5*TEA!$B$19</f>
        <v>0</v>
      </c>
      <c r="AO6" s="21">
        <f>AZ5*TEA!$B$19</f>
        <v>0</v>
      </c>
      <c r="AP6" s="21">
        <f>BA5*TEA!$B$19</f>
        <v>1821280.479025454</v>
      </c>
      <c r="AQ6" s="21">
        <f>BB5*TEA!$B$19</f>
        <v>0</v>
      </c>
      <c r="AR6" s="21">
        <f>BC5*TEA!$B$19</f>
        <v>0</v>
      </c>
      <c r="AS6" s="21">
        <f>BD5*TEA!$B$19</f>
        <v>0</v>
      </c>
      <c r="AT6" s="20">
        <f t="shared" si="32"/>
        <v>1185855.6441876763</v>
      </c>
      <c r="AU6" s="20">
        <f t="shared" si="33"/>
        <v>1174482.4506902928</v>
      </c>
      <c r="AV6" s="20">
        <f t="shared" si="34"/>
        <v>2412250.6377001135</v>
      </c>
      <c r="AW6" s="20">
        <f t="shared" si="35"/>
        <v>1048697.631482593</v>
      </c>
      <c r="AX6" s="20"/>
      <c r="AY6" s="20">
        <f t="shared" si="36"/>
        <v>0</v>
      </c>
      <c r="AZ6" s="20">
        <f t="shared" si="37"/>
        <v>0</v>
      </c>
      <c r="BA6" s="20">
        <f t="shared" si="38"/>
        <v>20625665.38524146</v>
      </c>
      <c r="BB6" s="20">
        <f t="shared" si="39"/>
        <v>0</v>
      </c>
      <c r="BC6" s="20">
        <f t="shared" si="40"/>
        <v>0</v>
      </c>
      <c r="BD6" s="20">
        <f t="shared" si="41"/>
        <v>0</v>
      </c>
      <c r="BE6" s="21">
        <f>TEA!B$47-TEA!B$43-M6-AI6</f>
        <v>48941.830170143396</v>
      </c>
      <c r="BF6" s="21">
        <f>TEA!C$47-TEA!C$43-N6-AJ6</f>
        <v>46273.253541653597</v>
      </c>
      <c r="BG6" s="21" t="e">
        <f>TEA!D$47-TEA!D$43-O6-AK6</f>
        <v>#VALUE!</v>
      </c>
      <c r="BH6" s="21" t="e">
        <f>TEA!E$47-TEA!E$43-P6-AL6</f>
        <v>#VALUE!</v>
      </c>
      <c r="BI6" s="21"/>
      <c r="BJ6" s="21">
        <f>TEA!G$47-TEA!G$43-R6-AN6</f>
        <v>0</v>
      </c>
      <c r="BK6" s="21">
        <f>TEA!H$47-TEA!H$43-S6-AO6</f>
        <v>0</v>
      </c>
      <c r="BL6" s="21">
        <f>TEA!I$47-TEA!I$43-T6-AP6</f>
        <v>-3809886.0993137965</v>
      </c>
      <c r="BM6" s="21">
        <f>TEA!J$47-TEA!J$43-U6-AQ6</f>
        <v>0</v>
      </c>
      <c r="BN6" s="21">
        <f>TEA!K$47-TEA!K$43-V6-AR6</f>
        <v>0</v>
      </c>
      <c r="BO6" s="21">
        <f>TEA!L$47-TEA!L$43-W6-AS6</f>
        <v>0</v>
      </c>
      <c r="BP6" s="21">
        <f t="shared" si="11"/>
        <v>-16392.21186292723</v>
      </c>
      <c r="BQ6" s="21">
        <f t="shared" si="12"/>
        <v>-17434.27426909341</v>
      </c>
      <c r="BR6" s="21" t="e">
        <f t="shared" si="13"/>
        <v>#VALUE!</v>
      </c>
      <c r="BS6" s="21" t="e">
        <f t="shared" si="14"/>
        <v>#VALUE!</v>
      </c>
      <c r="BT6" s="21"/>
      <c r="BU6" s="21">
        <f t="shared" si="15"/>
        <v>0</v>
      </c>
      <c r="BV6" s="21">
        <f t="shared" si="16"/>
        <v>0</v>
      </c>
      <c r="BW6" s="21">
        <f t="shared" si="17"/>
        <v>-9581502.7564570345</v>
      </c>
      <c r="BX6" s="21">
        <f t="shared" si="18"/>
        <v>0</v>
      </c>
      <c r="BY6" s="21">
        <f t="shared" si="19"/>
        <v>0</v>
      </c>
      <c r="BZ6" s="21">
        <f t="shared" si="20"/>
        <v>0</v>
      </c>
      <c r="CA6" s="21">
        <f t="shared" si="21"/>
        <v>32549.618307216166</v>
      </c>
      <c r="CB6" s="21">
        <f t="shared" si="22"/>
        <v>28838.979272560187</v>
      </c>
      <c r="CC6" s="21" t="e">
        <f t="shared" si="23"/>
        <v>#VALUE!</v>
      </c>
      <c r="CD6" s="21" t="e">
        <f t="shared" si="24"/>
        <v>#VALUE!</v>
      </c>
      <c r="CE6" s="21"/>
      <c r="CF6" s="21">
        <f t="shared" si="25"/>
        <v>0</v>
      </c>
      <c r="CG6" s="21">
        <f t="shared" si="26"/>
        <v>0</v>
      </c>
      <c r="CH6" s="21">
        <f t="shared" si="27"/>
        <v>-13391388.85577083</v>
      </c>
      <c r="CI6" s="21">
        <f t="shared" si="28"/>
        <v>0</v>
      </c>
      <c r="CJ6" s="21">
        <f t="shared" si="29"/>
        <v>0</v>
      </c>
      <c r="CK6" s="21">
        <f t="shared" si="30"/>
        <v>0</v>
      </c>
      <c r="CL6" s="21">
        <f>IF(CA6&gt;0,CA6*TEA!B$17-TEA!B$24,0)</f>
        <v>6509.9236614432339</v>
      </c>
      <c r="CM6" s="21">
        <f>IF(CB6&gt;0,CB6*TEA!C$17-TEA!C$24,0)</f>
        <v>5767.7958545120382</v>
      </c>
      <c r="CN6" s="21" t="e">
        <f>IF(CC6&gt;0,CC6*TEA!D$17-TEA!D$24,0)</f>
        <v>#VALUE!</v>
      </c>
      <c r="CO6" s="21" t="e">
        <f>IF(CD6&gt;0,CD6*TEA!E$17-TEA!E$24,0)</f>
        <v>#VALUE!</v>
      </c>
      <c r="CP6" s="21"/>
      <c r="CQ6" s="21">
        <f>IF(CF6&gt;0,CF6*TEA!G$17-TEA!G$24,0)</f>
        <v>0</v>
      </c>
      <c r="CR6" s="21">
        <f>IF(CG6&gt;0,CG6*TEA!H$17-TEA!H$24,0)</f>
        <v>0</v>
      </c>
      <c r="CS6" s="21">
        <f>IF(CH6&gt;0,CH6*TEA!I$17-TEA!I$24,0)</f>
        <v>0</v>
      </c>
      <c r="CT6" s="21">
        <f>IF(CI6&gt;0,CI6*TEA!J$17-TEA!J$24,0)</f>
        <v>0</v>
      </c>
      <c r="CU6" s="21">
        <f>IF(CJ6&gt;0,CJ6*TEA!K$17-TEA!K$24,0)</f>
        <v>0</v>
      </c>
      <c r="CV6" s="21">
        <f>IF(CK6&gt;0,CK6*TEA!L$17-TEA!L$24,0)</f>
        <v>0</v>
      </c>
      <c r="CW6" s="21">
        <f>TEA!B$47-TEA!B$43-X6-CL6</f>
        <v>59921.535825618077</v>
      </c>
      <c r="CX6" s="21">
        <f>TEA!C$47-TEA!C$43-Y6-CM6</f>
        <v>55327.562608373075</v>
      </c>
      <c r="CY6" s="21" t="e">
        <f>TEA!D$47-TEA!D$43-Z6-CN6</f>
        <v>#VALUE!</v>
      </c>
      <c r="CZ6" s="21" t="e">
        <f>TEA!E$47-TEA!E$43-AA6-CO6</f>
        <v>#VALUE!</v>
      </c>
      <c r="DA6" s="21"/>
      <c r="DB6" s="21">
        <f>TEA!G$47-TEA!G$43-AC6-CQ6</f>
        <v>0</v>
      </c>
      <c r="DC6" s="21">
        <f>TEA!H$47-TEA!H$43-AD6-CR6</f>
        <v>0</v>
      </c>
      <c r="DD6" s="21">
        <f>TEA!I$47-TEA!I$43-AE6-CS6</f>
        <v>947735.83705415064</v>
      </c>
      <c r="DE6" s="21">
        <f>TEA!J$47-TEA!J$43-AF6-CT6</f>
        <v>0</v>
      </c>
      <c r="DF6" s="21">
        <f>TEA!K$47-TEA!K$43-AG6-CU6</f>
        <v>0</v>
      </c>
      <c r="DG6" s="21">
        <f>TEA!L$47-TEA!L$43-AH6-CV6</f>
        <v>0</v>
      </c>
      <c r="DH6" s="21">
        <f>CW6/(1+TEA!B$16)^$A6</f>
        <v>45019.936758540993</v>
      </c>
      <c r="DI6" s="21">
        <f>CX6/(1+TEA!C$16)^$A6</f>
        <v>41568.41668547938</v>
      </c>
      <c r="DJ6" s="21" t="e">
        <f>CY6/(1+TEA!D$16)^$A6</f>
        <v>#VALUE!</v>
      </c>
      <c r="DK6" s="21" t="e">
        <f>CZ6/(1+TEA!E$16)^$A6</f>
        <v>#VALUE!</v>
      </c>
      <c r="DL6" s="21"/>
      <c r="DM6" s="21">
        <f>DB6/(1+TEA!G$16)^$A6</f>
        <v>0</v>
      </c>
      <c r="DN6" s="21">
        <f>DC6/(1+TEA!H$16)^$A6</f>
        <v>0</v>
      </c>
      <c r="DO6" s="21">
        <f>DD6/(1+TEA!I$16)^$A6</f>
        <v>712047.96172362915</v>
      </c>
      <c r="DP6" s="21">
        <f>DE6/(1+TEA!J$16)^$A6</f>
        <v>0</v>
      </c>
      <c r="DQ6" s="21">
        <f>DF6/(1+TEA!K$16)^$A6</f>
        <v>0</v>
      </c>
      <c r="DR6" s="21">
        <f>DG6/(1+TEA!L$16)^$A6</f>
        <v>0</v>
      </c>
    </row>
    <row r="7" spans="1:122" x14ac:dyDescent="0.25">
      <c r="A7" s="4">
        <f t="shared" si="1"/>
        <v>4</v>
      </c>
      <c r="B7" s="21">
        <f t="shared" si="31"/>
        <v>-837111.50036945601</v>
      </c>
      <c r="C7" s="21">
        <f t="shared" si="2"/>
        <v>-842586.52630072169</v>
      </c>
      <c r="D7" s="21" t="e">
        <f t="shared" si="3"/>
        <v>#VALUE!</v>
      </c>
      <c r="E7" s="21" t="e">
        <f t="shared" si="4"/>
        <v>#VALUE!</v>
      </c>
      <c r="F7" s="21"/>
      <c r="G7" s="21">
        <f t="shared" si="5"/>
        <v>0</v>
      </c>
      <c r="H7" s="21">
        <f t="shared" si="6"/>
        <v>0</v>
      </c>
      <c r="I7" s="21">
        <f t="shared" si="7"/>
        <v>-14717671.537397124</v>
      </c>
      <c r="J7" s="21">
        <f t="shared" si="8"/>
        <v>0</v>
      </c>
      <c r="K7" s="21">
        <f t="shared" si="9"/>
        <v>0</v>
      </c>
      <c r="L7" s="21">
        <f t="shared" si="10"/>
        <v>0</v>
      </c>
      <c r="M7" s="31">
        <f>TEA!B$37*TEA!B31</f>
        <v>100390.53535305485</v>
      </c>
      <c r="N7" s="31">
        <f>TEA!C$37*TEA!C31</f>
        <v>97642.157406954939</v>
      </c>
      <c r="O7" s="31">
        <f>TEA!D$37*TEA!D31</f>
        <v>396753.8175</v>
      </c>
      <c r="P7" s="31">
        <f>TEA!E$37*TEA!E31</f>
        <v>67245.75</v>
      </c>
      <c r="Q7" s="31"/>
      <c r="R7" s="31">
        <f>TEA!G$37*TEA!G31</f>
        <v>0</v>
      </c>
      <c r="S7" s="31">
        <f>TEA!H$37*TEA!H31</f>
        <v>0</v>
      </c>
      <c r="T7" s="31">
        <f>TEA!I$37*TEA!I31</f>
        <v>4927116.0992461871</v>
      </c>
      <c r="U7" s="31">
        <f>TEA!J$37*TEA!J31</f>
        <v>0</v>
      </c>
      <c r="V7" s="31">
        <f>TEA!K$37*TEA!K31</f>
        <v>0</v>
      </c>
      <c r="W7" s="31">
        <f>TEA!L$37*TEA!L31</f>
        <v>0</v>
      </c>
      <c r="X7" s="20">
        <f>TEA!B$39</f>
        <v>227770.14132656169</v>
      </c>
      <c r="Y7" s="20">
        <f>TEA!C$39</f>
        <v>225585.66473960926</v>
      </c>
      <c r="Z7" s="20">
        <f>TEA!D$39</f>
        <v>463326.77283027547</v>
      </c>
      <c r="AA7" s="20">
        <f>TEA!E$39</f>
        <v>201425.87245114797</v>
      </c>
      <c r="AB7" s="20"/>
      <c r="AC7" s="20">
        <f>TEA!G$39</f>
        <v>0</v>
      </c>
      <c r="AD7" s="20">
        <f>TEA!H$39</f>
        <v>0</v>
      </c>
      <c r="AE7" s="20">
        <f>TEA!I$39</f>
        <v>3961621.0816021687</v>
      </c>
      <c r="AF7" s="20">
        <f>TEA!J$39</f>
        <v>0</v>
      </c>
      <c r="AG7" s="20">
        <f>TEA!K$39</f>
        <v>0</v>
      </c>
      <c r="AH7" s="20">
        <f>TEA!L$39</f>
        <v>0</v>
      </c>
      <c r="AI7" s="21">
        <f>AT6*TEA!$B$19</f>
        <v>94868.451535014101</v>
      </c>
      <c r="AJ7" s="21">
        <f>AU6*TEA!$B$19</f>
        <v>93958.596055223417</v>
      </c>
      <c r="AK7" s="21">
        <f>AV6*TEA!$B$19</f>
        <v>192980.05101600909</v>
      </c>
      <c r="AL7" s="21">
        <f>AW6*TEA!$B$19</f>
        <v>83895.810518607439</v>
      </c>
      <c r="AM7" s="21"/>
      <c r="AN7" s="21">
        <f>AY6*TEA!$B$19</f>
        <v>0</v>
      </c>
      <c r="AO7" s="21">
        <f>AZ6*TEA!$B$19</f>
        <v>0</v>
      </c>
      <c r="AP7" s="21">
        <f>BA6*TEA!$B$19</f>
        <v>1650053.2308193168</v>
      </c>
      <c r="AQ7" s="21">
        <f>BB6*TEA!$B$19</f>
        <v>0</v>
      </c>
      <c r="AR7" s="21">
        <f>BC6*TEA!$B$19</f>
        <v>0</v>
      </c>
      <c r="AS7" s="21">
        <f>BD6*TEA!$B$19</f>
        <v>0</v>
      </c>
      <c r="AT7" s="20">
        <f t="shared" si="32"/>
        <v>1052953.9543961287</v>
      </c>
      <c r="AU7" s="20">
        <f t="shared" si="33"/>
        <v>1042855.3820059069</v>
      </c>
      <c r="AV7" s="20">
        <f t="shared" si="34"/>
        <v>2141903.9158858471</v>
      </c>
      <c r="AW7" s="20">
        <f t="shared" si="35"/>
        <v>931167.56955005252</v>
      </c>
      <c r="AX7" s="20"/>
      <c r="AY7" s="20">
        <f t="shared" si="36"/>
        <v>0</v>
      </c>
      <c r="AZ7" s="20">
        <f t="shared" si="37"/>
        <v>0</v>
      </c>
      <c r="BA7" s="20">
        <f t="shared" si="38"/>
        <v>18314097.534458607</v>
      </c>
      <c r="BB7" s="20">
        <f t="shared" si="39"/>
        <v>0</v>
      </c>
      <c r="BC7" s="20">
        <f t="shared" si="40"/>
        <v>0</v>
      </c>
      <c r="BD7" s="20">
        <f t="shared" si="41"/>
        <v>0</v>
      </c>
      <c r="BE7" s="21">
        <f>TEA!B$47-TEA!B$43-M7-AI7</f>
        <v>98942.613925554047</v>
      </c>
      <c r="BF7" s="21">
        <f>TEA!C$47-TEA!C$43-N7-AJ7</f>
        <v>95080.269740316013</v>
      </c>
      <c r="BG7" s="21" t="e">
        <f>TEA!D$47-TEA!D$43-O7-AK7</f>
        <v>#VALUE!</v>
      </c>
      <c r="BH7" s="21" t="e">
        <f>TEA!E$47-TEA!E$43-P7-AL7</f>
        <v>#VALUE!</v>
      </c>
      <c r="BI7" s="21"/>
      <c r="BJ7" s="21">
        <f>TEA!G$47-TEA!G$43-R7-AN7</f>
        <v>0</v>
      </c>
      <c r="BK7" s="21">
        <f>TEA!H$47-TEA!H$43-S7-AO7</f>
        <v>0</v>
      </c>
      <c r="BL7" s="21">
        <f>TEA!I$47-TEA!I$43-T7-AP7</f>
        <v>-1667812.4114091846</v>
      </c>
      <c r="BM7" s="21">
        <f>TEA!J$47-TEA!J$43-U7-AQ7</f>
        <v>0</v>
      </c>
      <c r="BN7" s="21">
        <f>TEA!K$47-TEA!K$43-V7-AR7</f>
        <v>0</v>
      </c>
      <c r="BO7" s="21">
        <f>TEA!L$47-TEA!L$43-W7-AS7</f>
        <v>0</v>
      </c>
      <c r="BP7" s="21">
        <f t="shared" si="11"/>
        <v>0</v>
      </c>
      <c r="BQ7" s="21">
        <f t="shared" si="12"/>
        <v>0</v>
      </c>
      <c r="BR7" s="21" t="e">
        <f t="shared" si="13"/>
        <v>#VALUE!</v>
      </c>
      <c r="BS7" s="21" t="e">
        <f t="shared" si="14"/>
        <v>#VALUE!</v>
      </c>
      <c r="BT7" s="21"/>
      <c r="BU7" s="21">
        <f t="shared" si="15"/>
        <v>0</v>
      </c>
      <c r="BV7" s="21">
        <f t="shared" si="16"/>
        <v>0</v>
      </c>
      <c r="BW7" s="21">
        <f t="shared" si="17"/>
        <v>-13391388.85577083</v>
      </c>
      <c r="BX7" s="21">
        <f t="shared" si="18"/>
        <v>0</v>
      </c>
      <c r="BY7" s="21">
        <f t="shared" si="19"/>
        <v>0</v>
      </c>
      <c r="BZ7" s="21">
        <f t="shared" si="20"/>
        <v>0</v>
      </c>
      <c r="CA7" s="21">
        <f t="shared" si="21"/>
        <v>98942.613925554047</v>
      </c>
      <c r="CB7" s="21">
        <f t="shared" si="22"/>
        <v>95080.269740316013</v>
      </c>
      <c r="CC7" s="21" t="e">
        <f t="shared" si="23"/>
        <v>#VALUE!</v>
      </c>
      <c r="CD7" s="21" t="e">
        <f t="shared" si="24"/>
        <v>#VALUE!</v>
      </c>
      <c r="CE7" s="21"/>
      <c r="CF7" s="21">
        <f t="shared" si="25"/>
        <v>0</v>
      </c>
      <c r="CG7" s="21">
        <f t="shared" si="26"/>
        <v>0</v>
      </c>
      <c r="CH7" s="21">
        <f t="shared" si="27"/>
        <v>-15059201.267180014</v>
      </c>
      <c r="CI7" s="21">
        <f t="shared" si="28"/>
        <v>0</v>
      </c>
      <c r="CJ7" s="21">
        <f t="shared" si="29"/>
        <v>0</v>
      </c>
      <c r="CK7" s="21">
        <f t="shared" si="30"/>
        <v>0</v>
      </c>
      <c r="CL7" s="21">
        <f>IF(CA7&gt;0,CA7*TEA!B$17-TEA!B$24,0)</f>
        <v>19788.52278511081</v>
      </c>
      <c r="CM7" s="21">
        <f>IF(CB7&gt;0,CB7*TEA!C$17-TEA!C$24,0)</f>
        <v>19016.053948063203</v>
      </c>
      <c r="CN7" s="21" t="e">
        <f>IF(CC7&gt;0,CC7*TEA!D$17-TEA!D$24,0)</f>
        <v>#VALUE!</v>
      </c>
      <c r="CO7" s="21" t="e">
        <f>IF(CD7&gt;0,CD7*TEA!E$17-TEA!E$24,0)</f>
        <v>#VALUE!</v>
      </c>
      <c r="CP7" s="21"/>
      <c r="CQ7" s="21">
        <f>IF(CF7&gt;0,CF7*TEA!G$17-TEA!G$24,0)</f>
        <v>0</v>
      </c>
      <c r="CR7" s="21">
        <f>IF(CG7&gt;0,CG7*TEA!H$17-TEA!H$24,0)</f>
        <v>0</v>
      </c>
      <c r="CS7" s="21">
        <f>IF(CH7&gt;0,CH7*TEA!I$17-TEA!I$24,0)</f>
        <v>0</v>
      </c>
      <c r="CT7" s="21">
        <f>IF(CI7&gt;0,CI7*TEA!J$17-TEA!J$24,0)</f>
        <v>0</v>
      </c>
      <c r="CU7" s="21">
        <f>IF(CJ7&gt;0,CJ7*TEA!K$17-TEA!K$24,0)</f>
        <v>0</v>
      </c>
      <c r="CV7" s="21">
        <f>IF(CK7&gt;0,CK7*TEA!L$17-TEA!L$24,0)</f>
        <v>0</v>
      </c>
      <c r="CW7" s="21">
        <f>TEA!B$47-TEA!B$43-X7-CL7</f>
        <v>46642.936701950501</v>
      </c>
      <c r="CX7" s="21">
        <f>TEA!C$47-TEA!C$43-Y7-CM7</f>
        <v>42079.30451482191</v>
      </c>
      <c r="CY7" s="21" t="e">
        <f>TEA!D$47-TEA!D$43-Z7-CN7</f>
        <v>#VALUE!</v>
      </c>
      <c r="CZ7" s="21" t="e">
        <f>TEA!E$47-TEA!E$43-AA7-CO7</f>
        <v>#VALUE!</v>
      </c>
      <c r="DA7" s="21"/>
      <c r="DB7" s="21">
        <f>TEA!G$47-TEA!G$43-AC7-CQ7</f>
        <v>0</v>
      </c>
      <c r="DC7" s="21">
        <f>TEA!H$47-TEA!H$43-AD7-CR7</f>
        <v>0</v>
      </c>
      <c r="DD7" s="21">
        <f>TEA!I$47-TEA!I$43-AE7-CS7</f>
        <v>947735.83705415064</v>
      </c>
      <c r="DE7" s="21">
        <f>TEA!J$47-TEA!J$43-AF7-CT7</f>
        <v>0</v>
      </c>
      <c r="DF7" s="21">
        <f>TEA!K$47-TEA!K$43-AG7-CU7</f>
        <v>0</v>
      </c>
      <c r="DG7" s="21">
        <f>TEA!L$47-TEA!L$43-AH7-CV7</f>
        <v>0</v>
      </c>
      <c r="DH7" s="21">
        <f>CW7/(1+TEA!B$16)^$A7</f>
        <v>31857.753365173478</v>
      </c>
      <c r="DI7" s="21">
        <f>CX7/(1+TEA!C$16)^$A7</f>
        <v>28740.731176027526</v>
      </c>
      <c r="DJ7" s="21" t="e">
        <f>CY7/(1+TEA!D$16)^$A7</f>
        <v>#VALUE!</v>
      </c>
      <c r="DK7" s="21" t="e">
        <f>CZ7/(1+TEA!E$16)^$A7</f>
        <v>#VALUE!</v>
      </c>
      <c r="DL7" s="21"/>
      <c r="DM7" s="21">
        <f>DB7/(1+TEA!G$16)^$A7</f>
        <v>0</v>
      </c>
      <c r="DN7" s="21">
        <f>DC7/(1+TEA!H$16)^$A7</f>
        <v>0</v>
      </c>
      <c r="DO7" s="21">
        <f>DD7/(1+TEA!I$16)^$A7</f>
        <v>647316.32883966283</v>
      </c>
      <c r="DP7" s="21">
        <f>DE7/(1+TEA!J$16)^$A7</f>
        <v>0</v>
      </c>
      <c r="DQ7" s="21">
        <f>DF7/(1+TEA!K$16)^$A7</f>
        <v>0</v>
      </c>
      <c r="DR7" s="21">
        <f>DG7/(1+TEA!L$16)^$A7</f>
        <v>0</v>
      </c>
    </row>
    <row r="8" spans="1:122" x14ac:dyDescent="0.25">
      <c r="A8" s="4">
        <f t="shared" si="1"/>
        <v>5</v>
      </c>
      <c r="B8" s="21">
        <f t="shared" si="31"/>
        <v>-813060.72463447158</v>
      </c>
      <c r="C8" s="21">
        <f t="shared" si="2"/>
        <v>-821258.44814583217</v>
      </c>
      <c r="D8" s="21" t="e">
        <f t="shared" si="3"/>
        <v>#VALUE!</v>
      </c>
      <c r="E8" s="21" t="e">
        <f t="shared" si="4"/>
        <v>#VALUE!</v>
      </c>
      <c r="F8" s="21"/>
      <c r="G8" s="21">
        <f t="shared" si="5"/>
        <v>0</v>
      </c>
      <c r="H8" s="21">
        <f t="shared" si="6"/>
        <v>0</v>
      </c>
      <c r="I8" s="21">
        <f t="shared" si="7"/>
        <v>-14129202.147542885</v>
      </c>
      <c r="J8" s="21">
        <f t="shared" si="8"/>
        <v>0</v>
      </c>
      <c r="K8" s="21">
        <f t="shared" si="9"/>
        <v>0</v>
      </c>
      <c r="L8" s="21">
        <f t="shared" si="10"/>
        <v>0</v>
      </c>
      <c r="M8" s="31">
        <f>TEA!B$37*TEA!B32</f>
        <v>71478.06117137504</v>
      </c>
      <c r="N8" s="31">
        <f>TEA!C$37*TEA!C32</f>
        <v>69521.216073751915</v>
      </c>
      <c r="O8" s="31">
        <f>TEA!D$37*TEA!D32</f>
        <v>282488.71805999998</v>
      </c>
      <c r="P8" s="31">
        <f>TEA!E$37*TEA!E32</f>
        <v>47878.973999999995</v>
      </c>
      <c r="Q8" s="31"/>
      <c r="R8" s="31">
        <f>TEA!G$37*TEA!G32</f>
        <v>0</v>
      </c>
      <c r="S8" s="31">
        <f>TEA!H$37*TEA!H32</f>
        <v>0</v>
      </c>
      <c r="T8" s="31">
        <f>TEA!I$37*TEA!I32</f>
        <v>3508106.6626632852</v>
      </c>
      <c r="U8" s="31">
        <f>TEA!J$37*TEA!J32</f>
        <v>0</v>
      </c>
      <c r="V8" s="31">
        <f>TEA!K$37*TEA!K32</f>
        <v>0</v>
      </c>
      <c r="W8" s="31">
        <f>TEA!L$37*TEA!L32</f>
        <v>0</v>
      </c>
      <c r="X8" s="20">
        <f>TEA!B$39</f>
        <v>227770.14132656169</v>
      </c>
      <c r="Y8" s="20">
        <f>TEA!C$39</f>
        <v>225585.66473960926</v>
      </c>
      <c r="Z8" s="20">
        <f>TEA!D$39</f>
        <v>463326.77283027547</v>
      </c>
      <c r="AA8" s="20">
        <f>TEA!E$39</f>
        <v>201425.87245114797</v>
      </c>
      <c r="AB8" s="20"/>
      <c r="AC8" s="20">
        <f>TEA!G$39</f>
        <v>0</v>
      </c>
      <c r="AD8" s="20">
        <f>TEA!H$39</f>
        <v>0</v>
      </c>
      <c r="AE8" s="20">
        <f>TEA!I$39</f>
        <v>3961621.0816021687</v>
      </c>
      <c r="AF8" s="20">
        <f>TEA!J$39</f>
        <v>0</v>
      </c>
      <c r="AG8" s="20">
        <f>TEA!K$39</f>
        <v>0</v>
      </c>
      <c r="AH8" s="20">
        <f>TEA!L$39</f>
        <v>0</v>
      </c>
      <c r="AI8" s="21">
        <f>AT7*TEA!$B$19</f>
        <v>84236.316351690301</v>
      </c>
      <c r="AJ8" s="21">
        <f>AU7*TEA!$B$19</f>
        <v>83428.430560472552</v>
      </c>
      <c r="AK8" s="21">
        <f>AV7*TEA!$B$19</f>
        <v>171352.31327086777</v>
      </c>
      <c r="AL8" s="21">
        <f>AW7*TEA!$B$19</f>
        <v>74493.405564004206</v>
      </c>
      <c r="AM8" s="21"/>
      <c r="AN8" s="21">
        <f>AY7*TEA!$B$19</f>
        <v>0</v>
      </c>
      <c r="AO8" s="21">
        <f>AZ7*TEA!$B$19</f>
        <v>0</v>
      </c>
      <c r="AP8" s="21">
        <f>BA7*TEA!$B$19</f>
        <v>1465127.8027566886</v>
      </c>
      <c r="AQ8" s="21">
        <f>BB7*TEA!$B$19</f>
        <v>0</v>
      </c>
      <c r="AR8" s="21">
        <f>BC7*TEA!$B$19</f>
        <v>0</v>
      </c>
      <c r="AS8" s="21">
        <f>BD7*TEA!$B$19</f>
        <v>0</v>
      </c>
      <c r="AT8" s="20">
        <f t="shared" si="32"/>
        <v>909420.1294212573</v>
      </c>
      <c r="AU8" s="20">
        <f t="shared" si="33"/>
        <v>900698.1478267702</v>
      </c>
      <c r="AV8" s="20">
        <f t="shared" si="34"/>
        <v>1849929.4563264395</v>
      </c>
      <c r="AW8" s="20">
        <f t="shared" si="35"/>
        <v>804235.10266290873</v>
      </c>
      <c r="AX8" s="20"/>
      <c r="AY8" s="20">
        <f t="shared" si="36"/>
        <v>0</v>
      </c>
      <c r="AZ8" s="20">
        <f t="shared" si="37"/>
        <v>0</v>
      </c>
      <c r="BA8" s="20">
        <f t="shared" si="38"/>
        <v>15817604.255613126</v>
      </c>
      <c r="BB8" s="20">
        <f t="shared" si="39"/>
        <v>0</v>
      </c>
      <c r="BC8" s="20">
        <f t="shared" si="40"/>
        <v>0</v>
      </c>
      <c r="BD8" s="20">
        <f t="shared" si="41"/>
        <v>0</v>
      </c>
      <c r="BE8" s="21">
        <f>TEA!B$47-TEA!B$43-M8-AI8</f>
        <v>138487.22329055765</v>
      </c>
      <c r="BF8" s="21">
        <f>TEA!C$47-TEA!C$43-N8-AJ8</f>
        <v>133731.37656826992</v>
      </c>
      <c r="BG8" s="21" t="e">
        <f>TEA!D$47-TEA!D$43-O8-AK8</f>
        <v>#VALUE!</v>
      </c>
      <c r="BH8" s="21" t="e">
        <f>TEA!E$47-TEA!E$43-P8-AL8</f>
        <v>#VALUE!</v>
      </c>
      <c r="BI8" s="21"/>
      <c r="BJ8" s="21">
        <f>TEA!G$47-TEA!G$43-R8-AN8</f>
        <v>0</v>
      </c>
      <c r="BK8" s="21">
        <f>TEA!H$47-TEA!H$43-S8-AO8</f>
        <v>0</v>
      </c>
      <c r="BL8" s="21">
        <f>TEA!I$47-TEA!I$43-T8-AP8</f>
        <v>-63877.546763654333</v>
      </c>
      <c r="BM8" s="21">
        <f>TEA!J$47-TEA!J$43-U8-AQ8</f>
        <v>0</v>
      </c>
      <c r="BN8" s="21">
        <f>TEA!K$47-TEA!K$43-V8-AR8</f>
        <v>0</v>
      </c>
      <c r="BO8" s="21">
        <f>TEA!L$47-TEA!L$43-W8-AS8</f>
        <v>0</v>
      </c>
      <c r="BP8" s="21">
        <f t="shared" si="11"/>
        <v>0</v>
      </c>
      <c r="BQ8" s="21">
        <f t="shared" si="12"/>
        <v>0</v>
      </c>
      <c r="BR8" s="21" t="e">
        <f t="shared" si="13"/>
        <v>#VALUE!</v>
      </c>
      <c r="BS8" s="21" t="e">
        <f t="shared" si="14"/>
        <v>#VALUE!</v>
      </c>
      <c r="BT8" s="21"/>
      <c r="BU8" s="21">
        <f t="shared" si="15"/>
        <v>0</v>
      </c>
      <c r="BV8" s="21">
        <f t="shared" si="16"/>
        <v>0</v>
      </c>
      <c r="BW8" s="21">
        <f t="shared" si="17"/>
        <v>-15059201.267180014</v>
      </c>
      <c r="BX8" s="21">
        <f t="shared" si="18"/>
        <v>0</v>
      </c>
      <c r="BY8" s="21">
        <f t="shared" si="19"/>
        <v>0</v>
      </c>
      <c r="BZ8" s="21">
        <f t="shared" si="20"/>
        <v>0</v>
      </c>
      <c r="CA8" s="21">
        <f t="shared" si="21"/>
        <v>138487.22329055765</v>
      </c>
      <c r="CB8" s="21">
        <f t="shared" si="22"/>
        <v>133731.37656826992</v>
      </c>
      <c r="CC8" s="21" t="e">
        <f t="shared" si="23"/>
        <v>#VALUE!</v>
      </c>
      <c r="CD8" s="21" t="e">
        <f t="shared" si="24"/>
        <v>#VALUE!</v>
      </c>
      <c r="CE8" s="21"/>
      <c r="CF8" s="21">
        <f t="shared" si="25"/>
        <v>0</v>
      </c>
      <c r="CG8" s="21">
        <f t="shared" si="26"/>
        <v>0</v>
      </c>
      <c r="CH8" s="21">
        <f t="shared" si="27"/>
        <v>-15123078.813943669</v>
      </c>
      <c r="CI8" s="21">
        <f t="shared" si="28"/>
        <v>0</v>
      </c>
      <c r="CJ8" s="21">
        <f t="shared" si="29"/>
        <v>0</v>
      </c>
      <c r="CK8" s="21">
        <f t="shared" si="30"/>
        <v>0</v>
      </c>
      <c r="CL8" s="21">
        <f>IF(CA8&gt;0,CA8*TEA!B$17-TEA!B$24,0)</f>
        <v>27697.444658111533</v>
      </c>
      <c r="CM8" s="21">
        <f>IF(CB8&gt;0,CB8*TEA!C$17-TEA!C$24,0)</f>
        <v>26746.275313653983</v>
      </c>
      <c r="CN8" s="21" t="e">
        <f>IF(CC8&gt;0,CC8*TEA!D$17-TEA!D$24,0)</f>
        <v>#VALUE!</v>
      </c>
      <c r="CO8" s="21" t="e">
        <f>IF(CD8&gt;0,CD8*TEA!E$17-TEA!E$24,0)</f>
        <v>#VALUE!</v>
      </c>
      <c r="CP8" s="21"/>
      <c r="CQ8" s="21">
        <f>IF(CF8&gt;0,CF8*TEA!G$17-TEA!G$24,0)</f>
        <v>0</v>
      </c>
      <c r="CR8" s="21">
        <f>IF(CG8&gt;0,CG8*TEA!H$17-TEA!H$24,0)</f>
        <v>0</v>
      </c>
      <c r="CS8" s="21">
        <f>IF(CH8&gt;0,CH8*TEA!I$17-TEA!I$24,0)</f>
        <v>0</v>
      </c>
      <c r="CT8" s="21">
        <f>IF(CI8&gt;0,CI8*TEA!J$17-TEA!J$24,0)</f>
        <v>0</v>
      </c>
      <c r="CU8" s="21">
        <f>IF(CJ8&gt;0,CJ8*TEA!K$17-TEA!K$24,0)</f>
        <v>0</v>
      </c>
      <c r="CV8" s="21">
        <f>IF(CK8&gt;0,CK8*TEA!L$17-TEA!L$24,0)</f>
        <v>0</v>
      </c>
      <c r="CW8" s="21">
        <f>TEA!B$47-TEA!B$43-X8-CL8</f>
        <v>38734.014828949774</v>
      </c>
      <c r="CX8" s="21">
        <f>TEA!C$47-TEA!C$43-Y8-CM8</f>
        <v>34349.083149231126</v>
      </c>
      <c r="CY8" s="21" t="e">
        <f>TEA!D$47-TEA!D$43-Z8-CN8</f>
        <v>#VALUE!</v>
      </c>
      <c r="CZ8" s="21" t="e">
        <f>TEA!E$47-TEA!E$43-AA8-CO8</f>
        <v>#VALUE!</v>
      </c>
      <c r="DA8" s="21"/>
      <c r="DB8" s="21">
        <f>TEA!G$47-TEA!G$43-AC8-CQ8</f>
        <v>0</v>
      </c>
      <c r="DC8" s="21">
        <f>TEA!H$47-TEA!H$43-AD8-CR8</f>
        <v>0</v>
      </c>
      <c r="DD8" s="21">
        <f>TEA!I$47-TEA!I$43-AE8-CS8</f>
        <v>947735.83705415064</v>
      </c>
      <c r="DE8" s="21">
        <f>TEA!J$47-TEA!J$43-AF8-CT8</f>
        <v>0</v>
      </c>
      <c r="DF8" s="21">
        <f>TEA!K$47-TEA!K$43-AG8-CU8</f>
        <v>0</v>
      </c>
      <c r="DG8" s="21">
        <f>TEA!L$47-TEA!L$43-AH8-CV8</f>
        <v>0</v>
      </c>
      <c r="DH8" s="21">
        <f>CW8/(1+TEA!B$16)^$A8</f>
        <v>24050.775734984421</v>
      </c>
      <c r="DI8" s="21">
        <f>CX8/(1+TEA!C$16)^$A8</f>
        <v>21328.078154889517</v>
      </c>
      <c r="DJ8" s="21" t="e">
        <f>CY8/(1+TEA!D$16)^$A8</f>
        <v>#VALUE!</v>
      </c>
      <c r="DK8" s="21" t="e">
        <f>CZ8/(1+TEA!E$16)^$A8</f>
        <v>#VALUE!</v>
      </c>
      <c r="DL8" s="21"/>
      <c r="DM8" s="21">
        <f>DB8/(1+TEA!G$16)^$A8</f>
        <v>0</v>
      </c>
      <c r="DN8" s="21">
        <f>DC8/(1+TEA!H$16)^$A8</f>
        <v>0</v>
      </c>
      <c r="DO8" s="21">
        <f>DD8/(1+TEA!I$16)^$A8</f>
        <v>588469.38985423895</v>
      </c>
      <c r="DP8" s="21">
        <f>DE8/(1+TEA!J$16)^$A8</f>
        <v>0</v>
      </c>
      <c r="DQ8" s="21">
        <f>DF8/(1+TEA!K$16)^$A8</f>
        <v>0</v>
      </c>
      <c r="DR8" s="21">
        <f>DG8/(1+TEA!L$16)^$A8</f>
        <v>0</v>
      </c>
    </row>
    <row r="9" spans="1:122" x14ac:dyDescent="0.25">
      <c r="A9" s="4">
        <f t="shared" si="1"/>
        <v>6</v>
      </c>
      <c r="B9" s="21">
        <f t="shared" si="31"/>
        <v>-792492.72069368046</v>
      </c>
      <c r="C9" s="21">
        <f t="shared" si="2"/>
        <v>-803153.19102944445</v>
      </c>
      <c r="D9" s="21" t="e">
        <f t="shared" si="3"/>
        <v>#VALUE!</v>
      </c>
      <c r="E9" s="21" t="e">
        <f t="shared" si="4"/>
        <v>#VALUE!</v>
      </c>
      <c r="F9" s="21"/>
      <c r="G9" s="21">
        <f t="shared" si="5"/>
        <v>0</v>
      </c>
      <c r="H9" s="21">
        <f t="shared" si="6"/>
        <v>0</v>
      </c>
      <c r="I9" s="21">
        <f t="shared" si="7"/>
        <v>-13594229.974948121</v>
      </c>
      <c r="J9" s="21">
        <f t="shared" si="8"/>
        <v>0</v>
      </c>
      <c r="K9" s="21">
        <f t="shared" si="9"/>
        <v>0</v>
      </c>
      <c r="L9" s="21">
        <f t="shared" si="10"/>
        <v>0</v>
      </c>
      <c r="M9" s="31">
        <f>TEA!B$37*TEA!B33</f>
        <v>71478.06117137504</v>
      </c>
      <c r="N9" s="31">
        <f>TEA!C$37*TEA!C33</f>
        <v>69521.216073751915</v>
      </c>
      <c r="O9" s="31">
        <f>TEA!D$37*TEA!D33</f>
        <v>282488.71805999998</v>
      </c>
      <c r="P9" s="31">
        <f>TEA!E$37*TEA!E33</f>
        <v>47878.973999999995</v>
      </c>
      <c r="Q9" s="31"/>
      <c r="R9" s="31">
        <f>TEA!G$37*TEA!G33</f>
        <v>0</v>
      </c>
      <c r="S9" s="31">
        <f>TEA!H$37*TEA!H33</f>
        <v>0</v>
      </c>
      <c r="T9" s="31">
        <f>TEA!I$37*TEA!I33</f>
        <v>3508106.6626632852</v>
      </c>
      <c r="U9" s="31">
        <f>TEA!J$37*TEA!J33</f>
        <v>0</v>
      </c>
      <c r="V9" s="31">
        <f>TEA!K$37*TEA!K33</f>
        <v>0</v>
      </c>
      <c r="W9" s="31">
        <f>TEA!L$37*TEA!L33</f>
        <v>0</v>
      </c>
      <c r="X9" s="20">
        <f>TEA!B$39</f>
        <v>227770.14132656169</v>
      </c>
      <c r="Y9" s="20">
        <f>TEA!C$39</f>
        <v>225585.66473960926</v>
      </c>
      <c r="Z9" s="20">
        <f>TEA!D$39</f>
        <v>463326.77283027547</v>
      </c>
      <c r="AA9" s="20">
        <f>TEA!E$39</f>
        <v>201425.87245114797</v>
      </c>
      <c r="AB9" s="20"/>
      <c r="AC9" s="20">
        <f>TEA!G$39</f>
        <v>0</v>
      </c>
      <c r="AD9" s="20">
        <f>TEA!H$39</f>
        <v>0</v>
      </c>
      <c r="AE9" s="20">
        <f>TEA!I$39</f>
        <v>3961621.0816021687</v>
      </c>
      <c r="AF9" s="20">
        <f>TEA!J$39</f>
        <v>0</v>
      </c>
      <c r="AG9" s="20">
        <f>TEA!K$39</f>
        <v>0</v>
      </c>
      <c r="AH9" s="20">
        <f>TEA!L$39</f>
        <v>0</v>
      </c>
      <c r="AI9" s="21">
        <f>AT8*TEA!$B$19</f>
        <v>72753.610353700584</v>
      </c>
      <c r="AJ9" s="21">
        <f>AU8*TEA!$B$19</f>
        <v>72055.851826141617</v>
      </c>
      <c r="AK9" s="21">
        <f>AV8*TEA!$B$19</f>
        <v>147994.35650611517</v>
      </c>
      <c r="AL9" s="21">
        <f>AW8*TEA!$B$19</f>
        <v>64338.808213032702</v>
      </c>
      <c r="AM9" s="21"/>
      <c r="AN9" s="21">
        <f>AY8*TEA!$B$19</f>
        <v>0</v>
      </c>
      <c r="AO9" s="21">
        <f>AZ8*TEA!$B$19</f>
        <v>0</v>
      </c>
      <c r="AP9" s="21">
        <f>BA8*TEA!$B$19</f>
        <v>1265408.3404490501</v>
      </c>
      <c r="AQ9" s="21">
        <f>BB8*TEA!$B$19</f>
        <v>0</v>
      </c>
      <c r="AR9" s="21">
        <f>BC8*TEA!$B$19</f>
        <v>0</v>
      </c>
      <c r="AS9" s="21">
        <f>BD8*TEA!$B$19</f>
        <v>0</v>
      </c>
      <c r="AT9" s="20">
        <f t="shared" si="32"/>
        <v>754403.59844839619</v>
      </c>
      <c r="AU9" s="20">
        <f t="shared" si="33"/>
        <v>747168.33491330256</v>
      </c>
      <c r="AV9" s="20">
        <f t="shared" si="34"/>
        <v>1534597.0400022794</v>
      </c>
      <c r="AW9" s="20">
        <f t="shared" si="35"/>
        <v>667148.0384247934</v>
      </c>
      <c r="AX9" s="20"/>
      <c r="AY9" s="20">
        <f t="shared" si="36"/>
        <v>0</v>
      </c>
      <c r="AZ9" s="20">
        <f t="shared" si="37"/>
        <v>0</v>
      </c>
      <c r="BA9" s="20">
        <f t="shared" si="38"/>
        <v>13121391.514460007</v>
      </c>
      <c r="BB9" s="20">
        <f t="shared" si="39"/>
        <v>0</v>
      </c>
      <c r="BC9" s="20">
        <f t="shared" si="40"/>
        <v>0</v>
      </c>
      <c r="BD9" s="20">
        <f t="shared" si="41"/>
        <v>0</v>
      </c>
      <c r="BE9" s="21">
        <f>TEA!B$47-TEA!B$43-M9-AI9</f>
        <v>149969.92928854737</v>
      </c>
      <c r="BF9" s="21">
        <f>TEA!C$47-TEA!C$43-N9-AJ9</f>
        <v>145103.95530260084</v>
      </c>
      <c r="BG9" s="21" t="e">
        <f>TEA!D$47-TEA!D$43-O9-AK9</f>
        <v>#VALUE!</v>
      </c>
      <c r="BH9" s="21" t="e">
        <f>TEA!E$47-TEA!E$43-P9-AL9</f>
        <v>#VALUE!</v>
      </c>
      <c r="BI9" s="21"/>
      <c r="BJ9" s="21">
        <f>TEA!G$47-TEA!G$43-R9-AN9</f>
        <v>0</v>
      </c>
      <c r="BK9" s="21">
        <f>TEA!H$47-TEA!H$43-S9-AO9</f>
        <v>0</v>
      </c>
      <c r="BL9" s="21">
        <f>TEA!I$47-TEA!I$43-T9-AP9</f>
        <v>135841.91554398416</v>
      </c>
      <c r="BM9" s="21">
        <f>TEA!J$47-TEA!J$43-U9-AQ9</f>
        <v>0</v>
      </c>
      <c r="BN9" s="21">
        <f>TEA!K$47-TEA!K$43-V9-AR9</f>
        <v>0</v>
      </c>
      <c r="BO9" s="21">
        <f>TEA!L$47-TEA!L$43-W9-AS9</f>
        <v>0</v>
      </c>
      <c r="BP9" s="21">
        <f t="shared" si="11"/>
        <v>0</v>
      </c>
      <c r="BQ9" s="21">
        <f t="shared" si="12"/>
        <v>0</v>
      </c>
      <c r="BR9" s="21" t="e">
        <f t="shared" si="13"/>
        <v>#VALUE!</v>
      </c>
      <c r="BS9" s="21" t="e">
        <f t="shared" si="14"/>
        <v>#VALUE!</v>
      </c>
      <c r="BT9" s="21"/>
      <c r="BU9" s="21">
        <f t="shared" si="15"/>
        <v>0</v>
      </c>
      <c r="BV9" s="21">
        <f t="shared" si="16"/>
        <v>0</v>
      </c>
      <c r="BW9" s="21">
        <f t="shared" si="17"/>
        <v>-15123078.813943669</v>
      </c>
      <c r="BX9" s="21">
        <f t="shared" si="18"/>
        <v>0</v>
      </c>
      <c r="BY9" s="21">
        <f t="shared" si="19"/>
        <v>0</v>
      </c>
      <c r="BZ9" s="21">
        <f t="shared" si="20"/>
        <v>0</v>
      </c>
      <c r="CA9" s="21">
        <f t="shared" si="21"/>
        <v>149969.92928854737</v>
      </c>
      <c r="CB9" s="21">
        <f t="shared" si="22"/>
        <v>145103.95530260084</v>
      </c>
      <c r="CC9" s="21" t="e">
        <f t="shared" si="23"/>
        <v>#VALUE!</v>
      </c>
      <c r="CD9" s="21" t="e">
        <f t="shared" si="24"/>
        <v>#VALUE!</v>
      </c>
      <c r="CE9" s="21"/>
      <c r="CF9" s="21">
        <f t="shared" si="25"/>
        <v>0</v>
      </c>
      <c r="CG9" s="21">
        <f t="shared" si="26"/>
        <v>0</v>
      </c>
      <c r="CH9" s="21">
        <f t="shared" si="27"/>
        <v>-14987236.898399685</v>
      </c>
      <c r="CI9" s="21">
        <f t="shared" si="28"/>
        <v>0</v>
      </c>
      <c r="CJ9" s="21">
        <f t="shared" si="29"/>
        <v>0</v>
      </c>
      <c r="CK9" s="21">
        <f t="shared" si="30"/>
        <v>0</v>
      </c>
      <c r="CL9" s="21">
        <f>IF(CA9&gt;0,CA9*TEA!B$17-TEA!B$24,0)</f>
        <v>29993.985857709475</v>
      </c>
      <c r="CM9" s="21">
        <f>IF(CB9&gt;0,CB9*TEA!C$17-TEA!C$24,0)</f>
        <v>29020.791060520169</v>
      </c>
      <c r="CN9" s="21" t="e">
        <f>IF(CC9&gt;0,CC9*TEA!D$17-TEA!D$24,0)</f>
        <v>#VALUE!</v>
      </c>
      <c r="CO9" s="21" t="e">
        <f>IF(CD9&gt;0,CD9*TEA!E$17-TEA!E$24,0)</f>
        <v>#VALUE!</v>
      </c>
      <c r="CP9" s="21"/>
      <c r="CQ9" s="21">
        <f>IF(CF9&gt;0,CF9*TEA!G$17-TEA!G$24,0)</f>
        <v>0</v>
      </c>
      <c r="CR9" s="21">
        <f>IF(CG9&gt;0,CG9*TEA!H$17-TEA!H$24,0)</f>
        <v>0</v>
      </c>
      <c r="CS9" s="21">
        <f>IF(CH9&gt;0,CH9*TEA!I$17-TEA!I$24,0)</f>
        <v>0</v>
      </c>
      <c r="CT9" s="21">
        <f>IF(CI9&gt;0,CI9*TEA!J$17-TEA!J$24,0)</f>
        <v>0</v>
      </c>
      <c r="CU9" s="21">
        <f>IF(CJ9&gt;0,CJ9*TEA!K$17-TEA!K$24,0)</f>
        <v>0</v>
      </c>
      <c r="CV9" s="21">
        <f>IF(CK9&gt;0,CK9*TEA!L$17-TEA!L$24,0)</f>
        <v>0</v>
      </c>
      <c r="CW9" s="21">
        <f>TEA!B$47-TEA!B$43-X9-CL9</f>
        <v>36437.473629351836</v>
      </c>
      <c r="CX9" s="21">
        <f>TEA!C$47-TEA!C$43-Y9-CM9</f>
        <v>32074.567402364941</v>
      </c>
      <c r="CY9" s="21" t="e">
        <f>TEA!D$47-TEA!D$43-Z9-CN9</f>
        <v>#VALUE!</v>
      </c>
      <c r="CZ9" s="21" t="e">
        <f>TEA!E$47-TEA!E$43-AA9-CO9</f>
        <v>#VALUE!</v>
      </c>
      <c r="DA9" s="21"/>
      <c r="DB9" s="21">
        <f>TEA!G$47-TEA!G$43-AC9-CQ9</f>
        <v>0</v>
      </c>
      <c r="DC9" s="21">
        <f>TEA!H$47-TEA!H$43-AD9-CR9</f>
        <v>0</v>
      </c>
      <c r="DD9" s="21">
        <f>TEA!I$47-TEA!I$43-AE9-CS9</f>
        <v>947735.83705415064</v>
      </c>
      <c r="DE9" s="21">
        <f>TEA!J$47-TEA!J$43-AF9-CT9</f>
        <v>0</v>
      </c>
      <c r="DF9" s="21">
        <f>TEA!K$47-TEA!K$43-AG9-CU9</f>
        <v>0</v>
      </c>
      <c r="DG9" s="21">
        <f>TEA!L$47-TEA!L$43-AH9-CV9</f>
        <v>0</v>
      </c>
      <c r="DH9" s="21">
        <f>CW9/(1+TEA!B$16)^$A9</f>
        <v>20568.003940791099</v>
      </c>
      <c r="DI9" s="21">
        <f>CX9/(1+TEA!C$16)^$A9</f>
        <v>18105.257116387707</v>
      </c>
      <c r="DJ9" s="21" t="e">
        <f>CY9/(1+TEA!D$16)^$A9</f>
        <v>#VALUE!</v>
      </c>
      <c r="DK9" s="21" t="e">
        <f>CZ9/(1+TEA!E$16)^$A9</f>
        <v>#VALUE!</v>
      </c>
      <c r="DL9" s="21"/>
      <c r="DM9" s="21">
        <f>DB9/(1+TEA!G$16)^$A9</f>
        <v>0</v>
      </c>
      <c r="DN9" s="21">
        <f>DC9/(1+TEA!H$16)^$A9</f>
        <v>0</v>
      </c>
      <c r="DO9" s="21">
        <f>DD9/(1+TEA!I$16)^$A9</f>
        <v>534972.17259476264</v>
      </c>
      <c r="DP9" s="21">
        <f>DE9/(1+TEA!J$16)^$A9</f>
        <v>0</v>
      </c>
      <c r="DQ9" s="21">
        <f>DF9/(1+TEA!K$16)^$A9</f>
        <v>0</v>
      </c>
      <c r="DR9" s="21">
        <f>DG9/(1+TEA!L$16)^$A9</f>
        <v>0</v>
      </c>
    </row>
    <row r="10" spans="1:122" x14ac:dyDescent="0.25">
      <c r="A10" s="4">
        <f t="shared" si="1"/>
        <v>7</v>
      </c>
      <c r="B10" s="21">
        <f t="shared" si="31"/>
        <v>-775067.30315422022</v>
      </c>
      <c r="C10" s="21">
        <f t="shared" si="2"/>
        <v>-787954.4274963747</v>
      </c>
      <c r="D10" s="21" t="e">
        <f t="shared" si="3"/>
        <v>#VALUE!</v>
      </c>
      <c r="E10" s="21" t="e">
        <f t="shared" si="4"/>
        <v>#VALUE!</v>
      </c>
      <c r="F10" s="21"/>
      <c r="G10" s="21">
        <f t="shared" si="5"/>
        <v>0</v>
      </c>
      <c r="H10" s="21">
        <f t="shared" si="6"/>
        <v>0</v>
      </c>
      <c r="I10" s="21">
        <f t="shared" si="7"/>
        <v>-13107891.636225609</v>
      </c>
      <c r="J10" s="21">
        <f t="shared" si="8"/>
        <v>0</v>
      </c>
      <c r="K10" s="21">
        <f t="shared" si="9"/>
        <v>0</v>
      </c>
      <c r="L10" s="21">
        <f t="shared" si="10"/>
        <v>0</v>
      </c>
      <c r="M10" s="31">
        <f>TEA!B$37*TEA!B34</f>
        <v>71478.06117137504</v>
      </c>
      <c r="N10" s="31">
        <f>TEA!C$37*TEA!C34</f>
        <v>69521.216073751915</v>
      </c>
      <c r="O10" s="31">
        <f>TEA!D$37*TEA!D34</f>
        <v>282488.71805999998</v>
      </c>
      <c r="P10" s="31">
        <f>TEA!E$37*TEA!E34</f>
        <v>47878.973999999995</v>
      </c>
      <c r="Q10" s="31"/>
      <c r="R10" s="31">
        <f>TEA!G$37*TEA!G34</f>
        <v>0</v>
      </c>
      <c r="S10" s="31">
        <f>TEA!H$37*TEA!H34</f>
        <v>0</v>
      </c>
      <c r="T10" s="31">
        <f>TEA!I$37*TEA!I34</f>
        <v>3508106.6626632852</v>
      </c>
      <c r="U10" s="31">
        <f>TEA!J$37*TEA!J34</f>
        <v>0</v>
      </c>
      <c r="V10" s="31">
        <f>TEA!K$37*TEA!K34</f>
        <v>0</v>
      </c>
      <c r="W10" s="31">
        <f>TEA!L$37*TEA!L34</f>
        <v>0</v>
      </c>
      <c r="X10" s="20">
        <f>TEA!B$39</f>
        <v>227770.14132656169</v>
      </c>
      <c r="Y10" s="20">
        <f>TEA!C$39</f>
        <v>225585.66473960926</v>
      </c>
      <c r="Z10" s="20">
        <f>TEA!D$39</f>
        <v>463326.77283027547</v>
      </c>
      <c r="AA10" s="20">
        <f>TEA!E$39</f>
        <v>201425.87245114797</v>
      </c>
      <c r="AB10" s="20"/>
      <c r="AC10" s="20">
        <f>TEA!G$39</f>
        <v>0</v>
      </c>
      <c r="AD10" s="20">
        <f>TEA!H$39</f>
        <v>0</v>
      </c>
      <c r="AE10" s="20">
        <f>TEA!I$39</f>
        <v>3961621.0816021687</v>
      </c>
      <c r="AF10" s="20">
        <f>TEA!J$39</f>
        <v>0</v>
      </c>
      <c r="AG10" s="20">
        <f>TEA!K$39</f>
        <v>0</v>
      </c>
      <c r="AH10" s="20">
        <f>TEA!L$39</f>
        <v>0</v>
      </c>
      <c r="AI10" s="21">
        <f>AT9*TEA!$B$19</f>
        <v>60352.287875871698</v>
      </c>
      <c r="AJ10" s="21">
        <f>AU9*TEA!$B$19</f>
        <v>59773.466793064203</v>
      </c>
      <c r="AK10" s="21">
        <f>AV9*TEA!$B$19</f>
        <v>122767.76320018235</v>
      </c>
      <c r="AL10" s="21">
        <f>AW9*TEA!$B$19</f>
        <v>53371.843073983473</v>
      </c>
      <c r="AM10" s="21"/>
      <c r="AN10" s="21">
        <f>AY9*TEA!$B$19</f>
        <v>0</v>
      </c>
      <c r="AO10" s="21">
        <f>AZ9*TEA!$B$19</f>
        <v>0</v>
      </c>
      <c r="AP10" s="21">
        <f>BA9*TEA!$B$19</f>
        <v>1049711.3211568005</v>
      </c>
      <c r="AQ10" s="21">
        <f>BB9*TEA!$B$19</f>
        <v>0</v>
      </c>
      <c r="AR10" s="21">
        <f>BC9*TEA!$B$19</f>
        <v>0</v>
      </c>
      <c r="AS10" s="21">
        <f>BD9*TEA!$B$19</f>
        <v>0</v>
      </c>
      <c r="AT10" s="20">
        <f t="shared" si="32"/>
        <v>586985.74499770626</v>
      </c>
      <c r="AU10" s="20">
        <f t="shared" si="33"/>
        <v>581356.13696675748</v>
      </c>
      <c r="AV10" s="20">
        <f t="shared" si="34"/>
        <v>1194038.0303721866</v>
      </c>
      <c r="AW10" s="20">
        <f t="shared" si="35"/>
        <v>519094.00904762885</v>
      </c>
      <c r="AX10" s="20"/>
      <c r="AY10" s="20">
        <f t="shared" si="36"/>
        <v>0</v>
      </c>
      <c r="AZ10" s="20">
        <f t="shared" si="37"/>
        <v>0</v>
      </c>
      <c r="BA10" s="20">
        <f t="shared" si="38"/>
        <v>10209481.754014637</v>
      </c>
      <c r="BB10" s="20">
        <f t="shared" si="39"/>
        <v>0</v>
      </c>
      <c r="BC10" s="20">
        <f t="shared" si="40"/>
        <v>0</v>
      </c>
      <c r="BD10" s="20">
        <f t="shared" si="41"/>
        <v>0</v>
      </c>
      <c r="BE10" s="21">
        <f>TEA!B$47-TEA!B$43-M10-AI10</f>
        <v>162371.25176637626</v>
      </c>
      <c r="BF10" s="21">
        <f>TEA!C$47-TEA!C$43-N10-AJ10</f>
        <v>157386.34033567825</v>
      </c>
      <c r="BG10" s="21" t="e">
        <f>TEA!D$47-TEA!D$43-O10-AK10</f>
        <v>#VALUE!</v>
      </c>
      <c r="BH10" s="21" t="e">
        <f>TEA!E$47-TEA!E$43-P10-AL10</f>
        <v>#VALUE!</v>
      </c>
      <c r="BI10" s="21"/>
      <c r="BJ10" s="21">
        <f>TEA!G$47-TEA!G$43-R10-AN10</f>
        <v>0</v>
      </c>
      <c r="BK10" s="21">
        <f>TEA!H$47-TEA!H$43-S10-AO10</f>
        <v>0</v>
      </c>
      <c r="BL10" s="21">
        <f>TEA!I$47-TEA!I$43-T10-AP10</f>
        <v>351538.93483623373</v>
      </c>
      <c r="BM10" s="21">
        <f>TEA!J$47-TEA!J$43-U10-AQ10</f>
        <v>0</v>
      </c>
      <c r="BN10" s="21">
        <f>TEA!K$47-TEA!K$43-V10-AR10</f>
        <v>0</v>
      </c>
      <c r="BO10" s="21">
        <f>TEA!L$47-TEA!L$43-W10-AS10</f>
        <v>0</v>
      </c>
      <c r="BP10" s="21">
        <f t="shared" si="11"/>
        <v>0</v>
      </c>
      <c r="BQ10" s="21">
        <f t="shared" si="12"/>
        <v>0</v>
      </c>
      <c r="BR10" s="21" t="e">
        <f t="shared" si="13"/>
        <v>#VALUE!</v>
      </c>
      <c r="BS10" s="21" t="e">
        <f t="shared" si="14"/>
        <v>#VALUE!</v>
      </c>
      <c r="BT10" s="21"/>
      <c r="BU10" s="21">
        <f t="shared" si="15"/>
        <v>0</v>
      </c>
      <c r="BV10" s="21">
        <f t="shared" si="16"/>
        <v>0</v>
      </c>
      <c r="BW10" s="21">
        <f t="shared" si="17"/>
        <v>-14987236.898399685</v>
      </c>
      <c r="BX10" s="21">
        <f t="shared" si="18"/>
        <v>0</v>
      </c>
      <c r="BY10" s="21">
        <f t="shared" si="19"/>
        <v>0</v>
      </c>
      <c r="BZ10" s="21">
        <f t="shared" si="20"/>
        <v>0</v>
      </c>
      <c r="CA10" s="21">
        <f t="shared" si="21"/>
        <v>162371.25176637626</v>
      </c>
      <c r="CB10" s="21">
        <f t="shared" si="22"/>
        <v>157386.34033567825</v>
      </c>
      <c r="CC10" s="21" t="e">
        <f t="shared" si="23"/>
        <v>#VALUE!</v>
      </c>
      <c r="CD10" s="21" t="e">
        <f t="shared" si="24"/>
        <v>#VALUE!</v>
      </c>
      <c r="CE10" s="21"/>
      <c r="CF10" s="21">
        <f t="shared" si="25"/>
        <v>0</v>
      </c>
      <c r="CG10" s="21">
        <f t="shared" si="26"/>
        <v>0</v>
      </c>
      <c r="CH10" s="21">
        <f t="shared" si="27"/>
        <v>-14635697.963563452</v>
      </c>
      <c r="CI10" s="21">
        <f t="shared" si="28"/>
        <v>0</v>
      </c>
      <c r="CJ10" s="21">
        <f t="shared" si="29"/>
        <v>0</v>
      </c>
      <c r="CK10" s="21">
        <f t="shared" si="30"/>
        <v>0</v>
      </c>
      <c r="CL10" s="21">
        <f>IF(CA10&gt;0,CA10*TEA!B$17-TEA!B$24,0)</f>
        <v>32474.250353275253</v>
      </c>
      <c r="CM10" s="21">
        <f>IF(CB10&gt;0,CB10*TEA!C$17-TEA!C$24,0)</f>
        <v>31477.26806713565</v>
      </c>
      <c r="CN10" s="21" t="e">
        <f>IF(CC10&gt;0,CC10*TEA!D$17-TEA!D$24,0)</f>
        <v>#VALUE!</v>
      </c>
      <c r="CO10" s="21" t="e">
        <f>IF(CD10&gt;0,CD10*TEA!E$17-TEA!E$24,0)</f>
        <v>#VALUE!</v>
      </c>
      <c r="CP10" s="21"/>
      <c r="CQ10" s="21">
        <f>IF(CF10&gt;0,CF10*TEA!G$17-TEA!G$24,0)</f>
        <v>0</v>
      </c>
      <c r="CR10" s="21">
        <f>IF(CG10&gt;0,CG10*TEA!H$17-TEA!H$24,0)</f>
        <v>0</v>
      </c>
      <c r="CS10" s="21">
        <f>IF(CH10&gt;0,CH10*TEA!I$17-TEA!I$24,0)</f>
        <v>0</v>
      </c>
      <c r="CT10" s="21">
        <f>IF(CI10&gt;0,CI10*TEA!J$17-TEA!J$24,0)</f>
        <v>0</v>
      </c>
      <c r="CU10" s="21">
        <f>IF(CJ10&gt;0,CJ10*TEA!K$17-TEA!K$24,0)</f>
        <v>0</v>
      </c>
      <c r="CV10" s="21">
        <f>IF(CK10&gt;0,CK10*TEA!L$17-TEA!L$24,0)</f>
        <v>0</v>
      </c>
      <c r="CW10" s="21">
        <f>TEA!B$47-TEA!B$43-X10-CL10</f>
        <v>33957.209133786055</v>
      </c>
      <c r="CX10" s="21">
        <f>TEA!C$47-TEA!C$43-Y10-CM10</f>
        <v>29618.090395749459</v>
      </c>
      <c r="CY10" s="21" t="e">
        <f>TEA!D$47-TEA!D$43-Z10-CN10</f>
        <v>#VALUE!</v>
      </c>
      <c r="CZ10" s="21" t="e">
        <f>TEA!E$47-TEA!E$43-AA10-CO10</f>
        <v>#VALUE!</v>
      </c>
      <c r="DA10" s="21"/>
      <c r="DB10" s="21">
        <f>TEA!G$47-TEA!G$43-AC10-CQ10</f>
        <v>0</v>
      </c>
      <c r="DC10" s="21">
        <f>TEA!H$47-TEA!H$43-AD10-CR10</f>
        <v>0</v>
      </c>
      <c r="DD10" s="21">
        <f>TEA!I$47-TEA!I$43-AE10-CS10</f>
        <v>947735.83705415064</v>
      </c>
      <c r="DE10" s="21">
        <f>TEA!J$47-TEA!J$43-AF10-CT10</f>
        <v>0</v>
      </c>
      <c r="DF10" s="21">
        <f>TEA!K$47-TEA!K$43-AG10-CU10</f>
        <v>0</v>
      </c>
      <c r="DG10" s="21">
        <f>TEA!L$47-TEA!L$43-AH10-CV10</f>
        <v>0</v>
      </c>
      <c r="DH10" s="21">
        <f>CW10/(1+TEA!B$16)^$A10</f>
        <v>17425.41753946021</v>
      </c>
      <c r="DI10" s="21">
        <f>CX10/(1+TEA!C$16)^$A10</f>
        <v>15198.763533069752</v>
      </c>
      <c r="DJ10" s="21" t="e">
        <f>CY10/(1+TEA!D$16)^$A10</f>
        <v>#VALUE!</v>
      </c>
      <c r="DK10" s="21" t="e">
        <f>CZ10/(1+TEA!E$16)^$A10</f>
        <v>#VALUE!</v>
      </c>
      <c r="DL10" s="21"/>
      <c r="DM10" s="21">
        <f>DB10/(1+TEA!G$16)^$A10</f>
        <v>0</v>
      </c>
      <c r="DN10" s="21">
        <f>DC10/(1+TEA!H$16)^$A10</f>
        <v>0</v>
      </c>
      <c r="DO10" s="21">
        <f>DD10/(1+TEA!I$16)^$A10</f>
        <v>486338.33872251137</v>
      </c>
      <c r="DP10" s="21">
        <f>DE10/(1+TEA!J$16)^$A10</f>
        <v>0</v>
      </c>
      <c r="DQ10" s="21">
        <f>DF10/(1+TEA!K$16)^$A10</f>
        <v>0</v>
      </c>
      <c r="DR10" s="21">
        <f>DG10/(1+TEA!L$16)^$A10</f>
        <v>0</v>
      </c>
    </row>
    <row r="11" spans="1:122" x14ac:dyDescent="0.25">
      <c r="A11" s="4">
        <f t="shared" si="1"/>
        <v>8</v>
      </c>
      <c r="B11" s="21">
        <f t="shared" si="31"/>
        <v>-763772.67907483818</v>
      </c>
      <c r="C11" s="21">
        <f t="shared" si="2"/>
        <v>-778581.78697248851</v>
      </c>
      <c r="D11" s="21" t="e">
        <f t="shared" si="3"/>
        <v>#VALUE!</v>
      </c>
      <c r="E11" s="21" t="e">
        <f t="shared" si="4"/>
        <v>#VALUE!</v>
      </c>
      <c r="F11" s="21"/>
      <c r="G11" s="21">
        <f t="shared" si="5"/>
        <v>0</v>
      </c>
      <c r="H11" s="21">
        <f t="shared" si="6"/>
        <v>0</v>
      </c>
      <c r="I11" s="21">
        <f t="shared" si="7"/>
        <v>-12665765.873750599</v>
      </c>
      <c r="J11" s="21">
        <f t="shared" si="8"/>
        <v>0</v>
      </c>
      <c r="K11" s="21">
        <f t="shared" si="9"/>
        <v>0</v>
      </c>
      <c r="L11" s="21">
        <f t="shared" si="10"/>
        <v>0</v>
      </c>
      <c r="M11" s="31">
        <f>TEA!B$37*TEA!B35</f>
        <v>36140.592727099742</v>
      </c>
      <c r="N11" s="31">
        <f>TEA!C$37*TEA!C35</f>
        <v>35151.176666503779</v>
      </c>
      <c r="O11" s="31">
        <f>TEA!D$37*TEA!D35</f>
        <v>142831.3743</v>
      </c>
      <c r="P11" s="31">
        <f>TEA!E$37*TEA!E35</f>
        <v>24208.469999999998</v>
      </c>
      <c r="Q11" s="31"/>
      <c r="R11" s="31">
        <f>TEA!G$37*TEA!G35</f>
        <v>0</v>
      </c>
      <c r="S11" s="31">
        <f>TEA!H$37*TEA!H35</f>
        <v>0</v>
      </c>
      <c r="T11" s="31">
        <f>TEA!I$37*TEA!I35</f>
        <v>1773761.7957286274</v>
      </c>
      <c r="U11" s="31">
        <f>TEA!J$37*TEA!J35</f>
        <v>0</v>
      </c>
      <c r="V11" s="31">
        <f>TEA!K$37*TEA!K35</f>
        <v>0</v>
      </c>
      <c r="W11" s="31">
        <f>TEA!L$37*TEA!L35</f>
        <v>0</v>
      </c>
      <c r="X11" s="20">
        <f>TEA!B$39</f>
        <v>227770.14132656169</v>
      </c>
      <c r="Y11" s="20">
        <f>TEA!C$39</f>
        <v>225585.66473960926</v>
      </c>
      <c r="Z11" s="20">
        <f>TEA!D$39</f>
        <v>463326.77283027547</v>
      </c>
      <c r="AA11" s="20">
        <f>TEA!E$39</f>
        <v>201425.87245114797</v>
      </c>
      <c r="AB11" s="20"/>
      <c r="AC11" s="20">
        <f>TEA!G$39</f>
        <v>0</v>
      </c>
      <c r="AD11" s="20">
        <f>TEA!H$39</f>
        <v>0</v>
      </c>
      <c r="AE11" s="20">
        <f>TEA!I$39</f>
        <v>3961621.0816021687</v>
      </c>
      <c r="AF11" s="20">
        <f>TEA!J$39</f>
        <v>0</v>
      </c>
      <c r="AG11" s="20">
        <f>TEA!K$39</f>
        <v>0</v>
      </c>
      <c r="AH11" s="20">
        <f>TEA!L$39</f>
        <v>0</v>
      </c>
      <c r="AI11" s="21">
        <f>AT10*TEA!$B$19</f>
        <v>46958.859599816504</v>
      </c>
      <c r="AJ11" s="21">
        <f>AU10*TEA!$B$19</f>
        <v>46508.490957340597</v>
      </c>
      <c r="AK11" s="21">
        <f>AV10*TEA!$B$19</f>
        <v>95523.042429774927</v>
      </c>
      <c r="AL11" s="21">
        <f>AW10*TEA!$B$19</f>
        <v>41527.52072381031</v>
      </c>
      <c r="AM11" s="21"/>
      <c r="AN11" s="21">
        <f>AY10*TEA!$B$19</f>
        <v>0</v>
      </c>
      <c r="AO11" s="21">
        <f>AZ10*TEA!$B$19</f>
        <v>0</v>
      </c>
      <c r="AP11" s="21">
        <f>BA10*TEA!$B$19</f>
        <v>816758.54032117105</v>
      </c>
      <c r="AQ11" s="21">
        <f>BB10*TEA!$B$19</f>
        <v>0</v>
      </c>
      <c r="AR11" s="21">
        <f>BC10*TEA!$B$19</f>
        <v>0</v>
      </c>
      <c r="AS11" s="21">
        <f>BD10*TEA!$B$19</f>
        <v>0</v>
      </c>
      <c r="AT11" s="20">
        <f t="shared" si="32"/>
        <v>406174.46327096107</v>
      </c>
      <c r="AU11" s="20">
        <f t="shared" si="33"/>
        <v>402278.96318448882</v>
      </c>
      <c r="AV11" s="20">
        <f t="shared" si="34"/>
        <v>826234.29997168598</v>
      </c>
      <c r="AW11" s="20">
        <f t="shared" si="35"/>
        <v>359195.65732029115</v>
      </c>
      <c r="AX11" s="20"/>
      <c r="AY11" s="20">
        <f t="shared" si="36"/>
        <v>0</v>
      </c>
      <c r="AZ11" s="20">
        <f t="shared" si="37"/>
        <v>0</v>
      </c>
      <c r="BA11" s="20">
        <f t="shared" si="38"/>
        <v>7064619.2127336394</v>
      </c>
      <c r="BB11" s="20">
        <f t="shared" si="39"/>
        <v>0</v>
      </c>
      <c r="BC11" s="20">
        <f t="shared" si="40"/>
        <v>0</v>
      </c>
      <c r="BD11" s="20">
        <f t="shared" si="41"/>
        <v>0</v>
      </c>
      <c r="BE11" s="21">
        <f>TEA!B$47-TEA!B$43-M11-AI11</f>
        <v>211102.14848670675</v>
      </c>
      <c r="BF11" s="21">
        <f>TEA!C$47-TEA!C$43-N11-AJ11</f>
        <v>205021.35557864999</v>
      </c>
      <c r="BG11" s="21" t="e">
        <f>TEA!D$47-TEA!D$43-O11-AK11</f>
        <v>#VALUE!</v>
      </c>
      <c r="BH11" s="21" t="e">
        <f>TEA!E$47-TEA!E$43-P11-AL11</f>
        <v>#VALUE!</v>
      </c>
      <c r="BI11" s="21"/>
      <c r="BJ11" s="21">
        <f>TEA!G$47-TEA!G$43-R11-AN11</f>
        <v>0</v>
      </c>
      <c r="BK11" s="21">
        <f>TEA!H$47-TEA!H$43-S11-AO11</f>
        <v>0</v>
      </c>
      <c r="BL11" s="21">
        <f>TEA!I$47-TEA!I$43-T11-AP11</f>
        <v>2318836.5826065205</v>
      </c>
      <c r="BM11" s="21">
        <f>TEA!J$47-TEA!J$43-U11-AQ11</f>
        <v>0</v>
      </c>
      <c r="BN11" s="21">
        <f>TEA!K$47-TEA!K$43-V11-AR11</f>
        <v>0</v>
      </c>
      <c r="BO11" s="21">
        <f>TEA!L$47-TEA!L$43-W11-AS11</f>
        <v>0</v>
      </c>
      <c r="BP11" s="21">
        <f t="shared" si="11"/>
        <v>0</v>
      </c>
      <c r="BQ11" s="21">
        <f t="shared" si="12"/>
        <v>0</v>
      </c>
      <c r="BR11" s="21" t="e">
        <f t="shared" si="13"/>
        <v>#VALUE!</v>
      </c>
      <c r="BS11" s="21" t="e">
        <f t="shared" si="14"/>
        <v>#VALUE!</v>
      </c>
      <c r="BT11" s="21"/>
      <c r="BU11" s="21">
        <f t="shared" si="15"/>
        <v>0</v>
      </c>
      <c r="BV11" s="21">
        <f t="shared" si="16"/>
        <v>0</v>
      </c>
      <c r="BW11" s="21">
        <f t="shared" si="17"/>
        <v>-14635697.963563452</v>
      </c>
      <c r="BX11" s="21">
        <f t="shared" si="18"/>
        <v>0</v>
      </c>
      <c r="BY11" s="21">
        <f t="shared" si="19"/>
        <v>0</v>
      </c>
      <c r="BZ11" s="21">
        <f t="shared" si="20"/>
        <v>0</v>
      </c>
      <c r="CA11" s="21">
        <f t="shared" si="21"/>
        <v>211102.14848670675</v>
      </c>
      <c r="CB11" s="21">
        <f t="shared" si="22"/>
        <v>205021.35557864999</v>
      </c>
      <c r="CC11" s="21" t="e">
        <f t="shared" si="23"/>
        <v>#VALUE!</v>
      </c>
      <c r="CD11" s="21" t="e">
        <f t="shared" si="24"/>
        <v>#VALUE!</v>
      </c>
      <c r="CE11" s="21"/>
      <c r="CF11" s="21">
        <f t="shared" si="25"/>
        <v>0</v>
      </c>
      <c r="CG11" s="21">
        <f t="shared" si="26"/>
        <v>0</v>
      </c>
      <c r="CH11" s="21">
        <f t="shared" si="27"/>
        <v>-12316861.380956931</v>
      </c>
      <c r="CI11" s="21">
        <f t="shared" si="28"/>
        <v>0</v>
      </c>
      <c r="CJ11" s="21">
        <f t="shared" si="29"/>
        <v>0</v>
      </c>
      <c r="CK11" s="21">
        <f t="shared" si="30"/>
        <v>0</v>
      </c>
      <c r="CL11" s="21">
        <f>IF(CA11&gt;0,CA11*TEA!B$17-TEA!B$24,0)</f>
        <v>42220.429697341351</v>
      </c>
      <c r="CM11" s="21">
        <f>IF(CB11&gt;0,CB11*TEA!C$17-TEA!C$24,0)</f>
        <v>41004.27111573</v>
      </c>
      <c r="CN11" s="21" t="e">
        <f>IF(CC11&gt;0,CC11*TEA!D$17-TEA!D$24,0)</f>
        <v>#VALUE!</v>
      </c>
      <c r="CO11" s="21" t="e">
        <f>IF(CD11&gt;0,CD11*TEA!E$17-TEA!E$24,0)</f>
        <v>#VALUE!</v>
      </c>
      <c r="CP11" s="21"/>
      <c r="CQ11" s="21">
        <f>IF(CF11&gt;0,CF11*TEA!G$17-TEA!G$24,0)</f>
        <v>0</v>
      </c>
      <c r="CR11" s="21">
        <f>IF(CG11&gt;0,CG11*TEA!H$17-TEA!H$24,0)</f>
        <v>0</v>
      </c>
      <c r="CS11" s="21">
        <f>IF(CH11&gt;0,CH11*TEA!I$17-TEA!I$24,0)</f>
        <v>0</v>
      </c>
      <c r="CT11" s="21">
        <f>IF(CI11&gt;0,CI11*TEA!J$17-TEA!J$24,0)</f>
        <v>0</v>
      </c>
      <c r="CU11" s="21">
        <f>IF(CJ11&gt;0,CJ11*TEA!K$17-TEA!K$24,0)</f>
        <v>0</v>
      </c>
      <c r="CV11" s="21">
        <f>IF(CK11&gt;0,CK11*TEA!L$17-TEA!L$24,0)</f>
        <v>0</v>
      </c>
      <c r="CW11" s="21">
        <f>TEA!B$47-TEA!B$43-X11-CL11</f>
        <v>24211.029789719956</v>
      </c>
      <c r="CX11" s="21">
        <f>TEA!C$47-TEA!C$43-Y11-CM11</f>
        <v>20091.087347155109</v>
      </c>
      <c r="CY11" s="21" t="e">
        <f>TEA!D$47-TEA!D$43-Z11-CN11</f>
        <v>#VALUE!</v>
      </c>
      <c r="CZ11" s="21" t="e">
        <f>TEA!E$47-TEA!E$43-AA11-CO11</f>
        <v>#VALUE!</v>
      </c>
      <c r="DA11" s="21"/>
      <c r="DB11" s="21">
        <f>TEA!G$47-TEA!G$43-AC11-CQ11</f>
        <v>0</v>
      </c>
      <c r="DC11" s="21">
        <f>TEA!H$47-TEA!H$43-AD11-CR11</f>
        <v>0</v>
      </c>
      <c r="DD11" s="21">
        <f>TEA!I$47-TEA!I$43-AE11-CS11</f>
        <v>947735.83705415064</v>
      </c>
      <c r="DE11" s="21">
        <f>TEA!J$47-TEA!J$43-AF11-CT11</f>
        <v>0</v>
      </c>
      <c r="DF11" s="21">
        <f>TEA!K$47-TEA!K$43-AG11-CU11</f>
        <v>0</v>
      </c>
      <c r="DG11" s="21">
        <f>TEA!L$47-TEA!L$43-AH11-CV11</f>
        <v>0</v>
      </c>
      <c r="DH11" s="21">
        <f>CW11/(1+TEA!B$16)^$A11</f>
        <v>11294.624079382063</v>
      </c>
      <c r="DI11" s="21">
        <f>CX11/(1+TEA!C$16)^$A11</f>
        <v>9372.640523886248</v>
      </c>
      <c r="DJ11" s="21" t="e">
        <f>CY11/(1+TEA!D$16)^$A11</f>
        <v>#VALUE!</v>
      </c>
      <c r="DK11" s="21" t="e">
        <f>CZ11/(1+TEA!E$16)^$A11</f>
        <v>#VALUE!</v>
      </c>
      <c r="DL11" s="21"/>
      <c r="DM11" s="21">
        <f>DB11/(1+TEA!G$16)^$A11</f>
        <v>0</v>
      </c>
      <c r="DN11" s="21">
        <f>DC11/(1+TEA!H$16)^$A11</f>
        <v>0</v>
      </c>
      <c r="DO11" s="21">
        <f>DD11/(1+TEA!I$16)^$A11</f>
        <v>442125.76247501036</v>
      </c>
      <c r="DP11" s="21">
        <f>DE11/(1+TEA!J$16)^$A11</f>
        <v>0</v>
      </c>
      <c r="DQ11" s="21">
        <f>DF11/(1+TEA!K$16)^$A11</f>
        <v>0</v>
      </c>
      <c r="DR11" s="21">
        <f>DG11/(1+TEA!L$16)^$A11</f>
        <v>0</v>
      </c>
    </row>
    <row r="12" spans="1:122" x14ac:dyDescent="0.25">
      <c r="A12" s="4">
        <f t="shared" si="1"/>
        <v>9</v>
      </c>
      <c r="B12" s="21">
        <f t="shared" si="31"/>
        <v>-757797.17300638231</v>
      </c>
      <c r="C12" s="21">
        <f t="shared" si="2"/>
        <v>-774257.84998599242</v>
      </c>
      <c r="D12" s="21" t="e">
        <f t="shared" si="3"/>
        <v>#VALUE!</v>
      </c>
      <c r="E12" s="21" t="e">
        <f t="shared" si="4"/>
        <v>#VALUE!</v>
      </c>
      <c r="F12" s="21"/>
      <c r="G12" s="21">
        <f t="shared" si="5"/>
        <v>0</v>
      </c>
      <c r="H12" s="21">
        <f t="shared" si="6"/>
        <v>0</v>
      </c>
      <c r="I12" s="21">
        <f t="shared" si="7"/>
        <v>-12263833.362409681</v>
      </c>
      <c r="J12" s="21">
        <f t="shared" si="8"/>
        <v>0</v>
      </c>
      <c r="K12" s="21">
        <f t="shared" si="9"/>
        <v>0</v>
      </c>
      <c r="L12" s="21">
        <f t="shared" si="10"/>
        <v>0</v>
      </c>
      <c r="M12" s="32"/>
      <c r="X12" s="20">
        <f>TEA!B$39</f>
        <v>227770.14132656169</v>
      </c>
      <c r="Y12" s="20">
        <f>TEA!C$39</f>
        <v>225585.66473960926</v>
      </c>
      <c r="Z12" s="20">
        <f>TEA!D$39</f>
        <v>463326.77283027547</v>
      </c>
      <c r="AA12" s="20">
        <f>TEA!E$39</f>
        <v>201425.87245114797</v>
      </c>
      <c r="AB12" s="20"/>
      <c r="AC12" s="20">
        <f>TEA!G$39</f>
        <v>0</v>
      </c>
      <c r="AD12" s="20">
        <f>TEA!H$39</f>
        <v>0</v>
      </c>
      <c r="AE12" s="20">
        <f>TEA!I$39</f>
        <v>3961621.0816021687</v>
      </c>
      <c r="AF12" s="20">
        <f>TEA!J$39</f>
        <v>0</v>
      </c>
      <c r="AG12" s="20">
        <f>TEA!K$39</f>
        <v>0</v>
      </c>
      <c r="AH12" s="20">
        <f>TEA!L$39</f>
        <v>0</v>
      </c>
      <c r="AI12" s="21">
        <f>AT11*TEA!$B$19</f>
        <v>32493.957061676887</v>
      </c>
      <c r="AJ12" s="21">
        <f>AU11*TEA!$B$19</f>
        <v>32182.317054759107</v>
      </c>
      <c r="AK12" s="21">
        <f>AV11*TEA!$B$19</f>
        <v>66098.743997734884</v>
      </c>
      <c r="AL12" s="21">
        <f>AW11*TEA!$B$19</f>
        <v>28735.652585623291</v>
      </c>
      <c r="AM12" s="21"/>
      <c r="AN12" s="21">
        <f>AY11*TEA!$B$19</f>
        <v>0</v>
      </c>
      <c r="AO12" s="21">
        <f>AZ11*TEA!$B$19</f>
        <v>0</v>
      </c>
      <c r="AP12" s="21">
        <f>BA11*TEA!$B$19</f>
        <v>565169.53701869119</v>
      </c>
      <c r="AQ12" s="21">
        <f>BB11*TEA!$B$19</f>
        <v>0</v>
      </c>
      <c r="AR12" s="21">
        <f>BC11*TEA!$B$19</f>
        <v>0</v>
      </c>
      <c r="AS12" s="21">
        <f>BD11*TEA!$B$19</f>
        <v>0</v>
      </c>
      <c r="AT12" s="20">
        <f t="shared" si="32"/>
        <v>210898.27900607628</v>
      </c>
      <c r="AU12" s="20">
        <f t="shared" si="33"/>
        <v>208875.61549963866</v>
      </c>
      <c r="AV12" s="20">
        <f t="shared" si="34"/>
        <v>429006.27113914536</v>
      </c>
      <c r="AW12" s="20">
        <f t="shared" si="35"/>
        <v>186505.43745476648</v>
      </c>
      <c r="AX12" s="20"/>
      <c r="AY12" s="20">
        <f t="shared" si="36"/>
        <v>0</v>
      </c>
      <c r="AZ12" s="20">
        <f t="shared" si="37"/>
        <v>0</v>
      </c>
      <c r="BA12" s="20">
        <f t="shared" si="38"/>
        <v>3668167.6681501619</v>
      </c>
      <c r="BB12" s="20">
        <f t="shared" si="39"/>
        <v>0</v>
      </c>
      <c r="BC12" s="20">
        <f t="shared" si="40"/>
        <v>0</v>
      </c>
      <c r="BD12" s="20">
        <f t="shared" si="41"/>
        <v>0</v>
      </c>
      <c r="BE12" s="21">
        <f>TEA!B$47-TEA!B$43-M12-AI12</f>
        <v>261707.6437519461</v>
      </c>
      <c r="BF12" s="21">
        <f>TEA!C$47-TEA!C$43-N12-AJ12</f>
        <v>254498.70614773527</v>
      </c>
      <c r="BG12" s="21" t="e">
        <f>TEA!D$47-TEA!D$43-O12-AK12</f>
        <v>#VALUE!</v>
      </c>
      <c r="BH12" s="21" t="e">
        <f>TEA!E$47-TEA!E$43-P12-AL12</f>
        <v>#VALUE!</v>
      </c>
      <c r="BI12" s="21"/>
      <c r="BJ12" s="21">
        <f>TEA!G$47-TEA!G$43-R12-AN12</f>
        <v>0</v>
      </c>
      <c r="BK12" s="21">
        <f>TEA!H$47-TEA!H$43-S12-AO12</f>
        <v>0</v>
      </c>
      <c r="BL12" s="21">
        <f>TEA!I$47-TEA!I$43-T12-AP12</f>
        <v>4344187.3816376282</v>
      </c>
      <c r="BM12" s="21">
        <f>TEA!J$47-TEA!J$43-U12-AQ12</f>
        <v>0</v>
      </c>
      <c r="BN12" s="21">
        <f>TEA!K$47-TEA!K$43-V12-AR12</f>
        <v>0</v>
      </c>
      <c r="BO12" s="21">
        <f>TEA!L$47-TEA!L$43-W12-AS12</f>
        <v>0</v>
      </c>
      <c r="BP12" s="21">
        <f t="shared" si="11"/>
        <v>0</v>
      </c>
      <c r="BQ12" s="21">
        <f t="shared" si="12"/>
        <v>0</v>
      </c>
      <c r="BR12" s="21" t="e">
        <f t="shared" si="13"/>
        <v>#VALUE!</v>
      </c>
      <c r="BS12" s="21" t="e">
        <f t="shared" si="14"/>
        <v>#VALUE!</v>
      </c>
      <c r="BT12" s="21"/>
      <c r="BU12" s="21">
        <f t="shared" si="15"/>
        <v>0</v>
      </c>
      <c r="BV12" s="21">
        <f t="shared" si="16"/>
        <v>0</v>
      </c>
      <c r="BW12" s="21">
        <f t="shared" si="17"/>
        <v>-12316861.380956931</v>
      </c>
      <c r="BX12" s="21">
        <f t="shared" si="18"/>
        <v>0</v>
      </c>
      <c r="BY12" s="21">
        <f t="shared" si="19"/>
        <v>0</v>
      </c>
      <c r="BZ12" s="21">
        <f t="shared" si="20"/>
        <v>0</v>
      </c>
      <c r="CA12" s="21">
        <f t="shared" si="21"/>
        <v>261707.6437519461</v>
      </c>
      <c r="CB12" s="21">
        <f t="shared" si="22"/>
        <v>254498.70614773527</v>
      </c>
      <c r="CC12" s="21" t="e">
        <f t="shared" si="23"/>
        <v>#VALUE!</v>
      </c>
      <c r="CD12" s="21" t="e">
        <f t="shared" si="24"/>
        <v>#VALUE!</v>
      </c>
      <c r="CE12" s="21"/>
      <c r="CF12" s="21">
        <f t="shared" si="25"/>
        <v>0</v>
      </c>
      <c r="CG12" s="21">
        <f t="shared" si="26"/>
        <v>0</v>
      </c>
      <c r="CH12" s="21">
        <f t="shared" si="27"/>
        <v>-7972673.9993193028</v>
      </c>
      <c r="CI12" s="21">
        <f t="shared" si="28"/>
        <v>0</v>
      </c>
      <c r="CJ12" s="21">
        <f t="shared" si="29"/>
        <v>0</v>
      </c>
      <c r="CK12" s="21">
        <f t="shared" si="30"/>
        <v>0</v>
      </c>
      <c r="CL12" s="21">
        <f>IF(CA12&gt;0,CA12*TEA!B$17-TEA!B$24,0)</f>
        <v>52341.528750389225</v>
      </c>
      <c r="CM12" s="21">
        <f>IF(CB12&gt;0,CB12*TEA!C$17-TEA!C$24,0)</f>
        <v>50899.741229547057</v>
      </c>
      <c r="CN12" s="21" t="e">
        <f>IF(CC12&gt;0,CC12*TEA!D$17-TEA!D$24,0)</f>
        <v>#VALUE!</v>
      </c>
      <c r="CO12" s="21" t="e">
        <f>IF(CD12&gt;0,CD12*TEA!E$17-TEA!E$24,0)</f>
        <v>#VALUE!</v>
      </c>
      <c r="CP12" s="21"/>
      <c r="CQ12" s="21">
        <f>IF(CF12&gt;0,CF12*TEA!G$17-TEA!G$24,0)</f>
        <v>0</v>
      </c>
      <c r="CR12" s="21">
        <f>IF(CG12&gt;0,CG12*TEA!H$17-TEA!H$24,0)</f>
        <v>0</v>
      </c>
      <c r="CS12" s="21">
        <f>IF(CH12&gt;0,CH12*TEA!I$17-TEA!I$24,0)</f>
        <v>0</v>
      </c>
      <c r="CT12" s="21">
        <f>IF(CI12&gt;0,CI12*TEA!J$17-TEA!J$24,0)</f>
        <v>0</v>
      </c>
      <c r="CU12" s="21">
        <f>IF(CJ12&gt;0,CJ12*TEA!K$17-TEA!K$24,0)</f>
        <v>0</v>
      </c>
      <c r="CV12" s="21">
        <f>IF(CK12&gt;0,CK12*TEA!L$17-TEA!L$24,0)</f>
        <v>0</v>
      </c>
      <c r="CW12" s="21">
        <f>TEA!B$47-TEA!B$43-X12-CL12</f>
        <v>14089.930736672082</v>
      </c>
      <c r="CX12" s="21">
        <f>TEA!C$47-TEA!C$43-Y12-CM12</f>
        <v>10195.617233338053</v>
      </c>
      <c r="CY12" s="21" t="e">
        <f>TEA!D$47-TEA!D$43-Z12-CN12</f>
        <v>#VALUE!</v>
      </c>
      <c r="CZ12" s="21" t="e">
        <f>TEA!E$47-TEA!E$43-AA12-CO12</f>
        <v>#VALUE!</v>
      </c>
      <c r="DA12" s="21"/>
      <c r="DB12" s="21">
        <f>TEA!G$47-TEA!G$43-AC12-CQ12</f>
        <v>0</v>
      </c>
      <c r="DC12" s="21">
        <f>TEA!H$47-TEA!H$43-AD12-CR12</f>
        <v>0</v>
      </c>
      <c r="DD12" s="21">
        <f>TEA!I$47-TEA!I$43-AE12-CS12</f>
        <v>947735.83705415064</v>
      </c>
      <c r="DE12" s="21">
        <f>TEA!J$47-TEA!J$43-AF12-CT12</f>
        <v>0</v>
      </c>
      <c r="DF12" s="21">
        <f>TEA!K$47-TEA!K$43-AG12-CU12</f>
        <v>0</v>
      </c>
      <c r="DG12" s="21">
        <f>TEA!L$47-TEA!L$43-AH12-CV12</f>
        <v>0</v>
      </c>
      <c r="DH12" s="21">
        <f>CW12/(1+TEA!B$16)^$A12</f>
        <v>5975.5060684558985</v>
      </c>
      <c r="DI12" s="21">
        <f>CX12/(1+TEA!C$16)^$A12</f>
        <v>4323.9369864961291</v>
      </c>
      <c r="DJ12" s="21" t="e">
        <f>CY12/(1+TEA!D$16)^$A12</f>
        <v>#VALUE!</v>
      </c>
      <c r="DK12" s="21" t="e">
        <f>CZ12/(1+TEA!E$16)^$A12</f>
        <v>#VALUE!</v>
      </c>
      <c r="DL12" s="21"/>
      <c r="DM12" s="21">
        <f>DB12/(1+TEA!G$16)^$A12</f>
        <v>0</v>
      </c>
      <c r="DN12" s="21">
        <f>DC12/(1+TEA!H$16)^$A12</f>
        <v>0</v>
      </c>
      <c r="DO12" s="21">
        <f>DD12/(1+TEA!I$16)^$A12</f>
        <v>401932.51134091849</v>
      </c>
      <c r="DP12" s="21">
        <f>DE12/(1+TEA!J$16)^$A12</f>
        <v>0</v>
      </c>
      <c r="DQ12" s="21">
        <f>DF12/(1+TEA!K$16)^$A12</f>
        <v>0</v>
      </c>
      <c r="DR12" s="21">
        <f>DG12/(1+TEA!L$16)^$A12</f>
        <v>0</v>
      </c>
    </row>
    <row r="13" spans="1:122" x14ac:dyDescent="0.25">
      <c r="A13" s="4">
        <f t="shared" si="1"/>
        <v>10</v>
      </c>
      <c r="B13" s="21">
        <f t="shared" si="31"/>
        <v>-753569.49352119118</v>
      </c>
      <c r="C13" s="21">
        <f t="shared" si="2"/>
        <v>-771520.04398573644</v>
      </c>
      <c r="D13" s="21" t="e">
        <f t="shared" si="3"/>
        <v>#VALUE!</v>
      </c>
      <c r="E13" s="21" t="e">
        <f t="shared" si="4"/>
        <v>#VALUE!</v>
      </c>
      <c r="F13" s="21"/>
      <c r="G13" s="21">
        <f t="shared" si="5"/>
        <v>0</v>
      </c>
      <c r="H13" s="21">
        <f t="shared" si="6"/>
        <v>0</v>
      </c>
      <c r="I13" s="21">
        <f t="shared" si="7"/>
        <v>-11898440.170281574</v>
      </c>
      <c r="J13" s="21">
        <f t="shared" si="8"/>
        <v>0</v>
      </c>
      <c r="K13" s="21">
        <f t="shared" si="9"/>
        <v>0</v>
      </c>
      <c r="L13" s="21">
        <f t="shared" si="10"/>
        <v>0</v>
      </c>
      <c r="M13" s="21"/>
      <c r="X13" s="20">
        <f>TEA!B$39</f>
        <v>227770.14132656169</v>
      </c>
      <c r="Y13" s="20">
        <f>TEA!C$39</f>
        <v>225585.66473960926</v>
      </c>
      <c r="Z13" s="20">
        <f>TEA!D$39</f>
        <v>463326.77283027547</v>
      </c>
      <c r="AA13" s="20">
        <f>TEA!E$39</f>
        <v>201425.87245114797</v>
      </c>
      <c r="AB13" s="20"/>
      <c r="AC13" s="20">
        <f>TEA!G$39</f>
        <v>0</v>
      </c>
      <c r="AD13" s="20">
        <f>TEA!H$39</f>
        <v>0</v>
      </c>
      <c r="AE13" s="20">
        <f>TEA!I$39</f>
        <v>3961621.0816021687</v>
      </c>
      <c r="AF13" s="20">
        <f>TEA!J$39</f>
        <v>0</v>
      </c>
      <c r="AG13" s="20">
        <f>TEA!K$39</f>
        <v>0</v>
      </c>
      <c r="AH13" s="20">
        <f>TEA!L$39</f>
        <v>0</v>
      </c>
      <c r="AI13" s="21">
        <f>AT12*TEA!$B$19</f>
        <v>16871.862320486103</v>
      </c>
      <c r="AJ13" s="21">
        <f>AU12*TEA!$B$19</f>
        <v>16710.049239971093</v>
      </c>
      <c r="AK13" s="21">
        <f>AV12*TEA!$B$19</f>
        <v>34320.501691131627</v>
      </c>
      <c r="AL13" s="21">
        <f>AW12*TEA!$B$19</f>
        <v>14920.434996381318</v>
      </c>
      <c r="AM13" s="21"/>
      <c r="AN13" s="21">
        <f>AY12*TEA!$B$19</f>
        <v>0</v>
      </c>
      <c r="AO13" s="21">
        <f>AZ12*TEA!$B$19</f>
        <v>0</v>
      </c>
      <c r="AP13" s="21">
        <f>BA12*TEA!$B$19</f>
        <v>293453.41345201293</v>
      </c>
      <c r="AQ13" s="21">
        <f>BB12*TEA!$B$19</f>
        <v>0</v>
      </c>
      <c r="AR13" s="21">
        <f>BC12*TEA!$B$19</f>
        <v>0</v>
      </c>
      <c r="AS13" s="21">
        <f>BD12*TEA!$B$19</f>
        <v>0</v>
      </c>
      <c r="AT13" s="20">
        <f t="shared" si="32"/>
        <v>6.9485395215451717E-10</v>
      </c>
      <c r="AU13" s="20">
        <f t="shared" si="33"/>
        <v>4.9476511776447296E-10</v>
      </c>
      <c r="AV13" s="20">
        <f t="shared" si="34"/>
        <v>1.520675141364336E-9</v>
      </c>
      <c r="AW13" s="20">
        <f t="shared" si="35"/>
        <v>-1.7098500393331051E-10</v>
      </c>
      <c r="AX13" s="20"/>
      <c r="AY13" s="20">
        <f t="shared" si="36"/>
        <v>0</v>
      </c>
      <c r="AZ13" s="20">
        <f t="shared" si="37"/>
        <v>0</v>
      </c>
      <c r="BA13" s="20">
        <f t="shared" si="38"/>
        <v>6.0535967350006104E-9</v>
      </c>
      <c r="BB13" s="20">
        <f t="shared" si="39"/>
        <v>0</v>
      </c>
      <c r="BC13" s="20">
        <f t="shared" si="40"/>
        <v>0</v>
      </c>
      <c r="BD13" s="20">
        <f t="shared" si="41"/>
        <v>0</v>
      </c>
      <c r="BE13" s="21">
        <f>TEA!B$47-TEA!B$43-M13-AI13</f>
        <v>277329.73849313689</v>
      </c>
      <c r="BF13" s="21">
        <f>TEA!C$47-TEA!C$43-N13-AJ13</f>
        <v>269970.97396252328</v>
      </c>
      <c r="BG13" s="21" t="e">
        <f>TEA!D$47-TEA!D$43-O13-AK13</f>
        <v>#VALUE!</v>
      </c>
      <c r="BH13" s="21" t="e">
        <f>TEA!E$47-TEA!E$43-P13-AL13</f>
        <v>#VALUE!</v>
      </c>
      <c r="BI13" s="21"/>
      <c r="BJ13" s="21">
        <f>TEA!G$47-TEA!G$43-R13-AN13</f>
        <v>0</v>
      </c>
      <c r="BK13" s="21">
        <f>TEA!H$47-TEA!H$43-S13-AO13</f>
        <v>0</v>
      </c>
      <c r="BL13" s="21">
        <f>TEA!I$47-TEA!I$43-T13-AP13</f>
        <v>4615903.5052043069</v>
      </c>
      <c r="BM13" s="21">
        <f>TEA!J$47-TEA!J$43-U13-AQ13</f>
        <v>0</v>
      </c>
      <c r="BN13" s="21">
        <f>TEA!K$47-TEA!K$43-V13-AR13</f>
        <v>0</v>
      </c>
      <c r="BO13" s="21">
        <f>TEA!L$47-TEA!L$43-W13-AS13</f>
        <v>0</v>
      </c>
      <c r="BP13" s="21">
        <f t="shared" si="11"/>
        <v>0</v>
      </c>
      <c r="BQ13" s="21">
        <f t="shared" si="12"/>
        <v>0</v>
      </c>
      <c r="BR13" s="21" t="e">
        <f t="shared" si="13"/>
        <v>#VALUE!</v>
      </c>
      <c r="BS13" s="21" t="e">
        <f t="shared" si="14"/>
        <v>#VALUE!</v>
      </c>
      <c r="BT13" s="21"/>
      <c r="BU13" s="21">
        <f t="shared" si="15"/>
        <v>0</v>
      </c>
      <c r="BV13" s="21">
        <f t="shared" si="16"/>
        <v>0</v>
      </c>
      <c r="BW13" s="21">
        <f t="shared" si="17"/>
        <v>-7972673.9993193028</v>
      </c>
      <c r="BX13" s="21">
        <f t="shared" si="18"/>
        <v>0</v>
      </c>
      <c r="BY13" s="21">
        <f t="shared" si="19"/>
        <v>0</v>
      </c>
      <c r="BZ13" s="21">
        <f t="shared" si="20"/>
        <v>0</v>
      </c>
      <c r="CA13" s="21">
        <f t="shared" si="21"/>
        <v>277329.73849313689</v>
      </c>
      <c r="CB13" s="21">
        <f t="shared" si="22"/>
        <v>269970.97396252328</v>
      </c>
      <c r="CC13" s="21" t="e">
        <f t="shared" si="23"/>
        <v>#VALUE!</v>
      </c>
      <c r="CD13" s="21" t="e">
        <f t="shared" si="24"/>
        <v>#VALUE!</v>
      </c>
      <c r="CE13" s="21"/>
      <c r="CF13" s="21">
        <f t="shared" si="25"/>
        <v>0</v>
      </c>
      <c r="CG13" s="21">
        <f t="shared" si="26"/>
        <v>0</v>
      </c>
      <c r="CH13" s="21">
        <f t="shared" si="27"/>
        <v>-3356770.4941149959</v>
      </c>
      <c r="CI13" s="21">
        <f t="shared" si="28"/>
        <v>0</v>
      </c>
      <c r="CJ13" s="21">
        <f t="shared" si="29"/>
        <v>0</v>
      </c>
      <c r="CK13" s="21">
        <f t="shared" si="30"/>
        <v>0</v>
      </c>
      <c r="CL13" s="21">
        <f>IF(CA13&gt;0,CA13*TEA!B$17-TEA!B$24,0)</f>
        <v>55465.94769862738</v>
      </c>
      <c r="CM13" s="21">
        <f>IF(CB13&gt;0,CB13*TEA!C$17-TEA!C$24,0)</f>
        <v>53994.194792504655</v>
      </c>
      <c r="CN13" s="21" t="e">
        <f>IF(CC13&gt;0,CC13*TEA!D$17-TEA!D$24,0)</f>
        <v>#VALUE!</v>
      </c>
      <c r="CO13" s="21" t="e">
        <f>IF(CD13&gt;0,CD13*TEA!E$17-TEA!E$24,0)</f>
        <v>#VALUE!</v>
      </c>
      <c r="CP13" s="21"/>
      <c r="CQ13" s="21">
        <f>IF(CF13&gt;0,CF13*TEA!G$17-TEA!G$24,0)</f>
        <v>0</v>
      </c>
      <c r="CR13" s="21">
        <f>IF(CG13&gt;0,CG13*TEA!H$17-TEA!H$24,0)</f>
        <v>0</v>
      </c>
      <c r="CS13" s="21">
        <f>IF(CH13&gt;0,CH13*TEA!I$17-TEA!I$24,0)</f>
        <v>0</v>
      </c>
      <c r="CT13" s="21">
        <f>IF(CI13&gt;0,CI13*TEA!J$17-TEA!J$24,0)</f>
        <v>0</v>
      </c>
      <c r="CU13" s="21">
        <f>IF(CJ13&gt;0,CJ13*TEA!K$17-TEA!K$24,0)</f>
        <v>0</v>
      </c>
      <c r="CV13" s="21">
        <f>IF(CK13&gt;0,CK13*TEA!L$17-TEA!L$24,0)</f>
        <v>0</v>
      </c>
      <c r="CW13" s="21">
        <f>TEA!B$47-TEA!B$43-X13-CL13</f>
        <v>10965.511788433927</v>
      </c>
      <c r="CX13" s="21">
        <f>TEA!C$47-TEA!C$43-Y13-CM13</f>
        <v>7101.1636703804543</v>
      </c>
      <c r="CY13" s="21" t="e">
        <f>TEA!D$47-TEA!D$43-Z13-CN13</f>
        <v>#VALUE!</v>
      </c>
      <c r="CZ13" s="21" t="e">
        <f>TEA!E$47-TEA!E$43-AA13-CO13</f>
        <v>#VALUE!</v>
      </c>
      <c r="DA13" s="21"/>
      <c r="DB13" s="21">
        <f>TEA!G$47-TEA!G$43-AC13-CQ13</f>
        <v>0</v>
      </c>
      <c r="DC13" s="21">
        <f>TEA!H$47-TEA!H$43-AD13-CR13</f>
        <v>0</v>
      </c>
      <c r="DD13" s="21">
        <f>TEA!I$47-TEA!I$43-AE13-CS13</f>
        <v>947735.83705415064</v>
      </c>
      <c r="DE13" s="21">
        <f>TEA!J$47-TEA!J$43-AF13-CT13</f>
        <v>0</v>
      </c>
      <c r="DF13" s="21">
        <f>TEA!K$47-TEA!K$43-AG13-CU13</f>
        <v>0</v>
      </c>
      <c r="DG13" s="21">
        <f>TEA!L$47-TEA!L$43-AH13-CV13</f>
        <v>0</v>
      </c>
      <c r="DH13" s="21">
        <f>CW13/(1+TEA!B$16)^$A13</f>
        <v>4227.6794851911209</v>
      </c>
      <c r="DI13" s="21">
        <f>CX13/(1+TEA!C$16)^$A13</f>
        <v>2737.8060002559655</v>
      </c>
      <c r="DJ13" s="21" t="e">
        <f>CY13/(1+TEA!D$16)^$A13</f>
        <v>#VALUE!</v>
      </c>
      <c r="DK13" s="21" t="e">
        <f>CZ13/(1+TEA!E$16)^$A13</f>
        <v>#VALUE!</v>
      </c>
      <c r="DL13" s="21"/>
      <c r="DM13" s="21">
        <f>DB13/(1+TEA!G$16)^$A13</f>
        <v>0</v>
      </c>
      <c r="DN13" s="21">
        <f>DC13/(1+TEA!H$16)^$A13</f>
        <v>0</v>
      </c>
      <c r="DO13" s="21">
        <f>DD13/(1+TEA!I$16)^$A13</f>
        <v>365393.19212810765</v>
      </c>
      <c r="DP13" s="21">
        <f>DE13/(1+TEA!J$16)^$A13</f>
        <v>0</v>
      </c>
      <c r="DQ13" s="21">
        <f>DF13/(1+TEA!K$16)^$A13</f>
        <v>0</v>
      </c>
      <c r="DR13" s="21">
        <f>DG13/(1+TEA!L$16)^$A13</f>
        <v>0</v>
      </c>
    </row>
    <row r="14" spans="1:122" x14ac:dyDescent="0.25">
      <c r="A14" s="4">
        <f t="shared" si="1"/>
        <v>11</v>
      </c>
      <c r="B14" s="21">
        <f t="shared" si="31"/>
        <v>-671076.80047892348</v>
      </c>
      <c r="C14" s="21">
        <f t="shared" si="2"/>
        <v>-691136.08420209028</v>
      </c>
      <c r="D14" s="21" t="e">
        <f t="shared" si="3"/>
        <v>#VALUE!</v>
      </c>
      <c r="E14" s="21" t="e">
        <f t="shared" si="4"/>
        <v>#VALUE!</v>
      </c>
      <c r="F14" s="21"/>
      <c r="G14" s="21">
        <f t="shared" si="5"/>
        <v>0</v>
      </c>
      <c r="H14" s="21">
        <f t="shared" si="6"/>
        <v>0</v>
      </c>
      <c r="I14" s="21">
        <f t="shared" si="7"/>
        <v>-10087712.055765789</v>
      </c>
      <c r="J14" s="21">
        <f t="shared" si="8"/>
        <v>0</v>
      </c>
      <c r="K14" s="21">
        <f t="shared" si="9"/>
        <v>0</v>
      </c>
      <c r="L14" s="21">
        <f t="shared" si="10"/>
        <v>0</v>
      </c>
      <c r="M14" s="21"/>
      <c r="X14" s="21"/>
      <c r="AI14" s="21">
        <f>AT13*TEA!$B$19</f>
        <v>5.5588316172361378E-11</v>
      </c>
      <c r="AJ14" s="21">
        <f>AU13*TEA!$B$19</f>
        <v>3.958120942115784E-11</v>
      </c>
      <c r="AK14" s="21">
        <f>AV13*TEA!$B$19</f>
        <v>1.2165401130914687E-10</v>
      </c>
      <c r="AL14" s="21">
        <f>AW13*TEA!$B$19</f>
        <v>-1.3678800314664842E-11</v>
      </c>
      <c r="AM14" s="21"/>
      <c r="AN14" s="21">
        <f>AY13*TEA!$B$19</f>
        <v>0</v>
      </c>
      <c r="AO14" s="21">
        <f>AZ13*TEA!$B$19</f>
        <v>0</v>
      </c>
      <c r="AP14" s="21">
        <f>BA13*TEA!$B$19</f>
        <v>4.8428773880004884E-10</v>
      </c>
      <c r="AQ14" s="21">
        <f>BB13*TEA!$B$19</f>
        <v>0</v>
      </c>
      <c r="AR14" s="21">
        <f>BC13*TEA!$B$19</f>
        <v>0</v>
      </c>
      <c r="AS14" s="21">
        <f>BD13*TEA!$B$19</f>
        <v>0</v>
      </c>
      <c r="AT14" s="20">
        <f t="shared" si="32"/>
        <v>7.5044226832687855E-10</v>
      </c>
      <c r="AU14" s="20">
        <f t="shared" si="33"/>
        <v>5.3434632718563078E-10</v>
      </c>
      <c r="AV14" s="20">
        <f t="shared" si="34"/>
        <v>1.6423291526734829E-9</v>
      </c>
      <c r="AW14" s="20">
        <f t="shared" si="35"/>
        <v>-1.8466380424797534E-10</v>
      </c>
      <c r="AX14" s="20"/>
      <c r="AY14" s="20">
        <f t="shared" si="36"/>
        <v>0</v>
      </c>
      <c r="AZ14" s="20">
        <f t="shared" si="37"/>
        <v>0</v>
      </c>
      <c r="BA14" s="20">
        <f t="shared" si="38"/>
        <v>6.5378844738006588E-9</v>
      </c>
      <c r="BB14" s="20">
        <f t="shared" si="39"/>
        <v>0</v>
      </c>
      <c r="BC14" s="20">
        <f t="shared" si="40"/>
        <v>0</v>
      </c>
      <c r="BD14" s="20">
        <f t="shared" si="41"/>
        <v>0</v>
      </c>
      <c r="BE14" s="21">
        <f>TEA!B$47-TEA!B$43-M14-AI14</f>
        <v>294201.60081362294</v>
      </c>
      <c r="BF14" s="21">
        <f>TEA!C$47-TEA!C$43-N14-AJ14</f>
        <v>286681.02320249431</v>
      </c>
      <c r="BG14" s="21" t="e">
        <f>TEA!D$47-TEA!D$43-O14-AK14</f>
        <v>#VALUE!</v>
      </c>
      <c r="BH14" s="21" t="e">
        <f>TEA!E$47-TEA!E$43-P14-AL14</f>
        <v>#VALUE!</v>
      </c>
      <c r="BI14" s="21"/>
      <c r="BJ14" s="21">
        <f>TEA!G$47-TEA!G$43-R14-AN14</f>
        <v>0</v>
      </c>
      <c r="BK14" s="21">
        <f>TEA!H$47-TEA!H$43-S14-AO14</f>
        <v>0</v>
      </c>
      <c r="BL14" s="21">
        <f>TEA!I$47-TEA!I$43-T14-AP14</f>
        <v>4909356.9186563184</v>
      </c>
      <c r="BM14" s="21">
        <f>TEA!J$47-TEA!J$43-U14-AQ14</f>
        <v>0</v>
      </c>
      <c r="BN14" s="21">
        <f>TEA!K$47-TEA!K$43-V14-AR14</f>
        <v>0</v>
      </c>
      <c r="BO14" s="21">
        <f>TEA!L$47-TEA!L$43-W14-AS14</f>
        <v>0</v>
      </c>
      <c r="BP14" s="21">
        <f t="shared" si="11"/>
        <v>0</v>
      </c>
      <c r="BQ14" s="21">
        <f t="shared" si="12"/>
        <v>0</v>
      </c>
      <c r="BR14" s="21" t="e">
        <f t="shared" si="13"/>
        <v>#VALUE!</v>
      </c>
      <c r="BS14" s="21" t="e">
        <f t="shared" si="14"/>
        <v>#VALUE!</v>
      </c>
      <c r="BT14" s="21"/>
      <c r="BU14" s="21">
        <f t="shared" si="15"/>
        <v>0</v>
      </c>
      <c r="BV14" s="21">
        <f t="shared" si="16"/>
        <v>0</v>
      </c>
      <c r="BW14" s="21">
        <f t="shared" si="17"/>
        <v>-3356770.4941149959</v>
      </c>
      <c r="BX14" s="21">
        <f t="shared" si="18"/>
        <v>0</v>
      </c>
      <c r="BY14" s="21">
        <f t="shared" si="19"/>
        <v>0</v>
      </c>
      <c r="BZ14" s="21">
        <f t="shared" si="20"/>
        <v>0</v>
      </c>
      <c r="CA14" s="21">
        <f t="shared" si="21"/>
        <v>294201.60081362294</v>
      </c>
      <c r="CB14" s="21">
        <f t="shared" si="22"/>
        <v>286681.02320249431</v>
      </c>
      <c r="CC14" s="21" t="e">
        <f t="shared" si="23"/>
        <v>#VALUE!</v>
      </c>
      <c r="CD14" s="21" t="e">
        <f t="shared" si="24"/>
        <v>#VALUE!</v>
      </c>
      <c r="CE14" s="21"/>
      <c r="CF14" s="21">
        <f t="shared" si="25"/>
        <v>0</v>
      </c>
      <c r="CG14" s="21">
        <f t="shared" si="26"/>
        <v>0</v>
      </c>
      <c r="CH14" s="21">
        <f t="shared" si="27"/>
        <v>1552586.4245413225</v>
      </c>
      <c r="CI14" s="21">
        <f t="shared" si="28"/>
        <v>0</v>
      </c>
      <c r="CJ14" s="21">
        <f t="shared" si="29"/>
        <v>0</v>
      </c>
      <c r="CK14" s="21">
        <f t="shared" si="30"/>
        <v>0</v>
      </c>
      <c r="CL14" s="21">
        <f>IF(CA14&gt;0,CA14*TEA!B$17-TEA!B$24,0)</f>
        <v>58840.320162724587</v>
      </c>
      <c r="CM14" s="21">
        <f>IF(CB14&gt;0,CB14*TEA!C$17-TEA!C$24,0)</f>
        <v>57336.204640498865</v>
      </c>
      <c r="CN14" s="21" t="e">
        <f>IF(CC14&gt;0,CC14*TEA!D$17-TEA!D$24,0)</f>
        <v>#VALUE!</v>
      </c>
      <c r="CO14" s="21" t="e">
        <f>IF(CD14&gt;0,CD14*TEA!E$17-TEA!E$24,0)</f>
        <v>#VALUE!</v>
      </c>
      <c r="CP14" s="21"/>
      <c r="CQ14" s="21">
        <f>IF(CF14&gt;0,CF14*TEA!G$17-TEA!G$24,0)</f>
        <v>0</v>
      </c>
      <c r="CR14" s="21">
        <f>IF(CG14&gt;0,CG14*TEA!H$17-TEA!H$24,0)</f>
        <v>0</v>
      </c>
      <c r="CS14" s="21">
        <f>IF(CH14&gt;0,CH14*TEA!I$17-TEA!I$24,0)</f>
        <v>-256861.71509173547</v>
      </c>
      <c r="CT14" s="21">
        <f>IF(CI14&gt;0,CI14*TEA!J$17-TEA!J$24,0)</f>
        <v>0</v>
      </c>
      <c r="CU14" s="21">
        <f>IF(CJ14&gt;0,CJ14*TEA!K$17-TEA!K$24,0)</f>
        <v>0</v>
      </c>
      <c r="CV14" s="21">
        <f>IF(CK14&gt;0,CK14*TEA!L$17-TEA!L$24,0)</f>
        <v>0</v>
      </c>
      <c r="CW14" s="21">
        <f>TEA!B$47-TEA!B$43-X14-CL14</f>
        <v>235361.28065089841</v>
      </c>
      <c r="CX14" s="21">
        <f>TEA!C$47-TEA!C$43-Y14-CM14</f>
        <v>229344.81856199552</v>
      </c>
      <c r="CY14" s="21" t="e">
        <f>TEA!D$47-TEA!D$43-Z14-CN14</f>
        <v>#VALUE!</v>
      </c>
      <c r="CZ14" s="21" t="e">
        <f>TEA!E$47-TEA!E$43-AA14-CO14</f>
        <v>#VALUE!</v>
      </c>
      <c r="DA14" s="21"/>
      <c r="DB14" s="21">
        <f>TEA!G$47-TEA!G$43-AC14-CQ14</f>
        <v>0</v>
      </c>
      <c r="DC14" s="21">
        <f>TEA!H$47-TEA!H$43-AD14-CR14</f>
        <v>0</v>
      </c>
      <c r="DD14" s="21">
        <f>TEA!I$47-TEA!I$43-AE14-CS14</f>
        <v>5166218.6337480545</v>
      </c>
      <c r="DE14" s="21">
        <f>TEA!J$47-TEA!J$43-AF14-CT14</f>
        <v>0</v>
      </c>
      <c r="DF14" s="21">
        <f>TEA!K$47-TEA!K$43-AG14-CU14</f>
        <v>0</v>
      </c>
      <c r="DG14" s="21">
        <f>TEA!L$47-TEA!L$43-AH14-CV14</f>
        <v>0</v>
      </c>
      <c r="DH14" s="21">
        <f>CW14/(1+TEA!B$16)^$A14</f>
        <v>82492.693042267725</v>
      </c>
      <c r="DI14" s="21">
        <f>CX14/(1+TEA!C$16)^$A14</f>
        <v>80383.959783646191</v>
      </c>
      <c r="DJ14" s="21" t="e">
        <f>CY14/(1+TEA!D$16)^$A14</f>
        <v>#VALUE!</v>
      </c>
      <c r="DK14" s="21" t="e">
        <f>CZ14/(1+TEA!E$16)^$A14</f>
        <v>#VALUE!</v>
      </c>
      <c r="DL14" s="21"/>
      <c r="DM14" s="21">
        <f>DB14/(1+TEA!G$16)^$A14</f>
        <v>0</v>
      </c>
      <c r="DN14" s="21">
        <f>DC14/(1+TEA!H$16)^$A14</f>
        <v>0</v>
      </c>
      <c r="DO14" s="21">
        <f>DD14/(1+TEA!I$16)^$A14</f>
        <v>1810728.1145157858</v>
      </c>
      <c r="DP14" s="21">
        <f>DE14/(1+TEA!J$16)^$A14</f>
        <v>0</v>
      </c>
      <c r="DQ14" s="21">
        <f>DF14/(1+TEA!K$16)^$A14</f>
        <v>0</v>
      </c>
      <c r="DR14" s="21">
        <f>DG14/(1+TEA!L$16)^$A14</f>
        <v>0</v>
      </c>
    </row>
    <row r="15" spans="1:122" x14ac:dyDescent="0.25">
      <c r="A15" s="4">
        <f t="shared" si="1"/>
        <v>12</v>
      </c>
      <c r="B15" s="21">
        <f t="shared" si="31"/>
        <v>-596083.44316777098</v>
      </c>
      <c r="C15" s="21">
        <f t="shared" si="2"/>
        <v>-618059.75712604832</v>
      </c>
      <c r="D15" s="21" t="e">
        <f t="shared" si="3"/>
        <v>#VALUE!</v>
      </c>
      <c r="E15" s="21" t="e">
        <f t="shared" si="4"/>
        <v>#VALUE!</v>
      </c>
      <c r="F15" s="21"/>
      <c r="G15" s="21">
        <f t="shared" si="5"/>
        <v>0</v>
      </c>
      <c r="H15" s="21">
        <f t="shared" si="6"/>
        <v>0</v>
      </c>
      <c r="I15" s="21">
        <f t="shared" si="7"/>
        <v>-8655509.6935053375</v>
      </c>
      <c r="J15" s="21">
        <f t="shared" si="8"/>
        <v>0</v>
      </c>
      <c r="K15" s="21">
        <f t="shared" si="9"/>
        <v>0</v>
      </c>
      <c r="L15" s="21">
        <f t="shared" si="10"/>
        <v>0</v>
      </c>
      <c r="M15" s="21"/>
      <c r="X15" s="20"/>
      <c r="AI15" s="21">
        <f>AT14*TEA!$B$19</f>
        <v>6.0035381466150289E-11</v>
      </c>
      <c r="AJ15" s="21">
        <f>AU14*TEA!$B$19</f>
        <v>4.274770617485046E-11</v>
      </c>
      <c r="AK15" s="21">
        <f>AV14*TEA!$B$19</f>
        <v>1.3138633221387864E-10</v>
      </c>
      <c r="AL15" s="21">
        <f>AW14*TEA!$B$19</f>
        <v>-1.4773104339838026E-11</v>
      </c>
      <c r="AM15" s="21"/>
      <c r="AN15" s="21">
        <f>AY14*TEA!$B$19</f>
        <v>0</v>
      </c>
      <c r="AO15" s="21">
        <f>AZ14*TEA!$B$19</f>
        <v>0</v>
      </c>
      <c r="AP15" s="21">
        <f>BA14*TEA!$B$19</f>
        <v>5.2303075790405272E-10</v>
      </c>
      <c r="AQ15" s="21">
        <f>BB14*TEA!$B$19</f>
        <v>0</v>
      </c>
      <c r="AR15" s="21">
        <f>BC14*TEA!$B$19</f>
        <v>0</v>
      </c>
      <c r="AS15" s="21">
        <f>BD14*TEA!$B$19</f>
        <v>0</v>
      </c>
      <c r="AT15" s="20">
        <f t="shared" si="32"/>
        <v>8.1047764979302882E-10</v>
      </c>
      <c r="AU15" s="20">
        <f t="shared" si="33"/>
        <v>5.7709403336048129E-10</v>
      </c>
      <c r="AV15" s="20">
        <f t="shared" si="34"/>
        <v>1.7737154848873616E-9</v>
      </c>
      <c r="AW15" s="20">
        <f t="shared" si="35"/>
        <v>-1.9943690858781337E-10</v>
      </c>
      <c r="AX15" s="20"/>
      <c r="AY15" s="20">
        <f t="shared" si="36"/>
        <v>0</v>
      </c>
      <c r="AZ15" s="20">
        <f t="shared" si="37"/>
        <v>0</v>
      </c>
      <c r="BA15" s="20">
        <f t="shared" si="38"/>
        <v>7.0609152317047118E-9</v>
      </c>
      <c r="BB15" s="20">
        <f t="shared" si="39"/>
        <v>0</v>
      </c>
      <c r="BC15" s="20">
        <f t="shared" si="40"/>
        <v>0</v>
      </c>
      <c r="BD15" s="20">
        <f t="shared" si="41"/>
        <v>0</v>
      </c>
      <c r="BE15" s="21">
        <f>TEA!B$47-TEA!B$43-M15-AI15</f>
        <v>294201.60081362294</v>
      </c>
      <c r="BF15" s="21">
        <f>TEA!C$47-TEA!C$43-N15-AJ15</f>
        <v>286681.02320249431</v>
      </c>
      <c r="BG15" s="21" t="e">
        <f>TEA!D$47-TEA!D$43-O15-AK15</f>
        <v>#VALUE!</v>
      </c>
      <c r="BH15" s="21" t="e">
        <f>TEA!E$47-TEA!E$43-P15-AL15</f>
        <v>#VALUE!</v>
      </c>
      <c r="BI15" s="21"/>
      <c r="BJ15" s="21">
        <f>TEA!G$47-TEA!G$43-R15-AN15</f>
        <v>0</v>
      </c>
      <c r="BK15" s="21">
        <f>TEA!H$47-TEA!H$43-S15-AO15</f>
        <v>0</v>
      </c>
      <c r="BL15" s="21">
        <f>TEA!I$47-TEA!I$43-T15-AP15</f>
        <v>4909356.9186563184</v>
      </c>
      <c r="BM15" s="21">
        <f>TEA!J$47-TEA!J$43-U15-AQ15</f>
        <v>0</v>
      </c>
      <c r="BN15" s="21">
        <f>TEA!K$47-TEA!K$43-V15-AR15</f>
        <v>0</v>
      </c>
      <c r="BO15" s="21">
        <f>TEA!L$47-TEA!L$43-W15-AS15</f>
        <v>0</v>
      </c>
      <c r="BP15" s="21">
        <f t="shared" si="11"/>
        <v>0</v>
      </c>
      <c r="BQ15" s="21">
        <f t="shared" si="12"/>
        <v>0</v>
      </c>
      <c r="BR15" s="21" t="e">
        <f t="shared" si="13"/>
        <v>#VALUE!</v>
      </c>
      <c r="BS15" s="21" t="e">
        <f t="shared" si="14"/>
        <v>#VALUE!</v>
      </c>
      <c r="BT15" s="21"/>
      <c r="BU15" s="21">
        <f t="shared" si="15"/>
        <v>0</v>
      </c>
      <c r="BV15" s="21">
        <f t="shared" si="16"/>
        <v>0</v>
      </c>
      <c r="BW15" s="21">
        <f t="shared" si="17"/>
        <v>0</v>
      </c>
      <c r="BX15" s="21">
        <f t="shared" si="18"/>
        <v>0</v>
      </c>
      <c r="BY15" s="21">
        <f t="shared" si="19"/>
        <v>0</v>
      </c>
      <c r="BZ15" s="21">
        <f t="shared" si="20"/>
        <v>0</v>
      </c>
      <c r="CA15" s="21">
        <f t="shared" si="21"/>
        <v>294201.60081362294</v>
      </c>
      <c r="CB15" s="21">
        <f t="shared" si="22"/>
        <v>286681.02320249431</v>
      </c>
      <c r="CC15" s="21" t="e">
        <f t="shared" si="23"/>
        <v>#VALUE!</v>
      </c>
      <c r="CD15" s="21" t="e">
        <f t="shared" si="24"/>
        <v>#VALUE!</v>
      </c>
      <c r="CE15" s="21"/>
      <c r="CF15" s="21">
        <f t="shared" si="25"/>
        <v>0</v>
      </c>
      <c r="CG15" s="21">
        <f t="shared" si="26"/>
        <v>0</v>
      </c>
      <c r="CH15" s="21">
        <f t="shared" si="27"/>
        <v>4909356.9186563184</v>
      </c>
      <c r="CI15" s="21">
        <f t="shared" si="28"/>
        <v>0</v>
      </c>
      <c r="CJ15" s="21">
        <f t="shared" si="29"/>
        <v>0</v>
      </c>
      <c r="CK15" s="21">
        <f t="shared" si="30"/>
        <v>0</v>
      </c>
      <c r="CL15" s="21">
        <f>IF(CA15&gt;0,CA15*TEA!B$17-TEA!B$24,0)</f>
        <v>58840.320162724587</v>
      </c>
      <c r="CM15" s="21">
        <f>IF(CB15&gt;0,CB15*TEA!C$17-TEA!C$24,0)</f>
        <v>57336.204640498865</v>
      </c>
      <c r="CN15" s="21" t="e">
        <f>IF(CC15&gt;0,CC15*TEA!D$17-TEA!D$24,0)</f>
        <v>#VALUE!</v>
      </c>
      <c r="CO15" s="21" t="e">
        <f>IF(CD15&gt;0,CD15*TEA!E$17-TEA!E$24,0)</f>
        <v>#VALUE!</v>
      </c>
      <c r="CP15" s="21"/>
      <c r="CQ15" s="21">
        <f>IF(CF15&gt;0,CF15*TEA!G$17-TEA!G$24,0)</f>
        <v>0</v>
      </c>
      <c r="CR15" s="21">
        <f>IF(CG15&gt;0,CG15*TEA!H$17-TEA!H$24,0)</f>
        <v>0</v>
      </c>
      <c r="CS15" s="21">
        <f>IF(CH15&gt;0,CH15*TEA!I$17-TEA!I$24,0)</f>
        <v>414492.38373126369</v>
      </c>
      <c r="CT15" s="21">
        <f>IF(CI15&gt;0,CI15*TEA!J$17-TEA!J$24,0)</f>
        <v>0</v>
      </c>
      <c r="CU15" s="21">
        <f>IF(CJ15&gt;0,CJ15*TEA!K$17-TEA!K$24,0)</f>
        <v>0</v>
      </c>
      <c r="CV15" s="21">
        <f>IF(CK15&gt;0,CK15*TEA!L$17-TEA!L$24,0)</f>
        <v>0</v>
      </c>
      <c r="CW15" s="21">
        <f>TEA!B$47-TEA!B$43-X15-CL15</f>
        <v>235361.28065089841</v>
      </c>
      <c r="CX15" s="21">
        <f>TEA!C$47-TEA!C$43-Y15-CM15</f>
        <v>229344.81856199552</v>
      </c>
      <c r="CY15" s="21" t="e">
        <f>TEA!D$47-TEA!D$43-Z15-CN15</f>
        <v>#VALUE!</v>
      </c>
      <c r="CZ15" s="21" t="e">
        <f>TEA!E$47-TEA!E$43-AA15-CO15</f>
        <v>#VALUE!</v>
      </c>
      <c r="DA15" s="21"/>
      <c r="DB15" s="21">
        <f>TEA!G$47-TEA!G$43-AC15-CQ15</f>
        <v>0</v>
      </c>
      <c r="DC15" s="21">
        <f>TEA!H$47-TEA!H$43-AD15-CR15</f>
        <v>0</v>
      </c>
      <c r="DD15" s="21">
        <f>TEA!I$47-TEA!I$43-AE15-CS15</f>
        <v>4494864.5349250557</v>
      </c>
      <c r="DE15" s="21">
        <f>TEA!J$47-TEA!J$43-AF15-CT15</f>
        <v>0</v>
      </c>
      <c r="DF15" s="21">
        <f>TEA!K$47-TEA!K$43-AG15-CU15</f>
        <v>0</v>
      </c>
      <c r="DG15" s="21">
        <f>TEA!L$47-TEA!L$43-AH15-CV15</f>
        <v>0</v>
      </c>
      <c r="DH15" s="21">
        <f>CW15/(1+TEA!B$16)^$A15</f>
        <v>74993.357311152475</v>
      </c>
      <c r="DI15" s="21">
        <f>CX15/(1+TEA!C$16)^$A15</f>
        <v>73076.327076041998</v>
      </c>
      <c r="DJ15" s="21" t="e">
        <f>CY15/(1+TEA!D$16)^$A15</f>
        <v>#VALUE!</v>
      </c>
      <c r="DK15" s="21" t="e">
        <f>CZ15/(1+TEA!E$16)^$A15</f>
        <v>#VALUE!</v>
      </c>
      <c r="DL15" s="21"/>
      <c r="DM15" s="21">
        <f>DB15/(1+TEA!G$16)^$A15</f>
        <v>0</v>
      </c>
      <c r="DN15" s="21">
        <f>DC15/(1+TEA!H$16)^$A15</f>
        <v>0</v>
      </c>
      <c r="DO15" s="21">
        <f>DD15/(1+TEA!I$16)^$A15</f>
        <v>1432202.362260452</v>
      </c>
      <c r="DP15" s="21">
        <f>DE15/(1+TEA!J$16)^$A15</f>
        <v>0</v>
      </c>
      <c r="DQ15" s="21">
        <f>DF15/(1+TEA!K$16)^$A15</f>
        <v>0</v>
      </c>
      <c r="DR15" s="21">
        <f>DG15/(1+TEA!L$16)^$A15</f>
        <v>0</v>
      </c>
    </row>
    <row r="16" spans="1:122" x14ac:dyDescent="0.25">
      <c r="A16" s="4">
        <f t="shared" si="1"/>
        <v>13</v>
      </c>
      <c r="B16" s="21">
        <f t="shared" si="31"/>
        <v>-527907.66379399598</v>
      </c>
      <c r="C16" s="21">
        <f t="shared" si="2"/>
        <v>-551626.73251146474</v>
      </c>
      <c r="D16" s="21" t="e">
        <f t="shared" si="3"/>
        <v>#VALUE!</v>
      </c>
      <c r="E16" s="21" t="e">
        <f t="shared" si="4"/>
        <v>#VALUE!</v>
      </c>
      <c r="F16" s="21"/>
      <c r="G16" s="21">
        <f t="shared" si="5"/>
        <v>0</v>
      </c>
      <c r="H16" s="21">
        <f t="shared" si="6"/>
        <v>0</v>
      </c>
      <c r="I16" s="21">
        <f t="shared" si="7"/>
        <v>-7353507.5459958352</v>
      </c>
      <c r="J16" s="21">
        <f t="shared" si="8"/>
        <v>0</v>
      </c>
      <c r="K16" s="21">
        <f t="shared" si="9"/>
        <v>0</v>
      </c>
      <c r="L16" s="21">
        <f t="shared" si="10"/>
        <v>0</v>
      </c>
      <c r="M16" s="21"/>
      <c r="X16" s="20"/>
      <c r="AI16" s="21">
        <f>AT15*TEA!$B$19</f>
        <v>6.4838211983442307E-11</v>
      </c>
      <c r="AJ16" s="21">
        <f>AU15*TEA!$B$19</f>
        <v>4.6167522668838506E-11</v>
      </c>
      <c r="AK16" s="21">
        <f>AV15*TEA!$B$19</f>
        <v>1.4189723879098892E-10</v>
      </c>
      <c r="AL16" s="21">
        <f>AW15*TEA!$B$19</f>
        <v>-1.5954952687025071E-11</v>
      </c>
      <c r="AM16" s="21"/>
      <c r="AN16" s="21">
        <f>AY15*TEA!$B$19</f>
        <v>0</v>
      </c>
      <c r="AO16" s="21">
        <f>AZ15*TEA!$B$19</f>
        <v>0</v>
      </c>
      <c r="AP16" s="21">
        <f>BA15*TEA!$B$19</f>
        <v>5.6487321853637691E-10</v>
      </c>
      <c r="AQ16" s="21">
        <f>BB15*TEA!$B$19</f>
        <v>0</v>
      </c>
      <c r="AR16" s="21">
        <f>BC15*TEA!$B$19</f>
        <v>0</v>
      </c>
      <c r="AS16" s="21">
        <f>BD15*TEA!$B$19</f>
        <v>0</v>
      </c>
      <c r="AT16" s="20">
        <f t="shared" si="32"/>
        <v>8.7531586177647107E-10</v>
      </c>
      <c r="AU16" s="20">
        <f t="shared" si="33"/>
        <v>6.2326155602931975E-10</v>
      </c>
      <c r="AV16" s="20">
        <f t="shared" si="34"/>
        <v>1.9156127236783505E-9</v>
      </c>
      <c r="AW16" s="20">
        <f t="shared" si="35"/>
        <v>-2.1539186127483844E-10</v>
      </c>
      <c r="AX16" s="20"/>
      <c r="AY16" s="20">
        <f t="shared" si="36"/>
        <v>0</v>
      </c>
      <c r="AZ16" s="20">
        <f t="shared" si="37"/>
        <v>0</v>
      </c>
      <c r="BA16" s="20">
        <f t="shared" si="38"/>
        <v>7.6257884502410879E-9</v>
      </c>
      <c r="BB16" s="20">
        <f t="shared" si="39"/>
        <v>0</v>
      </c>
      <c r="BC16" s="20">
        <f t="shared" si="40"/>
        <v>0</v>
      </c>
      <c r="BD16" s="20">
        <f t="shared" si="41"/>
        <v>0</v>
      </c>
      <c r="BE16" s="21">
        <f>TEA!B$47-TEA!B$43-M16-AI16</f>
        <v>294201.60081362294</v>
      </c>
      <c r="BF16" s="21">
        <f>TEA!C$47-TEA!C$43-N16-AJ16</f>
        <v>286681.02320249431</v>
      </c>
      <c r="BG16" s="21" t="e">
        <f>TEA!D$47-TEA!D$43-O16-AK16</f>
        <v>#VALUE!</v>
      </c>
      <c r="BH16" s="21" t="e">
        <f>TEA!E$47-TEA!E$43-P16-AL16</f>
        <v>#VALUE!</v>
      </c>
      <c r="BI16" s="21"/>
      <c r="BJ16" s="21">
        <f>TEA!G$47-TEA!G$43-R16-AN16</f>
        <v>0</v>
      </c>
      <c r="BK16" s="21">
        <f>TEA!H$47-TEA!H$43-S16-AO16</f>
        <v>0</v>
      </c>
      <c r="BL16" s="21">
        <f>TEA!I$47-TEA!I$43-T16-AP16</f>
        <v>4909356.9186563184</v>
      </c>
      <c r="BM16" s="21">
        <f>TEA!J$47-TEA!J$43-U16-AQ16</f>
        <v>0</v>
      </c>
      <c r="BN16" s="21">
        <f>TEA!K$47-TEA!K$43-V16-AR16</f>
        <v>0</v>
      </c>
      <c r="BO16" s="21">
        <f>TEA!L$47-TEA!L$43-W16-AS16</f>
        <v>0</v>
      </c>
      <c r="BP16" s="21">
        <f t="shared" si="11"/>
        <v>0</v>
      </c>
      <c r="BQ16" s="21">
        <f t="shared" si="12"/>
        <v>0</v>
      </c>
      <c r="BR16" s="21" t="e">
        <f t="shared" si="13"/>
        <v>#VALUE!</v>
      </c>
      <c r="BS16" s="21" t="e">
        <f t="shared" si="14"/>
        <v>#VALUE!</v>
      </c>
      <c r="BT16" s="21"/>
      <c r="BU16" s="21">
        <f t="shared" si="15"/>
        <v>0</v>
      </c>
      <c r="BV16" s="21">
        <f t="shared" si="16"/>
        <v>0</v>
      </c>
      <c r="BW16" s="21">
        <f t="shared" si="17"/>
        <v>0</v>
      </c>
      <c r="BX16" s="21">
        <f t="shared" si="18"/>
        <v>0</v>
      </c>
      <c r="BY16" s="21">
        <f t="shared" si="19"/>
        <v>0</v>
      </c>
      <c r="BZ16" s="21">
        <f t="shared" si="20"/>
        <v>0</v>
      </c>
      <c r="CA16" s="21">
        <f t="shared" si="21"/>
        <v>294201.60081362294</v>
      </c>
      <c r="CB16" s="21">
        <f t="shared" si="22"/>
        <v>286681.02320249431</v>
      </c>
      <c r="CC16" s="21" t="e">
        <f t="shared" si="23"/>
        <v>#VALUE!</v>
      </c>
      <c r="CD16" s="21" t="e">
        <f t="shared" si="24"/>
        <v>#VALUE!</v>
      </c>
      <c r="CE16" s="21"/>
      <c r="CF16" s="21">
        <f t="shared" si="25"/>
        <v>0</v>
      </c>
      <c r="CG16" s="21">
        <f t="shared" si="26"/>
        <v>0</v>
      </c>
      <c r="CH16" s="21">
        <f t="shared" si="27"/>
        <v>4909356.9186563184</v>
      </c>
      <c r="CI16" s="21">
        <f t="shared" si="28"/>
        <v>0</v>
      </c>
      <c r="CJ16" s="21">
        <f t="shared" si="29"/>
        <v>0</v>
      </c>
      <c r="CK16" s="21">
        <f t="shared" si="30"/>
        <v>0</v>
      </c>
      <c r="CL16" s="21">
        <f>IF(CA16&gt;0,CA16*TEA!B$17-TEA!B$24,0)</f>
        <v>58840.320162724587</v>
      </c>
      <c r="CM16" s="21">
        <f>IF(CB16&gt;0,CB16*TEA!C$17-TEA!C$24,0)</f>
        <v>57336.204640498865</v>
      </c>
      <c r="CN16" s="21" t="e">
        <f>IF(CC16&gt;0,CC16*TEA!D$17-TEA!D$24,0)</f>
        <v>#VALUE!</v>
      </c>
      <c r="CO16" s="21" t="e">
        <f>IF(CD16&gt;0,CD16*TEA!E$17-TEA!E$24,0)</f>
        <v>#VALUE!</v>
      </c>
      <c r="CP16" s="21"/>
      <c r="CQ16" s="21">
        <f>IF(CF16&gt;0,CF16*TEA!G$17-TEA!G$24,0)</f>
        <v>0</v>
      </c>
      <c r="CR16" s="21">
        <f>IF(CG16&gt;0,CG16*TEA!H$17-TEA!H$24,0)</f>
        <v>0</v>
      </c>
      <c r="CS16" s="21">
        <f>IF(CH16&gt;0,CH16*TEA!I$17-TEA!I$24,0)</f>
        <v>414492.38373126369</v>
      </c>
      <c r="CT16" s="21">
        <f>IF(CI16&gt;0,CI16*TEA!J$17-TEA!J$24,0)</f>
        <v>0</v>
      </c>
      <c r="CU16" s="21">
        <f>IF(CJ16&gt;0,CJ16*TEA!K$17-TEA!K$24,0)</f>
        <v>0</v>
      </c>
      <c r="CV16" s="21">
        <f>IF(CK16&gt;0,CK16*TEA!L$17-TEA!L$24,0)</f>
        <v>0</v>
      </c>
      <c r="CW16" s="21">
        <f>TEA!B$47-TEA!B$43-X16-CL16</f>
        <v>235361.28065089841</v>
      </c>
      <c r="CX16" s="21">
        <f>TEA!C$47-TEA!C$43-Y16-CM16</f>
        <v>229344.81856199552</v>
      </c>
      <c r="CY16" s="21" t="e">
        <f>TEA!D$47-TEA!D$43-Z16-CN16</f>
        <v>#VALUE!</v>
      </c>
      <c r="CZ16" s="21" t="e">
        <f>TEA!E$47-TEA!E$43-AA16-CO16</f>
        <v>#VALUE!</v>
      </c>
      <c r="DA16" s="21"/>
      <c r="DB16" s="21">
        <f>TEA!G$47-TEA!G$43-AC16-CQ16</f>
        <v>0</v>
      </c>
      <c r="DC16" s="21">
        <f>TEA!H$47-TEA!H$43-AD16-CR16</f>
        <v>0</v>
      </c>
      <c r="DD16" s="21">
        <f>TEA!I$47-TEA!I$43-AE16-CS16</f>
        <v>4494864.5349250557</v>
      </c>
      <c r="DE16" s="21">
        <f>TEA!J$47-TEA!J$43-AF16-CT16</f>
        <v>0</v>
      </c>
      <c r="DF16" s="21">
        <f>TEA!K$47-TEA!K$43-AG16-CU16</f>
        <v>0</v>
      </c>
      <c r="DG16" s="21">
        <f>TEA!L$47-TEA!L$43-AH16-CV16</f>
        <v>0</v>
      </c>
      <c r="DH16" s="21">
        <f>CW16/(1+TEA!B$16)^$A16</f>
        <v>68175.779373774974</v>
      </c>
      <c r="DI16" s="21">
        <f>CX16/(1+TEA!C$16)^$A16</f>
        <v>66433.024614583628</v>
      </c>
      <c r="DJ16" s="21" t="e">
        <f>CY16/(1+TEA!D$16)^$A16</f>
        <v>#VALUE!</v>
      </c>
      <c r="DK16" s="21" t="e">
        <f>CZ16/(1+TEA!E$16)^$A16</f>
        <v>#VALUE!</v>
      </c>
      <c r="DL16" s="21"/>
      <c r="DM16" s="21">
        <f>DB16/(1+TEA!G$16)^$A16</f>
        <v>0</v>
      </c>
      <c r="DN16" s="21">
        <f>DC16/(1+TEA!H$16)^$A16</f>
        <v>0</v>
      </c>
      <c r="DO16" s="21">
        <f>DD16/(1+TEA!I$16)^$A16</f>
        <v>1302002.1475095018</v>
      </c>
      <c r="DP16" s="21">
        <f>DE16/(1+TEA!J$16)^$A16</f>
        <v>0</v>
      </c>
      <c r="DQ16" s="21">
        <f>DF16/(1+TEA!K$16)^$A16</f>
        <v>0</v>
      </c>
      <c r="DR16" s="21">
        <f>DG16/(1+TEA!L$16)^$A16</f>
        <v>0</v>
      </c>
    </row>
    <row r="17" spans="1:122" x14ac:dyDescent="0.25">
      <c r="A17" s="4">
        <f t="shared" si="1"/>
        <v>14</v>
      </c>
      <c r="B17" s="21">
        <f t="shared" si="31"/>
        <v>-465929.68254510965</v>
      </c>
      <c r="C17" s="21">
        <f t="shared" si="2"/>
        <v>-491233.07377093419</v>
      </c>
      <c r="D17" s="21" t="e">
        <f t="shared" si="3"/>
        <v>#VALUE!</v>
      </c>
      <c r="E17" s="21" t="e">
        <f t="shared" si="4"/>
        <v>#VALUE!</v>
      </c>
      <c r="F17" s="21"/>
      <c r="G17" s="21">
        <f t="shared" si="5"/>
        <v>0</v>
      </c>
      <c r="H17" s="21">
        <f t="shared" si="6"/>
        <v>0</v>
      </c>
      <c r="I17" s="21">
        <f t="shared" si="7"/>
        <v>-6169869.2300781067</v>
      </c>
      <c r="J17" s="21">
        <f t="shared" si="8"/>
        <v>0</v>
      </c>
      <c r="K17" s="21">
        <f t="shared" si="9"/>
        <v>0</v>
      </c>
      <c r="L17" s="21">
        <f t="shared" si="10"/>
        <v>0</v>
      </c>
      <c r="M17" s="21"/>
      <c r="X17" s="20"/>
      <c r="AI17" s="21"/>
      <c r="AT17" s="21"/>
      <c r="BE17" s="21">
        <f>TEA!B$47-TEA!B$43-M17-AI17</f>
        <v>294201.60081362299</v>
      </c>
      <c r="BF17" s="21">
        <f>TEA!C$47-TEA!C$43-N17-AJ17</f>
        <v>286681.02320249437</v>
      </c>
      <c r="BG17" s="21" t="e">
        <f>TEA!D$47-TEA!D$43-O17-AK17</f>
        <v>#VALUE!</v>
      </c>
      <c r="BH17" s="21" t="e">
        <f>TEA!E$47-TEA!E$43-P17-AL17</f>
        <v>#VALUE!</v>
      </c>
      <c r="BI17" s="21"/>
      <c r="BJ17" s="21">
        <f>TEA!G$47-TEA!G$43-R17-AN17</f>
        <v>0</v>
      </c>
      <c r="BK17" s="21">
        <f>TEA!H$47-TEA!H$43-S17-AO17</f>
        <v>0</v>
      </c>
      <c r="BL17" s="21">
        <f>TEA!I$47-TEA!I$43-T17-AP17</f>
        <v>4909356.9186563194</v>
      </c>
      <c r="BM17" s="21">
        <f>TEA!J$47-TEA!J$43-U17-AQ17</f>
        <v>0</v>
      </c>
      <c r="BN17" s="21">
        <f>TEA!K$47-TEA!K$43-V17-AR17</f>
        <v>0</v>
      </c>
      <c r="BO17" s="21">
        <f>TEA!L$47-TEA!L$43-W17-AS17</f>
        <v>0</v>
      </c>
      <c r="BP17" s="21">
        <f t="shared" si="11"/>
        <v>0</v>
      </c>
      <c r="BQ17" s="21">
        <f t="shared" si="12"/>
        <v>0</v>
      </c>
      <c r="BR17" s="21" t="e">
        <f t="shared" si="13"/>
        <v>#VALUE!</v>
      </c>
      <c r="BS17" s="21" t="e">
        <f t="shared" si="14"/>
        <v>#VALUE!</v>
      </c>
      <c r="BT17" s="21"/>
      <c r="BU17" s="21">
        <f t="shared" si="15"/>
        <v>0</v>
      </c>
      <c r="BV17" s="21">
        <f t="shared" si="16"/>
        <v>0</v>
      </c>
      <c r="BW17" s="21">
        <f t="shared" si="17"/>
        <v>0</v>
      </c>
      <c r="BX17" s="21">
        <f t="shared" si="18"/>
        <v>0</v>
      </c>
      <c r="BY17" s="21">
        <f t="shared" si="19"/>
        <v>0</v>
      </c>
      <c r="BZ17" s="21">
        <f t="shared" si="20"/>
        <v>0</v>
      </c>
      <c r="CA17" s="21">
        <f t="shared" si="21"/>
        <v>294201.60081362299</v>
      </c>
      <c r="CB17" s="21">
        <f t="shared" si="22"/>
        <v>286681.02320249437</v>
      </c>
      <c r="CC17" s="21" t="e">
        <f t="shared" si="23"/>
        <v>#VALUE!</v>
      </c>
      <c r="CD17" s="21" t="e">
        <f t="shared" si="24"/>
        <v>#VALUE!</v>
      </c>
      <c r="CE17" s="21"/>
      <c r="CF17" s="21">
        <f t="shared" si="25"/>
        <v>0</v>
      </c>
      <c r="CG17" s="21">
        <f t="shared" si="26"/>
        <v>0</v>
      </c>
      <c r="CH17" s="21">
        <f t="shared" si="27"/>
        <v>4909356.9186563194</v>
      </c>
      <c r="CI17" s="21">
        <f t="shared" si="28"/>
        <v>0</v>
      </c>
      <c r="CJ17" s="21">
        <f t="shared" si="29"/>
        <v>0</v>
      </c>
      <c r="CK17" s="21">
        <f t="shared" si="30"/>
        <v>0</v>
      </c>
      <c r="CL17" s="21">
        <f>IF(CA17&gt;0,CA17*TEA!B$17-TEA!B$24,0)</f>
        <v>58840.320162724602</v>
      </c>
      <c r="CM17" s="21">
        <f>IF(CB17&gt;0,CB17*TEA!C$17-TEA!C$24,0)</f>
        <v>57336.20464049888</v>
      </c>
      <c r="CN17" s="21" t="e">
        <f>IF(CC17&gt;0,CC17*TEA!D$17-TEA!D$24,0)</f>
        <v>#VALUE!</v>
      </c>
      <c r="CO17" s="21" t="e">
        <f>IF(CD17&gt;0,CD17*TEA!E$17-TEA!E$24,0)</f>
        <v>#VALUE!</v>
      </c>
      <c r="CP17" s="21"/>
      <c r="CQ17" s="21">
        <f>IF(CF17&gt;0,CF17*TEA!G$17-TEA!G$24,0)</f>
        <v>0</v>
      </c>
      <c r="CR17" s="21">
        <f>IF(CG17&gt;0,CG17*TEA!H$17-TEA!H$24,0)</f>
        <v>0</v>
      </c>
      <c r="CS17" s="21">
        <f>IF(CH17&gt;0,CH17*TEA!I$17-TEA!I$24,0)</f>
        <v>414492.38373126392</v>
      </c>
      <c r="CT17" s="21">
        <f>IF(CI17&gt;0,CI17*TEA!J$17-TEA!J$24,0)</f>
        <v>0</v>
      </c>
      <c r="CU17" s="21">
        <f>IF(CJ17&gt;0,CJ17*TEA!K$17-TEA!K$24,0)</f>
        <v>0</v>
      </c>
      <c r="CV17" s="21">
        <f>IF(CK17&gt;0,CK17*TEA!L$17-TEA!L$24,0)</f>
        <v>0</v>
      </c>
      <c r="CW17" s="21">
        <f>TEA!B$47-TEA!B$43-X17-CL17</f>
        <v>235361.28065089841</v>
      </c>
      <c r="CX17" s="21">
        <f>TEA!C$47-TEA!C$43-Y17-CM17</f>
        <v>229344.81856199549</v>
      </c>
      <c r="CY17" s="21" t="e">
        <f>TEA!D$47-TEA!D$43-Z17-CN17</f>
        <v>#VALUE!</v>
      </c>
      <c r="CZ17" s="21" t="e">
        <f>TEA!E$47-TEA!E$43-AA17-CO17</f>
        <v>#VALUE!</v>
      </c>
      <c r="DA17" s="21"/>
      <c r="DB17" s="21">
        <f>TEA!G$47-TEA!G$43-AC17-CQ17</f>
        <v>0</v>
      </c>
      <c r="DC17" s="21">
        <f>TEA!H$47-TEA!H$43-AD17-CR17</f>
        <v>0</v>
      </c>
      <c r="DD17" s="21">
        <f>TEA!I$47-TEA!I$43-AE17-CS17</f>
        <v>4494864.5349250557</v>
      </c>
      <c r="DE17" s="21">
        <f>TEA!J$47-TEA!J$43-AF17-CT17</f>
        <v>0</v>
      </c>
      <c r="DF17" s="21">
        <f>TEA!K$47-TEA!K$43-AG17-CU17</f>
        <v>0</v>
      </c>
      <c r="DG17" s="21">
        <f>TEA!L$47-TEA!L$43-AH17-CV17</f>
        <v>0</v>
      </c>
      <c r="DH17" s="21">
        <f>CW17/(1+TEA!B$16)^$A17</f>
        <v>61977.981248886332</v>
      </c>
      <c r="DI17" s="21">
        <f>CX17/(1+TEA!C$16)^$A17</f>
        <v>60393.658740530554</v>
      </c>
      <c r="DJ17" s="21" t="e">
        <f>CY17/(1+TEA!D$16)^$A17</f>
        <v>#VALUE!</v>
      </c>
      <c r="DK17" s="21" t="e">
        <f>CZ17/(1+TEA!E$16)^$A17</f>
        <v>#VALUE!</v>
      </c>
      <c r="DL17" s="21"/>
      <c r="DM17" s="21">
        <f>DB17/(1+TEA!G$16)^$A17</f>
        <v>0</v>
      </c>
      <c r="DN17" s="21">
        <f>DC17/(1+TEA!H$16)^$A17</f>
        <v>0</v>
      </c>
      <c r="DO17" s="21">
        <f>DD17/(1+TEA!I$16)^$A17</f>
        <v>1183638.3159177287</v>
      </c>
      <c r="DP17" s="21">
        <f>DE17/(1+TEA!J$16)^$A17</f>
        <v>0</v>
      </c>
      <c r="DQ17" s="21">
        <f>DF17/(1+TEA!K$16)^$A17</f>
        <v>0</v>
      </c>
      <c r="DR17" s="21">
        <f>DG17/(1+TEA!L$16)^$A17</f>
        <v>0</v>
      </c>
    </row>
    <row r="18" spans="1:122" x14ac:dyDescent="0.25">
      <c r="A18" s="4">
        <f t="shared" si="1"/>
        <v>15</v>
      </c>
      <c r="B18" s="21">
        <f t="shared" si="31"/>
        <v>-409586.06322794023</v>
      </c>
      <c r="C18" s="21">
        <f t="shared" si="2"/>
        <v>-436329.74764317914</v>
      </c>
      <c r="D18" s="21" t="e">
        <f t="shared" si="3"/>
        <v>#VALUE!</v>
      </c>
      <c r="E18" s="21" t="e">
        <f t="shared" si="4"/>
        <v>#VALUE!</v>
      </c>
      <c r="F18" s="21"/>
      <c r="G18" s="21">
        <f t="shared" si="5"/>
        <v>0</v>
      </c>
      <c r="H18" s="21">
        <f t="shared" si="6"/>
        <v>0</v>
      </c>
      <c r="I18" s="21">
        <f t="shared" si="7"/>
        <v>-5093834.3974256264</v>
      </c>
      <c r="J18" s="21">
        <f t="shared" si="8"/>
        <v>0</v>
      </c>
      <c r="K18" s="21">
        <f t="shared" si="9"/>
        <v>0</v>
      </c>
      <c r="L18" s="21">
        <f t="shared" si="10"/>
        <v>0</v>
      </c>
      <c r="M18" s="21"/>
      <c r="X18" s="20"/>
      <c r="AI18" s="21"/>
      <c r="AT18" s="21"/>
      <c r="BE18" s="21">
        <f>TEA!B$47-TEA!B$43-M18-AI18</f>
        <v>294201.60081362299</v>
      </c>
      <c r="BF18" s="21">
        <f>TEA!C$47-TEA!C$43-N18-AJ18</f>
        <v>286681.02320249437</v>
      </c>
      <c r="BG18" s="21" t="e">
        <f>TEA!D$47-TEA!D$43-O18-AK18</f>
        <v>#VALUE!</v>
      </c>
      <c r="BH18" s="21" t="e">
        <f>TEA!E$47-TEA!E$43-P18-AL18</f>
        <v>#VALUE!</v>
      </c>
      <c r="BI18" s="21"/>
      <c r="BJ18" s="21">
        <f>TEA!G$47-TEA!G$43-R18-AN18</f>
        <v>0</v>
      </c>
      <c r="BK18" s="21">
        <f>TEA!H$47-TEA!H$43-S18-AO18</f>
        <v>0</v>
      </c>
      <c r="BL18" s="21">
        <f>TEA!I$47-TEA!I$43-T18-AP18</f>
        <v>4909356.9186563194</v>
      </c>
      <c r="BM18" s="21">
        <f>TEA!J$47-TEA!J$43-U18-AQ18</f>
        <v>0</v>
      </c>
      <c r="BN18" s="21">
        <f>TEA!K$47-TEA!K$43-V18-AR18</f>
        <v>0</v>
      </c>
      <c r="BO18" s="21">
        <f>TEA!L$47-TEA!L$43-W18-AS18</f>
        <v>0</v>
      </c>
      <c r="BP18" s="21">
        <f t="shared" si="11"/>
        <v>0</v>
      </c>
      <c r="BQ18" s="21">
        <f t="shared" si="12"/>
        <v>0</v>
      </c>
      <c r="BR18" s="21" t="e">
        <f t="shared" si="13"/>
        <v>#VALUE!</v>
      </c>
      <c r="BS18" s="21" t="e">
        <f t="shared" si="14"/>
        <v>#VALUE!</v>
      </c>
      <c r="BT18" s="21"/>
      <c r="BU18" s="21">
        <f t="shared" si="15"/>
        <v>0</v>
      </c>
      <c r="BV18" s="21">
        <f t="shared" si="16"/>
        <v>0</v>
      </c>
      <c r="BW18" s="21">
        <f t="shared" si="17"/>
        <v>0</v>
      </c>
      <c r="BX18" s="21">
        <f t="shared" si="18"/>
        <v>0</v>
      </c>
      <c r="BY18" s="21">
        <f t="shared" si="19"/>
        <v>0</v>
      </c>
      <c r="BZ18" s="21">
        <f t="shared" si="20"/>
        <v>0</v>
      </c>
      <c r="CA18" s="21">
        <f t="shared" si="21"/>
        <v>294201.60081362299</v>
      </c>
      <c r="CB18" s="21">
        <f t="shared" si="22"/>
        <v>286681.02320249437</v>
      </c>
      <c r="CC18" s="21" t="e">
        <f t="shared" si="23"/>
        <v>#VALUE!</v>
      </c>
      <c r="CD18" s="21" t="e">
        <f t="shared" si="24"/>
        <v>#VALUE!</v>
      </c>
      <c r="CE18" s="21"/>
      <c r="CF18" s="21">
        <f t="shared" si="25"/>
        <v>0</v>
      </c>
      <c r="CG18" s="21">
        <f t="shared" si="26"/>
        <v>0</v>
      </c>
      <c r="CH18" s="21">
        <f t="shared" si="27"/>
        <v>4909356.9186563194</v>
      </c>
      <c r="CI18" s="21">
        <f t="shared" si="28"/>
        <v>0</v>
      </c>
      <c r="CJ18" s="21">
        <f t="shared" si="29"/>
        <v>0</v>
      </c>
      <c r="CK18" s="21">
        <f t="shared" si="30"/>
        <v>0</v>
      </c>
      <c r="CL18" s="21">
        <f>IF(CA18&gt;0,CA18*TEA!B$17-TEA!B$24,0)</f>
        <v>58840.320162724602</v>
      </c>
      <c r="CM18" s="21">
        <f>IF(CB18&gt;0,CB18*TEA!C$17-TEA!C$24,0)</f>
        <v>57336.20464049888</v>
      </c>
      <c r="CN18" s="21" t="e">
        <f>IF(CC18&gt;0,CC18*TEA!D$17-TEA!D$24,0)</f>
        <v>#VALUE!</v>
      </c>
      <c r="CO18" s="21" t="e">
        <f>IF(CD18&gt;0,CD18*TEA!E$17-TEA!E$24,0)</f>
        <v>#VALUE!</v>
      </c>
      <c r="CP18" s="21"/>
      <c r="CQ18" s="21">
        <f>IF(CF18&gt;0,CF18*TEA!G$17-TEA!G$24,0)</f>
        <v>0</v>
      </c>
      <c r="CR18" s="21">
        <f>IF(CG18&gt;0,CG18*TEA!H$17-TEA!H$24,0)</f>
        <v>0</v>
      </c>
      <c r="CS18" s="21">
        <f>IF(CH18&gt;0,CH18*TEA!I$17-TEA!I$24,0)</f>
        <v>414492.38373126392</v>
      </c>
      <c r="CT18" s="21">
        <f>IF(CI18&gt;0,CI18*TEA!J$17-TEA!J$24,0)</f>
        <v>0</v>
      </c>
      <c r="CU18" s="21">
        <f>IF(CJ18&gt;0,CJ18*TEA!K$17-TEA!K$24,0)</f>
        <v>0</v>
      </c>
      <c r="CV18" s="21">
        <f>IF(CK18&gt;0,CK18*TEA!L$17-TEA!L$24,0)</f>
        <v>0</v>
      </c>
      <c r="CW18" s="21">
        <f>TEA!B$47-TEA!B$43-X18-CL18</f>
        <v>235361.28065089841</v>
      </c>
      <c r="CX18" s="21">
        <f>TEA!C$47-TEA!C$43-Y18-CM18</f>
        <v>229344.81856199549</v>
      </c>
      <c r="CY18" s="21" t="e">
        <f>TEA!D$47-TEA!D$43-Z18-CN18</f>
        <v>#VALUE!</v>
      </c>
      <c r="CZ18" s="21" t="e">
        <f>TEA!E$47-TEA!E$43-AA18-CO18</f>
        <v>#VALUE!</v>
      </c>
      <c r="DA18" s="21"/>
      <c r="DB18" s="21">
        <f>TEA!G$47-TEA!G$43-AC18-CQ18</f>
        <v>0</v>
      </c>
      <c r="DC18" s="21">
        <f>TEA!H$47-TEA!H$43-AD18-CR18</f>
        <v>0</v>
      </c>
      <c r="DD18" s="21">
        <f>TEA!I$47-TEA!I$43-AE18-CS18</f>
        <v>4494864.5349250557</v>
      </c>
      <c r="DE18" s="21">
        <f>TEA!J$47-TEA!J$43-AF18-CT18</f>
        <v>0</v>
      </c>
      <c r="DF18" s="21">
        <f>TEA!K$47-TEA!K$43-AG18-CU18</f>
        <v>0</v>
      </c>
      <c r="DG18" s="21">
        <f>TEA!L$47-TEA!L$43-AH18-CV18</f>
        <v>0</v>
      </c>
      <c r="DH18" s="21">
        <f>CW18/(1+TEA!B$16)^$A18</f>
        <v>56343.619317169396</v>
      </c>
      <c r="DI18" s="21">
        <f>CX18/(1+TEA!C$16)^$A18</f>
        <v>54903.326127755048</v>
      </c>
      <c r="DJ18" s="21" t="e">
        <f>CY18/(1+TEA!D$16)^$A18</f>
        <v>#VALUE!</v>
      </c>
      <c r="DK18" s="21" t="e">
        <f>CZ18/(1+TEA!E$16)^$A18</f>
        <v>#VALUE!</v>
      </c>
      <c r="DL18" s="21"/>
      <c r="DM18" s="21">
        <f>DB18/(1+TEA!G$16)^$A18</f>
        <v>0</v>
      </c>
      <c r="DN18" s="21">
        <f>DC18/(1+TEA!H$16)^$A18</f>
        <v>0</v>
      </c>
      <c r="DO18" s="21">
        <f>DD18/(1+TEA!I$16)^$A18</f>
        <v>1076034.8326524806</v>
      </c>
      <c r="DP18" s="21">
        <f>DE18/(1+TEA!J$16)^$A18</f>
        <v>0</v>
      </c>
      <c r="DQ18" s="21">
        <f>DF18/(1+TEA!K$16)^$A18</f>
        <v>0</v>
      </c>
      <c r="DR18" s="21">
        <f>DG18/(1+TEA!L$16)^$A18</f>
        <v>0</v>
      </c>
    </row>
    <row r="19" spans="1:122" x14ac:dyDescent="0.25">
      <c r="A19" s="4">
        <f t="shared" si="1"/>
        <v>16</v>
      </c>
      <c r="B19" s="21">
        <f t="shared" si="31"/>
        <v>-358364.59112142259</v>
      </c>
      <c r="C19" s="21">
        <f t="shared" si="2"/>
        <v>-386417.63298158365</v>
      </c>
      <c r="D19" s="21" t="e">
        <f t="shared" si="3"/>
        <v>#VALUE!</v>
      </c>
      <c r="E19" s="21" t="e">
        <f t="shared" si="4"/>
        <v>#VALUE!</v>
      </c>
      <c r="F19" s="21"/>
      <c r="G19" s="21">
        <f t="shared" si="5"/>
        <v>0</v>
      </c>
      <c r="H19" s="21">
        <f t="shared" si="6"/>
        <v>0</v>
      </c>
      <c r="I19" s="21">
        <f t="shared" si="7"/>
        <v>-4115620.9131960985</v>
      </c>
      <c r="J19" s="21">
        <f t="shared" si="8"/>
        <v>0</v>
      </c>
      <c r="K19" s="21">
        <f t="shared" si="9"/>
        <v>0</v>
      </c>
      <c r="L19" s="21">
        <f t="shared" si="10"/>
        <v>0</v>
      </c>
      <c r="M19" s="21"/>
      <c r="X19" s="20"/>
      <c r="AI19" s="21"/>
      <c r="AT19" s="21"/>
      <c r="BE19" s="21">
        <f>TEA!B$47-TEA!B$43-M19-AI19</f>
        <v>294201.60081362299</v>
      </c>
      <c r="BF19" s="21">
        <f>TEA!C$47-TEA!C$43-N19-AJ19</f>
        <v>286681.02320249437</v>
      </c>
      <c r="BG19" s="21" t="e">
        <f>TEA!D$47-TEA!D$43-O19-AK19</f>
        <v>#VALUE!</v>
      </c>
      <c r="BH19" s="21" t="e">
        <f>TEA!E$47-TEA!E$43-P19-AL19</f>
        <v>#VALUE!</v>
      </c>
      <c r="BI19" s="21"/>
      <c r="BJ19" s="21">
        <f>TEA!G$47-TEA!G$43-R19-AN19</f>
        <v>0</v>
      </c>
      <c r="BK19" s="21">
        <f>TEA!H$47-TEA!H$43-S19-AO19</f>
        <v>0</v>
      </c>
      <c r="BL19" s="21">
        <f>TEA!I$47-TEA!I$43-T19-AP19</f>
        <v>4909356.9186563194</v>
      </c>
      <c r="BM19" s="21">
        <f>TEA!J$47-TEA!J$43-U19-AQ19</f>
        <v>0</v>
      </c>
      <c r="BN19" s="21">
        <f>TEA!K$47-TEA!K$43-V19-AR19</f>
        <v>0</v>
      </c>
      <c r="BO19" s="21">
        <f>TEA!L$47-TEA!L$43-W19-AS19</f>
        <v>0</v>
      </c>
      <c r="BP19" s="21">
        <f t="shared" si="11"/>
        <v>0</v>
      </c>
      <c r="BQ19" s="21">
        <f t="shared" si="12"/>
        <v>0</v>
      </c>
      <c r="BR19" s="21" t="e">
        <f t="shared" si="13"/>
        <v>#VALUE!</v>
      </c>
      <c r="BS19" s="21" t="e">
        <f t="shared" si="14"/>
        <v>#VALUE!</v>
      </c>
      <c r="BT19" s="21"/>
      <c r="BU19" s="21">
        <f t="shared" si="15"/>
        <v>0</v>
      </c>
      <c r="BV19" s="21">
        <f t="shared" si="16"/>
        <v>0</v>
      </c>
      <c r="BW19" s="21">
        <f t="shared" si="17"/>
        <v>0</v>
      </c>
      <c r="BX19" s="21">
        <f t="shared" si="18"/>
        <v>0</v>
      </c>
      <c r="BY19" s="21">
        <f t="shared" si="19"/>
        <v>0</v>
      </c>
      <c r="BZ19" s="21">
        <f t="shared" si="20"/>
        <v>0</v>
      </c>
      <c r="CA19" s="21">
        <f t="shared" si="21"/>
        <v>294201.60081362299</v>
      </c>
      <c r="CB19" s="21">
        <f t="shared" si="22"/>
        <v>286681.02320249437</v>
      </c>
      <c r="CC19" s="21" t="e">
        <f t="shared" si="23"/>
        <v>#VALUE!</v>
      </c>
      <c r="CD19" s="21" t="e">
        <f t="shared" si="24"/>
        <v>#VALUE!</v>
      </c>
      <c r="CE19" s="21"/>
      <c r="CF19" s="21">
        <f t="shared" si="25"/>
        <v>0</v>
      </c>
      <c r="CG19" s="21">
        <f t="shared" si="26"/>
        <v>0</v>
      </c>
      <c r="CH19" s="21">
        <f t="shared" si="27"/>
        <v>4909356.9186563194</v>
      </c>
      <c r="CI19" s="21">
        <f t="shared" si="28"/>
        <v>0</v>
      </c>
      <c r="CJ19" s="21">
        <f t="shared" si="29"/>
        <v>0</v>
      </c>
      <c r="CK19" s="21">
        <f t="shared" si="30"/>
        <v>0</v>
      </c>
      <c r="CL19" s="21">
        <f>IF(CA19&gt;0,CA19*TEA!B$17-TEA!B$24,0)</f>
        <v>58840.320162724602</v>
      </c>
      <c r="CM19" s="21">
        <f>IF(CB19&gt;0,CB19*TEA!C$17-TEA!C$24,0)</f>
        <v>57336.20464049888</v>
      </c>
      <c r="CN19" s="21" t="e">
        <f>IF(CC19&gt;0,CC19*TEA!D$17-TEA!D$24,0)</f>
        <v>#VALUE!</v>
      </c>
      <c r="CO19" s="21" t="e">
        <f>IF(CD19&gt;0,CD19*TEA!E$17-TEA!E$24,0)</f>
        <v>#VALUE!</v>
      </c>
      <c r="CP19" s="21"/>
      <c r="CQ19" s="21">
        <f>IF(CF19&gt;0,CF19*TEA!G$17-TEA!G$24,0)</f>
        <v>0</v>
      </c>
      <c r="CR19" s="21">
        <f>IF(CG19&gt;0,CG19*TEA!H$17-TEA!H$24,0)</f>
        <v>0</v>
      </c>
      <c r="CS19" s="21">
        <f>IF(CH19&gt;0,CH19*TEA!I$17-TEA!I$24,0)</f>
        <v>414492.38373126392</v>
      </c>
      <c r="CT19" s="21">
        <f>IF(CI19&gt;0,CI19*TEA!J$17-TEA!J$24,0)</f>
        <v>0</v>
      </c>
      <c r="CU19" s="21">
        <f>IF(CJ19&gt;0,CJ19*TEA!K$17-TEA!K$24,0)</f>
        <v>0</v>
      </c>
      <c r="CV19" s="21">
        <f>IF(CK19&gt;0,CK19*TEA!L$17-TEA!L$24,0)</f>
        <v>0</v>
      </c>
      <c r="CW19" s="21">
        <f>TEA!B$47-TEA!B$43-X19-CL19</f>
        <v>235361.28065089841</v>
      </c>
      <c r="CX19" s="21">
        <f>TEA!C$47-TEA!C$43-Y19-CM19</f>
        <v>229344.81856199549</v>
      </c>
      <c r="CY19" s="21" t="e">
        <f>TEA!D$47-TEA!D$43-Z19-CN19</f>
        <v>#VALUE!</v>
      </c>
      <c r="CZ19" s="21" t="e">
        <f>TEA!E$47-TEA!E$43-AA19-CO19</f>
        <v>#VALUE!</v>
      </c>
      <c r="DA19" s="21"/>
      <c r="DB19" s="21">
        <f>TEA!G$47-TEA!G$43-AC19-CQ19</f>
        <v>0</v>
      </c>
      <c r="DC19" s="21">
        <f>TEA!H$47-TEA!H$43-AD19-CR19</f>
        <v>0</v>
      </c>
      <c r="DD19" s="21">
        <f>TEA!I$47-TEA!I$43-AE19-CS19</f>
        <v>4494864.5349250557</v>
      </c>
      <c r="DE19" s="21">
        <f>TEA!J$47-TEA!J$43-AF19-CT19</f>
        <v>0</v>
      </c>
      <c r="DF19" s="21">
        <f>TEA!K$47-TEA!K$43-AG19-CU19</f>
        <v>0</v>
      </c>
      <c r="DG19" s="21">
        <f>TEA!L$47-TEA!L$43-AH19-CV19</f>
        <v>0</v>
      </c>
      <c r="DH19" s="21">
        <f>CW19/(1+TEA!B$16)^$A19</f>
        <v>51221.472106517627</v>
      </c>
      <c r="DI19" s="21">
        <f>CX19/(1+TEA!C$16)^$A19</f>
        <v>49912.114661595493</v>
      </c>
      <c r="DJ19" s="21" t="e">
        <f>CY19/(1+TEA!D$16)^$A19</f>
        <v>#VALUE!</v>
      </c>
      <c r="DK19" s="21" t="e">
        <f>CZ19/(1+TEA!E$16)^$A19</f>
        <v>#VALUE!</v>
      </c>
      <c r="DL19" s="21"/>
      <c r="DM19" s="21">
        <f>DB19/(1+TEA!G$16)^$A19</f>
        <v>0</v>
      </c>
      <c r="DN19" s="21">
        <f>DC19/(1+TEA!H$16)^$A19</f>
        <v>0</v>
      </c>
      <c r="DO19" s="21">
        <f>DD19/(1+TEA!I$16)^$A19</f>
        <v>978213.48422952776</v>
      </c>
      <c r="DP19" s="21">
        <f>DE19/(1+TEA!J$16)^$A19</f>
        <v>0</v>
      </c>
      <c r="DQ19" s="21">
        <f>DF19/(1+TEA!K$16)^$A19</f>
        <v>0</v>
      </c>
      <c r="DR19" s="21">
        <f>DG19/(1+TEA!L$16)^$A19</f>
        <v>0</v>
      </c>
    </row>
    <row r="20" spans="1:122" x14ac:dyDescent="0.25">
      <c r="A20" s="4">
        <f t="shared" si="1"/>
        <v>17</v>
      </c>
      <c r="B20" s="21">
        <f t="shared" si="31"/>
        <v>-311799.61647913384</v>
      </c>
      <c r="C20" s="21">
        <f t="shared" si="2"/>
        <v>-341042.9832892241</v>
      </c>
      <c r="D20" s="21" t="e">
        <f t="shared" si="3"/>
        <v>#VALUE!</v>
      </c>
      <c r="E20" s="21" t="e">
        <f t="shared" si="4"/>
        <v>#VALUE!</v>
      </c>
      <c r="F20" s="21"/>
      <c r="G20" s="21">
        <f t="shared" si="5"/>
        <v>0</v>
      </c>
      <c r="H20" s="21">
        <f t="shared" si="6"/>
        <v>0</v>
      </c>
      <c r="I20" s="21">
        <f t="shared" si="7"/>
        <v>-3226335.9275328917</v>
      </c>
      <c r="J20" s="21">
        <f t="shared" si="8"/>
        <v>0</v>
      </c>
      <c r="K20" s="21">
        <f t="shared" si="9"/>
        <v>0</v>
      </c>
      <c r="L20" s="21">
        <f t="shared" si="10"/>
        <v>0</v>
      </c>
      <c r="M20" s="21"/>
      <c r="X20" s="20"/>
      <c r="AI20" s="21"/>
      <c r="AT20" s="21"/>
      <c r="BE20" s="21">
        <f>TEA!B$47-TEA!B$43-M20-AI20</f>
        <v>294201.60081362299</v>
      </c>
      <c r="BF20" s="21">
        <f>TEA!C$47-TEA!C$43-N20-AJ20</f>
        <v>286681.02320249437</v>
      </c>
      <c r="BG20" s="21" t="e">
        <f>TEA!D$47-TEA!D$43-O20-AK20</f>
        <v>#VALUE!</v>
      </c>
      <c r="BH20" s="21" t="e">
        <f>TEA!E$47-TEA!E$43-P20-AL20</f>
        <v>#VALUE!</v>
      </c>
      <c r="BI20" s="21"/>
      <c r="BJ20" s="21">
        <f>TEA!G$47-TEA!G$43-R20-AN20</f>
        <v>0</v>
      </c>
      <c r="BK20" s="21">
        <f>TEA!H$47-TEA!H$43-S20-AO20</f>
        <v>0</v>
      </c>
      <c r="BL20" s="21">
        <f>TEA!I$47-TEA!I$43-T20-AP20</f>
        <v>4909356.9186563194</v>
      </c>
      <c r="BM20" s="21">
        <f>TEA!J$47-TEA!J$43-U20-AQ20</f>
        <v>0</v>
      </c>
      <c r="BN20" s="21">
        <f>TEA!K$47-TEA!K$43-V20-AR20</f>
        <v>0</v>
      </c>
      <c r="BO20" s="21">
        <f>TEA!L$47-TEA!L$43-W20-AS20</f>
        <v>0</v>
      </c>
      <c r="BP20" s="21">
        <f t="shared" si="11"/>
        <v>0</v>
      </c>
      <c r="BQ20" s="21">
        <f t="shared" si="12"/>
        <v>0</v>
      </c>
      <c r="BR20" s="21" t="e">
        <f t="shared" si="13"/>
        <v>#VALUE!</v>
      </c>
      <c r="BS20" s="21" t="e">
        <f t="shared" si="14"/>
        <v>#VALUE!</v>
      </c>
      <c r="BT20" s="21"/>
      <c r="BU20" s="21">
        <f t="shared" si="15"/>
        <v>0</v>
      </c>
      <c r="BV20" s="21">
        <f t="shared" si="16"/>
        <v>0</v>
      </c>
      <c r="BW20" s="21">
        <f t="shared" si="17"/>
        <v>0</v>
      </c>
      <c r="BX20" s="21">
        <f t="shared" si="18"/>
        <v>0</v>
      </c>
      <c r="BY20" s="21">
        <f t="shared" si="19"/>
        <v>0</v>
      </c>
      <c r="BZ20" s="21">
        <f t="shared" si="20"/>
        <v>0</v>
      </c>
      <c r="CA20" s="21">
        <f t="shared" si="21"/>
        <v>294201.60081362299</v>
      </c>
      <c r="CB20" s="21">
        <f t="shared" si="22"/>
        <v>286681.02320249437</v>
      </c>
      <c r="CC20" s="21" t="e">
        <f t="shared" si="23"/>
        <v>#VALUE!</v>
      </c>
      <c r="CD20" s="21" t="e">
        <f t="shared" si="24"/>
        <v>#VALUE!</v>
      </c>
      <c r="CE20" s="21"/>
      <c r="CF20" s="21">
        <f t="shared" si="25"/>
        <v>0</v>
      </c>
      <c r="CG20" s="21">
        <f t="shared" si="26"/>
        <v>0</v>
      </c>
      <c r="CH20" s="21">
        <f t="shared" si="27"/>
        <v>4909356.9186563194</v>
      </c>
      <c r="CI20" s="21">
        <f t="shared" si="28"/>
        <v>0</v>
      </c>
      <c r="CJ20" s="21">
        <f t="shared" si="29"/>
        <v>0</v>
      </c>
      <c r="CK20" s="21">
        <f t="shared" si="30"/>
        <v>0</v>
      </c>
      <c r="CL20" s="21">
        <f>IF(CA20&gt;0,CA20*TEA!B$17-TEA!B$24,0)</f>
        <v>58840.320162724602</v>
      </c>
      <c r="CM20" s="21">
        <f>IF(CB20&gt;0,CB20*TEA!C$17-TEA!C$24,0)</f>
        <v>57336.20464049888</v>
      </c>
      <c r="CN20" s="21" t="e">
        <f>IF(CC20&gt;0,CC20*TEA!D$17-TEA!D$24,0)</f>
        <v>#VALUE!</v>
      </c>
      <c r="CO20" s="21" t="e">
        <f>IF(CD20&gt;0,CD20*TEA!E$17-TEA!E$24,0)</f>
        <v>#VALUE!</v>
      </c>
      <c r="CP20" s="21"/>
      <c r="CQ20" s="21">
        <f>IF(CF20&gt;0,CF20*TEA!G$17-TEA!G$24,0)</f>
        <v>0</v>
      </c>
      <c r="CR20" s="21">
        <f>IF(CG20&gt;0,CG20*TEA!H$17-TEA!H$24,0)</f>
        <v>0</v>
      </c>
      <c r="CS20" s="21">
        <f>IF(CH20&gt;0,CH20*TEA!I$17-TEA!I$24,0)</f>
        <v>414492.38373126392</v>
      </c>
      <c r="CT20" s="21">
        <f>IF(CI20&gt;0,CI20*TEA!J$17-TEA!J$24,0)</f>
        <v>0</v>
      </c>
      <c r="CU20" s="21">
        <f>IF(CJ20&gt;0,CJ20*TEA!K$17-TEA!K$24,0)</f>
        <v>0</v>
      </c>
      <c r="CV20" s="21">
        <f>IF(CK20&gt;0,CK20*TEA!L$17-TEA!L$24,0)</f>
        <v>0</v>
      </c>
      <c r="CW20" s="21">
        <f>TEA!B$47-TEA!B$43-X20-CL20</f>
        <v>235361.28065089841</v>
      </c>
      <c r="CX20" s="21">
        <f>TEA!C$47-TEA!C$43-Y20-CM20</f>
        <v>229344.81856199549</v>
      </c>
      <c r="CY20" s="21" t="e">
        <f>TEA!D$47-TEA!D$43-Z20-CN20</f>
        <v>#VALUE!</v>
      </c>
      <c r="CZ20" s="21" t="e">
        <f>TEA!E$47-TEA!E$43-AA20-CO20</f>
        <v>#VALUE!</v>
      </c>
      <c r="DA20" s="21"/>
      <c r="DB20" s="21">
        <f>TEA!G$47-TEA!G$43-AC20-CQ20</f>
        <v>0</v>
      </c>
      <c r="DC20" s="21">
        <f>TEA!H$47-TEA!H$43-AD20-CR20</f>
        <v>0</v>
      </c>
      <c r="DD20" s="21">
        <f>TEA!I$47-TEA!I$43-AE20-CS20</f>
        <v>4494864.5349250557</v>
      </c>
      <c r="DE20" s="21">
        <f>TEA!J$47-TEA!J$43-AF20-CT20</f>
        <v>0</v>
      </c>
      <c r="DF20" s="21">
        <f>TEA!K$47-TEA!K$43-AG20-CU20</f>
        <v>0</v>
      </c>
      <c r="DG20" s="21">
        <f>TEA!L$47-TEA!L$43-AH20-CV20</f>
        <v>0</v>
      </c>
      <c r="DH20" s="21">
        <f>CW20/(1+TEA!B$16)^$A20</f>
        <v>46564.974642288755</v>
      </c>
      <c r="DI20" s="21">
        <f>CX20/(1+TEA!C$16)^$A20</f>
        <v>45374.64969235954</v>
      </c>
      <c r="DJ20" s="21" t="e">
        <f>CY20/(1+TEA!D$16)^$A20</f>
        <v>#VALUE!</v>
      </c>
      <c r="DK20" s="21" t="e">
        <f>CZ20/(1+TEA!E$16)^$A20</f>
        <v>#VALUE!</v>
      </c>
      <c r="DL20" s="21"/>
      <c r="DM20" s="21">
        <f>DB20/(1+TEA!G$16)^$A20</f>
        <v>0</v>
      </c>
      <c r="DN20" s="21">
        <f>DC20/(1+TEA!H$16)^$A20</f>
        <v>0</v>
      </c>
      <c r="DO20" s="21">
        <f>DD20/(1+TEA!I$16)^$A20</f>
        <v>889284.98566320702</v>
      </c>
      <c r="DP20" s="21">
        <f>DE20/(1+TEA!J$16)^$A20</f>
        <v>0</v>
      </c>
      <c r="DQ20" s="21">
        <f>DF20/(1+TEA!K$16)^$A20</f>
        <v>0</v>
      </c>
      <c r="DR20" s="21">
        <f>DG20/(1+TEA!L$16)^$A20</f>
        <v>0</v>
      </c>
    </row>
    <row r="21" spans="1:122" x14ac:dyDescent="0.25">
      <c r="A21" s="4">
        <f t="shared" si="1"/>
        <v>18</v>
      </c>
      <c r="B21" s="21">
        <f t="shared" si="31"/>
        <v>-269467.82134978042</v>
      </c>
      <c r="C21" s="21">
        <f t="shared" si="2"/>
        <v>-299793.30175071541</v>
      </c>
      <c r="D21" s="21" t="e">
        <f t="shared" si="3"/>
        <v>#VALUE!</v>
      </c>
      <c r="E21" s="21" t="e">
        <f t="shared" si="4"/>
        <v>#VALUE!</v>
      </c>
      <c r="F21" s="21"/>
      <c r="G21" s="21">
        <f t="shared" si="5"/>
        <v>0</v>
      </c>
      <c r="H21" s="21">
        <f t="shared" si="6"/>
        <v>0</v>
      </c>
      <c r="I21" s="21">
        <f t="shared" si="7"/>
        <v>-2417895.0314754308</v>
      </c>
      <c r="J21" s="21">
        <f t="shared" si="8"/>
        <v>0</v>
      </c>
      <c r="K21" s="21">
        <f t="shared" si="9"/>
        <v>0</v>
      </c>
      <c r="L21" s="21">
        <f t="shared" si="10"/>
        <v>0</v>
      </c>
      <c r="M21" s="21"/>
      <c r="X21" s="20"/>
      <c r="AI21" s="21"/>
      <c r="AT21" s="21"/>
      <c r="BE21" s="21">
        <f>TEA!B$47-TEA!B$43-M21-AI21</f>
        <v>294201.60081362299</v>
      </c>
      <c r="BF21" s="21">
        <f>TEA!C$47-TEA!C$43-N21-AJ21</f>
        <v>286681.02320249437</v>
      </c>
      <c r="BG21" s="21" t="e">
        <f>TEA!D$47-TEA!D$43-O21-AK21</f>
        <v>#VALUE!</v>
      </c>
      <c r="BH21" s="21" t="e">
        <f>TEA!E$47-TEA!E$43-P21-AL21</f>
        <v>#VALUE!</v>
      </c>
      <c r="BI21" s="21"/>
      <c r="BJ21" s="21">
        <f>TEA!G$47-TEA!G$43-R21-AN21</f>
        <v>0</v>
      </c>
      <c r="BK21" s="21">
        <f>TEA!H$47-TEA!H$43-S21-AO21</f>
        <v>0</v>
      </c>
      <c r="BL21" s="21">
        <f>TEA!I$47-TEA!I$43-T21-AP21</f>
        <v>4909356.9186563194</v>
      </c>
      <c r="BM21" s="21">
        <f>TEA!J$47-TEA!J$43-U21-AQ21</f>
        <v>0</v>
      </c>
      <c r="BN21" s="21">
        <f>TEA!K$47-TEA!K$43-V21-AR21</f>
        <v>0</v>
      </c>
      <c r="BO21" s="21">
        <f>TEA!L$47-TEA!L$43-W21-AS21</f>
        <v>0</v>
      </c>
      <c r="BP21" s="21">
        <f t="shared" si="11"/>
        <v>0</v>
      </c>
      <c r="BQ21" s="21">
        <f t="shared" si="12"/>
        <v>0</v>
      </c>
      <c r="BR21" s="21" t="e">
        <f t="shared" si="13"/>
        <v>#VALUE!</v>
      </c>
      <c r="BS21" s="21" t="e">
        <f t="shared" si="14"/>
        <v>#VALUE!</v>
      </c>
      <c r="BT21" s="21"/>
      <c r="BU21" s="21">
        <f t="shared" si="15"/>
        <v>0</v>
      </c>
      <c r="BV21" s="21">
        <f t="shared" si="16"/>
        <v>0</v>
      </c>
      <c r="BW21" s="21">
        <f t="shared" si="17"/>
        <v>0</v>
      </c>
      <c r="BX21" s="21">
        <f t="shared" si="18"/>
        <v>0</v>
      </c>
      <c r="BY21" s="21">
        <f t="shared" si="19"/>
        <v>0</v>
      </c>
      <c r="BZ21" s="21">
        <f t="shared" si="20"/>
        <v>0</v>
      </c>
      <c r="CA21" s="21">
        <f t="shared" si="21"/>
        <v>294201.60081362299</v>
      </c>
      <c r="CB21" s="21">
        <f t="shared" si="22"/>
        <v>286681.02320249437</v>
      </c>
      <c r="CC21" s="21" t="e">
        <f t="shared" si="23"/>
        <v>#VALUE!</v>
      </c>
      <c r="CD21" s="21" t="e">
        <f t="shared" si="24"/>
        <v>#VALUE!</v>
      </c>
      <c r="CE21" s="21"/>
      <c r="CF21" s="21">
        <f t="shared" si="25"/>
        <v>0</v>
      </c>
      <c r="CG21" s="21">
        <f t="shared" si="26"/>
        <v>0</v>
      </c>
      <c r="CH21" s="21">
        <f t="shared" si="27"/>
        <v>4909356.9186563194</v>
      </c>
      <c r="CI21" s="21">
        <f t="shared" si="28"/>
        <v>0</v>
      </c>
      <c r="CJ21" s="21">
        <f t="shared" si="29"/>
        <v>0</v>
      </c>
      <c r="CK21" s="21">
        <f t="shared" si="30"/>
        <v>0</v>
      </c>
      <c r="CL21" s="21">
        <f>IF(CA21&gt;0,CA21*TEA!B$17-TEA!B$24,0)</f>
        <v>58840.320162724602</v>
      </c>
      <c r="CM21" s="21">
        <f>IF(CB21&gt;0,CB21*TEA!C$17-TEA!C$24,0)</f>
        <v>57336.20464049888</v>
      </c>
      <c r="CN21" s="21" t="e">
        <f>IF(CC21&gt;0,CC21*TEA!D$17-TEA!D$24,0)</f>
        <v>#VALUE!</v>
      </c>
      <c r="CO21" s="21" t="e">
        <f>IF(CD21&gt;0,CD21*TEA!E$17-TEA!E$24,0)</f>
        <v>#VALUE!</v>
      </c>
      <c r="CP21" s="21"/>
      <c r="CQ21" s="21">
        <f>IF(CF21&gt;0,CF21*TEA!G$17-TEA!G$24,0)</f>
        <v>0</v>
      </c>
      <c r="CR21" s="21">
        <f>IF(CG21&gt;0,CG21*TEA!H$17-TEA!H$24,0)</f>
        <v>0</v>
      </c>
      <c r="CS21" s="21">
        <f>IF(CH21&gt;0,CH21*TEA!I$17-TEA!I$24,0)</f>
        <v>414492.38373126392</v>
      </c>
      <c r="CT21" s="21">
        <f>IF(CI21&gt;0,CI21*TEA!J$17-TEA!J$24,0)</f>
        <v>0</v>
      </c>
      <c r="CU21" s="21">
        <f>IF(CJ21&gt;0,CJ21*TEA!K$17-TEA!K$24,0)</f>
        <v>0</v>
      </c>
      <c r="CV21" s="21">
        <f>IF(CK21&gt;0,CK21*TEA!L$17-TEA!L$24,0)</f>
        <v>0</v>
      </c>
      <c r="CW21" s="21">
        <f>TEA!B$47-TEA!B$43-X21-CL21</f>
        <v>235361.28065089841</v>
      </c>
      <c r="CX21" s="21">
        <f>TEA!C$47-TEA!C$43-Y21-CM21</f>
        <v>229344.81856199549</v>
      </c>
      <c r="CY21" s="21" t="e">
        <f>TEA!D$47-TEA!D$43-Z21-CN21</f>
        <v>#VALUE!</v>
      </c>
      <c r="CZ21" s="21" t="e">
        <f>TEA!E$47-TEA!E$43-AA21-CO21</f>
        <v>#VALUE!</v>
      </c>
      <c r="DA21" s="21"/>
      <c r="DB21" s="21">
        <f>TEA!G$47-TEA!G$43-AC21-CQ21</f>
        <v>0</v>
      </c>
      <c r="DC21" s="21">
        <f>TEA!H$47-TEA!H$43-AD21-CR21</f>
        <v>0</v>
      </c>
      <c r="DD21" s="21">
        <f>TEA!I$47-TEA!I$43-AE21-CS21</f>
        <v>4494864.5349250557</v>
      </c>
      <c r="DE21" s="21">
        <f>TEA!J$47-TEA!J$43-AF21-CT21</f>
        <v>0</v>
      </c>
      <c r="DF21" s="21">
        <f>TEA!K$47-TEA!K$43-AG21-CU21</f>
        <v>0</v>
      </c>
      <c r="DG21" s="21">
        <f>TEA!L$47-TEA!L$43-AH21-CV21</f>
        <v>0</v>
      </c>
      <c r="DH21" s="21">
        <f>CW21/(1+TEA!B$16)^$A21</f>
        <v>42331.795129353406</v>
      </c>
      <c r="DI21" s="21">
        <f>CX21/(1+TEA!C$16)^$A21</f>
        <v>41249.681538508667</v>
      </c>
      <c r="DJ21" s="21" t="e">
        <f>CY21/(1+TEA!D$16)^$A21</f>
        <v>#VALUE!</v>
      </c>
      <c r="DK21" s="21" t="e">
        <f>CZ21/(1+TEA!E$16)^$A21</f>
        <v>#VALUE!</v>
      </c>
      <c r="DL21" s="21"/>
      <c r="DM21" s="21">
        <f>DB21/(1+TEA!G$16)^$A21</f>
        <v>0</v>
      </c>
      <c r="DN21" s="21">
        <f>DC21/(1+TEA!H$16)^$A21</f>
        <v>0</v>
      </c>
      <c r="DO21" s="21">
        <f>DD21/(1+TEA!I$16)^$A21</f>
        <v>808440.89605746092</v>
      </c>
      <c r="DP21" s="21">
        <f>DE21/(1+TEA!J$16)^$A21</f>
        <v>0</v>
      </c>
      <c r="DQ21" s="21">
        <f>DF21/(1+TEA!K$16)^$A21</f>
        <v>0</v>
      </c>
      <c r="DR21" s="21">
        <f>DG21/(1+TEA!L$16)^$A21</f>
        <v>0</v>
      </c>
    </row>
    <row r="22" spans="1:122" x14ac:dyDescent="0.25">
      <c r="A22" s="4">
        <f t="shared" si="1"/>
        <v>19</v>
      </c>
      <c r="B22" s="21">
        <f t="shared" si="31"/>
        <v>-230984.37123218644</v>
      </c>
      <c r="C22" s="21">
        <f t="shared" si="2"/>
        <v>-262293.59126116207</v>
      </c>
      <c r="D22" s="21" t="e">
        <f t="shared" si="3"/>
        <v>#VALUE!</v>
      </c>
      <c r="E22" s="21" t="e">
        <f t="shared" si="4"/>
        <v>#VALUE!</v>
      </c>
      <c r="F22" s="21"/>
      <c r="G22" s="21">
        <f t="shared" si="5"/>
        <v>0</v>
      </c>
      <c r="H22" s="21">
        <f t="shared" si="6"/>
        <v>0</v>
      </c>
      <c r="I22" s="21">
        <f t="shared" si="7"/>
        <v>-1682948.7623322848</v>
      </c>
      <c r="J22" s="21">
        <f t="shared" si="8"/>
        <v>0</v>
      </c>
      <c r="K22" s="21">
        <f t="shared" si="9"/>
        <v>0</v>
      </c>
      <c r="L22" s="21">
        <f t="shared" si="10"/>
        <v>0</v>
      </c>
      <c r="M22" s="21"/>
      <c r="X22" s="20"/>
      <c r="AI22" s="21"/>
      <c r="AT22" s="21"/>
      <c r="BE22" s="21">
        <f>TEA!B$47-TEA!B$43-M22-AI22</f>
        <v>294201.60081362299</v>
      </c>
      <c r="BF22" s="21">
        <f>TEA!C$47-TEA!C$43-N22-AJ22</f>
        <v>286681.02320249437</v>
      </c>
      <c r="BG22" s="21" t="e">
        <f>TEA!D$47-TEA!D$43-O22-AK22</f>
        <v>#VALUE!</v>
      </c>
      <c r="BH22" s="21" t="e">
        <f>TEA!E$47-TEA!E$43-P22-AL22</f>
        <v>#VALUE!</v>
      </c>
      <c r="BI22" s="21"/>
      <c r="BJ22" s="21">
        <f>TEA!G$47-TEA!G$43-R22-AN22</f>
        <v>0</v>
      </c>
      <c r="BK22" s="21">
        <f>TEA!H$47-TEA!H$43-S22-AO22</f>
        <v>0</v>
      </c>
      <c r="BL22" s="21">
        <f>TEA!I$47-TEA!I$43-T22-AP22</f>
        <v>4909356.9186563194</v>
      </c>
      <c r="BM22" s="21">
        <f>TEA!J$47-TEA!J$43-U22-AQ22</f>
        <v>0</v>
      </c>
      <c r="BN22" s="21">
        <f>TEA!K$47-TEA!K$43-V22-AR22</f>
        <v>0</v>
      </c>
      <c r="BO22" s="21">
        <f>TEA!L$47-TEA!L$43-W22-AS22</f>
        <v>0</v>
      </c>
      <c r="BP22" s="21">
        <f t="shared" si="11"/>
        <v>0</v>
      </c>
      <c r="BQ22" s="21">
        <f t="shared" si="12"/>
        <v>0</v>
      </c>
      <c r="BR22" s="21" t="e">
        <f t="shared" si="13"/>
        <v>#VALUE!</v>
      </c>
      <c r="BS22" s="21" t="e">
        <f t="shared" si="14"/>
        <v>#VALUE!</v>
      </c>
      <c r="BT22" s="21"/>
      <c r="BU22" s="21">
        <f t="shared" si="15"/>
        <v>0</v>
      </c>
      <c r="BV22" s="21">
        <f t="shared" si="16"/>
        <v>0</v>
      </c>
      <c r="BW22" s="21">
        <f t="shared" si="17"/>
        <v>0</v>
      </c>
      <c r="BX22" s="21">
        <f t="shared" si="18"/>
        <v>0</v>
      </c>
      <c r="BY22" s="21">
        <f t="shared" si="19"/>
        <v>0</v>
      </c>
      <c r="BZ22" s="21">
        <f t="shared" si="20"/>
        <v>0</v>
      </c>
      <c r="CA22" s="21">
        <f t="shared" si="21"/>
        <v>294201.60081362299</v>
      </c>
      <c r="CB22" s="21">
        <f t="shared" si="22"/>
        <v>286681.02320249437</v>
      </c>
      <c r="CC22" s="21" t="e">
        <f t="shared" si="23"/>
        <v>#VALUE!</v>
      </c>
      <c r="CD22" s="21" t="e">
        <f t="shared" si="24"/>
        <v>#VALUE!</v>
      </c>
      <c r="CE22" s="21"/>
      <c r="CF22" s="21">
        <f t="shared" si="25"/>
        <v>0</v>
      </c>
      <c r="CG22" s="21">
        <f t="shared" si="26"/>
        <v>0</v>
      </c>
      <c r="CH22" s="21">
        <f t="shared" si="27"/>
        <v>4909356.9186563194</v>
      </c>
      <c r="CI22" s="21">
        <f t="shared" si="28"/>
        <v>0</v>
      </c>
      <c r="CJ22" s="21">
        <f t="shared" si="29"/>
        <v>0</v>
      </c>
      <c r="CK22" s="21">
        <f t="shared" si="30"/>
        <v>0</v>
      </c>
      <c r="CL22" s="21">
        <f>IF(CA22&gt;0,CA22*TEA!B$17-TEA!B$24,0)</f>
        <v>58840.320162724602</v>
      </c>
      <c r="CM22" s="21">
        <f>IF(CB22&gt;0,CB22*TEA!C$17-TEA!C$24,0)</f>
        <v>57336.20464049888</v>
      </c>
      <c r="CN22" s="21" t="e">
        <f>IF(CC22&gt;0,CC22*TEA!D$17-TEA!D$24,0)</f>
        <v>#VALUE!</v>
      </c>
      <c r="CO22" s="21" t="e">
        <f>IF(CD22&gt;0,CD22*TEA!E$17-TEA!E$24,0)</f>
        <v>#VALUE!</v>
      </c>
      <c r="CP22" s="21"/>
      <c r="CQ22" s="21">
        <f>IF(CF22&gt;0,CF22*TEA!G$17-TEA!G$24,0)</f>
        <v>0</v>
      </c>
      <c r="CR22" s="21">
        <f>IF(CG22&gt;0,CG22*TEA!H$17-TEA!H$24,0)</f>
        <v>0</v>
      </c>
      <c r="CS22" s="21">
        <f>IF(CH22&gt;0,CH22*TEA!I$17-TEA!I$24,0)</f>
        <v>414492.38373126392</v>
      </c>
      <c r="CT22" s="21">
        <f>IF(CI22&gt;0,CI22*TEA!J$17-TEA!J$24,0)</f>
        <v>0</v>
      </c>
      <c r="CU22" s="21">
        <f>IF(CJ22&gt;0,CJ22*TEA!K$17-TEA!K$24,0)</f>
        <v>0</v>
      </c>
      <c r="CV22" s="21">
        <f>IF(CK22&gt;0,CK22*TEA!L$17-TEA!L$24,0)</f>
        <v>0</v>
      </c>
      <c r="CW22" s="21">
        <f>TEA!B$47-TEA!B$43-X22-CL22</f>
        <v>235361.28065089841</v>
      </c>
      <c r="CX22" s="21">
        <f>TEA!C$47-TEA!C$43-Y22-CM22</f>
        <v>229344.81856199549</v>
      </c>
      <c r="CY22" s="21" t="e">
        <f>TEA!D$47-TEA!D$43-Z22-CN22</f>
        <v>#VALUE!</v>
      </c>
      <c r="CZ22" s="21" t="e">
        <f>TEA!E$47-TEA!E$43-AA22-CO22</f>
        <v>#VALUE!</v>
      </c>
      <c r="DA22" s="21"/>
      <c r="DB22" s="21">
        <f>TEA!G$47-TEA!G$43-AC22-CQ22</f>
        <v>0</v>
      </c>
      <c r="DC22" s="21">
        <f>TEA!H$47-TEA!H$43-AD22-CR22</f>
        <v>0</v>
      </c>
      <c r="DD22" s="21">
        <f>TEA!I$47-TEA!I$43-AE22-CS22</f>
        <v>4494864.5349250557</v>
      </c>
      <c r="DE22" s="21">
        <f>TEA!J$47-TEA!J$43-AF22-CT22</f>
        <v>0</v>
      </c>
      <c r="DF22" s="21">
        <f>TEA!K$47-TEA!K$43-AG22-CU22</f>
        <v>0</v>
      </c>
      <c r="DG22" s="21">
        <f>TEA!L$47-TEA!L$43-AH22-CV22</f>
        <v>0</v>
      </c>
      <c r="DH22" s="21">
        <f>CW22/(1+TEA!B$16)^$A22</f>
        <v>38483.450117593995</v>
      </c>
      <c r="DI22" s="21">
        <f>CX22/(1+TEA!C$16)^$A22</f>
        <v>37499.710489553327</v>
      </c>
      <c r="DJ22" s="21" t="e">
        <f>CY22/(1+TEA!D$16)^$A22</f>
        <v>#VALUE!</v>
      </c>
      <c r="DK22" s="21" t="e">
        <f>CZ22/(1+TEA!E$16)^$A22</f>
        <v>#VALUE!</v>
      </c>
      <c r="DL22" s="21"/>
      <c r="DM22" s="21">
        <f>DB22/(1+TEA!G$16)^$A22</f>
        <v>0</v>
      </c>
      <c r="DN22" s="21">
        <f>DC22/(1+TEA!H$16)^$A22</f>
        <v>0</v>
      </c>
      <c r="DO22" s="21">
        <f>DD22/(1+TEA!I$16)^$A22</f>
        <v>734946.26914314611</v>
      </c>
      <c r="DP22" s="21">
        <f>DE22/(1+TEA!J$16)^$A22</f>
        <v>0</v>
      </c>
      <c r="DQ22" s="21">
        <f>DF22/(1+TEA!K$16)^$A22</f>
        <v>0</v>
      </c>
      <c r="DR22" s="21">
        <f>DG22/(1+TEA!L$16)^$A22</f>
        <v>0</v>
      </c>
    </row>
    <row r="23" spans="1:122" x14ac:dyDescent="0.25">
      <c r="A23" s="4">
        <f t="shared" si="1"/>
        <v>20</v>
      </c>
      <c r="B23" s="21">
        <f t="shared" si="31"/>
        <v>-195999.41657982825</v>
      </c>
      <c r="C23" s="21">
        <f t="shared" si="2"/>
        <v>-228202.94536156813</v>
      </c>
      <c r="D23" s="21" t="e">
        <f t="shared" si="3"/>
        <v>#VALUE!</v>
      </c>
      <c r="E23" s="21" t="e">
        <f t="shared" si="4"/>
        <v>#VALUE!</v>
      </c>
      <c r="F23" s="21"/>
      <c r="G23" s="21">
        <f t="shared" si="5"/>
        <v>0</v>
      </c>
      <c r="H23" s="21">
        <f t="shared" si="6"/>
        <v>0</v>
      </c>
      <c r="I23" s="21">
        <f t="shared" si="7"/>
        <v>-1014815.7903839701</v>
      </c>
      <c r="J23" s="21">
        <f t="shared" si="8"/>
        <v>0</v>
      </c>
      <c r="K23" s="21">
        <f t="shared" si="9"/>
        <v>0</v>
      </c>
      <c r="L23" s="21">
        <f t="shared" si="10"/>
        <v>0</v>
      </c>
      <c r="M23" s="21"/>
      <c r="X23" s="20"/>
      <c r="AI23" s="21"/>
      <c r="AT23" s="21"/>
      <c r="BE23" s="21">
        <f>TEA!B$47-TEA!B$43-M23-AI23</f>
        <v>294201.60081362299</v>
      </c>
      <c r="BF23" s="21">
        <f>TEA!C$47-TEA!C$43-N23-AJ23</f>
        <v>286681.02320249437</v>
      </c>
      <c r="BG23" s="21" t="e">
        <f>TEA!D$47-TEA!D$43-O23-AK23</f>
        <v>#VALUE!</v>
      </c>
      <c r="BH23" s="21" t="e">
        <f>TEA!E$47-TEA!E$43-P23-AL23</f>
        <v>#VALUE!</v>
      </c>
      <c r="BI23" s="21"/>
      <c r="BJ23" s="21">
        <f>TEA!G$47-TEA!G$43-R23-AN23</f>
        <v>0</v>
      </c>
      <c r="BK23" s="21">
        <f>TEA!H$47-TEA!H$43-S23-AO23</f>
        <v>0</v>
      </c>
      <c r="BL23" s="21">
        <f>TEA!I$47-TEA!I$43-T23-AP23</f>
        <v>4909356.9186563194</v>
      </c>
      <c r="BM23" s="21">
        <f>TEA!J$47-TEA!J$43-U23-AQ23</f>
        <v>0</v>
      </c>
      <c r="BN23" s="21">
        <f>TEA!K$47-TEA!K$43-V23-AR23</f>
        <v>0</v>
      </c>
      <c r="BO23" s="21">
        <f>TEA!L$47-TEA!L$43-W23-AS23</f>
        <v>0</v>
      </c>
      <c r="BP23" s="21">
        <f t="shared" si="11"/>
        <v>0</v>
      </c>
      <c r="BQ23" s="21">
        <f t="shared" si="12"/>
        <v>0</v>
      </c>
      <c r="BR23" s="21" t="e">
        <f t="shared" si="13"/>
        <v>#VALUE!</v>
      </c>
      <c r="BS23" s="21" t="e">
        <f t="shared" si="14"/>
        <v>#VALUE!</v>
      </c>
      <c r="BT23" s="21"/>
      <c r="BU23" s="21">
        <f t="shared" si="15"/>
        <v>0</v>
      </c>
      <c r="BV23" s="21">
        <f t="shared" si="16"/>
        <v>0</v>
      </c>
      <c r="BW23" s="21">
        <f t="shared" si="17"/>
        <v>0</v>
      </c>
      <c r="BX23" s="21">
        <f t="shared" si="18"/>
        <v>0</v>
      </c>
      <c r="BY23" s="21">
        <f t="shared" si="19"/>
        <v>0</v>
      </c>
      <c r="BZ23" s="21">
        <f t="shared" si="20"/>
        <v>0</v>
      </c>
      <c r="CA23" s="21">
        <f t="shared" si="21"/>
        <v>294201.60081362299</v>
      </c>
      <c r="CB23" s="21">
        <f t="shared" si="22"/>
        <v>286681.02320249437</v>
      </c>
      <c r="CC23" s="21" t="e">
        <f t="shared" si="23"/>
        <v>#VALUE!</v>
      </c>
      <c r="CD23" s="21" t="e">
        <f t="shared" si="24"/>
        <v>#VALUE!</v>
      </c>
      <c r="CE23" s="21"/>
      <c r="CF23" s="21">
        <f t="shared" si="25"/>
        <v>0</v>
      </c>
      <c r="CG23" s="21">
        <f t="shared" si="26"/>
        <v>0</v>
      </c>
      <c r="CH23" s="21">
        <f t="shared" si="27"/>
        <v>4909356.9186563194</v>
      </c>
      <c r="CI23" s="21">
        <f t="shared" si="28"/>
        <v>0</v>
      </c>
      <c r="CJ23" s="21">
        <f t="shared" si="29"/>
        <v>0</v>
      </c>
      <c r="CK23" s="21">
        <f t="shared" si="30"/>
        <v>0</v>
      </c>
      <c r="CL23" s="21">
        <f>IF(CA23&gt;0,CA23*TEA!B$17-TEA!B$24,0)</f>
        <v>58840.320162724602</v>
      </c>
      <c r="CM23" s="21">
        <f>IF(CB23&gt;0,CB23*TEA!C$17-TEA!C$24,0)</f>
        <v>57336.20464049888</v>
      </c>
      <c r="CN23" s="21" t="e">
        <f>IF(CC23&gt;0,CC23*TEA!D$17-TEA!D$24,0)</f>
        <v>#VALUE!</v>
      </c>
      <c r="CO23" s="21" t="e">
        <f>IF(CD23&gt;0,CD23*TEA!E$17-TEA!E$24,0)</f>
        <v>#VALUE!</v>
      </c>
      <c r="CP23" s="21"/>
      <c r="CQ23" s="21">
        <f>IF(CF23&gt;0,CF23*TEA!G$17-TEA!G$24,0)</f>
        <v>0</v>
      </c>
      <c r="CR23" s="21">
        <f>IF(CG23&gt;0,CG23*TEA!H$17-TEA!H$24,0)</f>
        <v>0</v>
      </c>
      <c r="CS23" s="21">
        <f>IF(CH23&gt;0,CH23*TEA!I$17-TEA!I$24,0)</f>
        <v>414492.38373126392</v>
      </c>
      <c r="CT23" s="21">
        <f>IF(CI23&gt;0,CI23*TEA!J$17-TEA!J$24,0)</f>
        <v>0</v>
      </c>
      <c r="CU23" s="21">
        <f>IF(CJ23&gt;0,CJ23*TEA!K$17-TEA!K$24,0)</f>
        <v>0</v>
      </c>
      <c r="CV23" s="21">
        <f>IF(CK23&gt;0,CK23*TEA!L$17-TEA!L$24,0)</f>
        <v>0</v>
      </c>
      <c r="CW23" s="21">
        <f>TEA!B$47-TEA!B$43-X23-CL23</f>
        <v>235361.28065089841</v>
      </c>
      <c r="CX23" s="21">
        <f>TEA!C$47-TEA!C$43-Y23-CM23</f>
        <v>229344.81856199549</v>
      </c>
      <c r="CY23" s="21" t="e">
        <f>TEA!D$47-TEA!D$43-Z23-CN23</f>
        <v>#VALUE!</v>
      </c>
      <c r="CZ23" s="21" t="e">
        <f>TEA!E$47-TEA!E$43-AA23-CO23</f>
        <v>#VALUE!</v>
      </c>
      <c r="DA23" s="21"/>
      <c r="DB23" s="21">
        <f>TEA!G$47-TEA!G$43-AC23-CQ23</f>
        <v>0</v>
      </c>
      <c r="DC23" s="21">
        <f>TEA!H$47-TEA!H$43-AD23-CR23</f>
        <v>0</v>
      </c>
      <c r="DD23" s="21">
        <f>TEA!I$47-TEA!I$43-AE23-CS23</f>
        <v>4494864.5349250557</v>
      </c>
      <c r="DE23" s="21">
        <f>TEA!J$47-TEA!J$43-AF23-CT23</f>
        <v>0</v>
      </c>
      <c r="DF23" s="21">
        <f>TEA!K$47-TEA!K$43-AG23-CU23</f>
        <v>0</v>
      </c>
      <c r="DG23" s="21">
        <f>TEA!L$47-TEA!L$43-AH23-CV23</f>
        <v>0</v>
      </c>
      <c r="DH23" s="21">
        <f>CW23/(1+TEA!B$16)^$A23</f>
        <v>34984.954652358181</v>
      </c>
      <c r="DI23" s="21">
        <f>CX23/(1+TEA!C$16)^$A23</f>
        <v>34090.645899593939</v>
      </c>
      <c r="DJ23" s="21" t="e">
        <f>CY23/(1+TEA!D$16)^$A23</f>
        <v>#VALUE!</v>
      </c>
      <c r="DK23" s="21" t="e">
        <f>CZ23/(1+TEA!E$16)^$A23</f>
        <v>#VALUE!</v>
      </c>
      <c r="DL23" s="21"/>
      <c r="DM23" s="21">
        <f>DB23/(1+TEA!G$16)^$A23</f>
        <v>0</v>
      </c>
      <c r="DN23" s="21">
        <f>DC23/(1+TEA!H$16)^$A23</f>
        <v>0</v>
      </c>
      <c r="DO23" s="21">
        <f>DD23/(1+TEA!I$16)^$A23</f>
        <v>668132.97194831469</v>
      </c>
      <c r="DP23" s="21">
        <f>DE23/(1+TEA!J$16)^$A23</f>
        <v>0</v>
      </c>
      <c r="DQ23" s="21">
        <f>DF23/(1+TEA!K$16)^$A23</f>
        <v>0</v>
      </c>
      <c r="DR23" s="21">
        <f>DG23/(1+TEA!L$16)^$A23</f>
        <v>0</v>
      </c>
    </row>
    <row r="24" spans="1:122" x14ac:dyDescent="0.25">
      <c r="A24" s="4">
        <f t="shared" si="1"/>
        <v>21</v>
      </c>
      <c r="B24" s="21">
        <f t="shared" si="31"/>
        <v>-164194.91235041173</v>
      </c>
      <c r="C24" s="21">
        <f t="shared" si="2"/>
        <v>-197211.44908921001</v>
      </c>
      <c r="D24" s="21" t="e">
        <f t="shared" si="3"/>
        <v>#VALUE!</v>
      </c>
      <c r="E24" s="21" t="e">
        <f t="shared" si="4"/>
        <v>#VALUE!</v>
      </c>
      <c r="F24" s="21"/>
      <c r="G24" s="21">
        <f t="shared" si="5"/>
        <v>0</v>
      </c>
      <c r="H24" s="21">
        <f t="shared" si="6"/>
        <v>0</v>
      </c>
      <c r="I24" s="21">
        <f t="shared" si="7"/>
        <v>-407422.17952186591</v>
      </c>
      <c r="J24" s="21">
        <f t="shared" si="8"/>
        <v>0</v>
      </c>
      <c r="K24" s="21">
        <f t="shared" si="9"/>
        <v>0</v>
      </c>
      <c r="L24" s="21">
        <f t="shared" si="10"/>
        <v>0</v>
      </c>
      <c r="M24" s="21"/>
      <c r="X24" s="20"/>
      <c r="AI24" s="21"/>
      <c r="AT24" s="21"/>
      <c r="BE24" s="21">
        <f>TEA!B$47-TEA!B$43-M24-AI24</f>
        <v>294201.60081362299</v>
      </c>
      <c r="BF24" s="21">
        <f>TEA!C$47-TEA!C$43-N24-AJ24</f>
        <v>286681.02320249437</v>
      </c>
      <c r="BG24" s="21" t="e">
        <f>TEA!D$47-TEA!D$43-O24-AK24</f>
        <v>#VALUE!</v>
      </c>
      <c r="BH24" s="21" t="e">
        <f>TEA!E$47-TEA!E$43-P24-AL24</f>
        <v>#VALUE!</v>
      </c>
      <c r="BI24" s="21"/>
      <c r="BJ24" s="21">
        <f>TEA!G$47-TEA!G$43-R24-AN24</f>
        <v>0</v>
      </c>
      <c r="BK24" s="21">
        <f>TEA!H$47-TEA!H$43-S24-AO24</f>
        <v>0</v>
      </c>
      <c r="BL24" s="21">
        <f>TEA!I$47-TEA!I$43-T24-AP24</f>
        <v>4909356.9186563194</v>
      </c>
      <c r="BM24" s="21">
        <f>TEA!J$47-TEA!J$43-U24-AQ24</f>
        <v>0</v>
      </c>
      <c r="BN24" s="21">
        <f>TEA!K$47-TEA!K$43-V24-AR24</f>
        <v>0</v>
      </c>
      <c r="BO24" s="21">
        <f>TEA!L$47-TEA!L$43-W24-AS24</f>
        <v>0</v>
      </c>
      <c r="BP24" s="21">
        <f t="shared" si="11"/>
        <v>0</v>
      </c>
      <c r="BQ24" s="21">
        <f t="shared" si="12"/>
        <v>0</v>
      </c>
      <c r="BR24" s="21" t="e">
        <f t="shared" si="13"/>
        <v>#VALUE!</v>
      </c>
      <c r="BS24" s="21" t="e">
        <f t="shared" si="14"/>
        <v>#VALUE!</v>
      </c>
      <c r="BT24" s="21"/>
      <c r="BU24" s="21">
        <f t="shared" si="15"/>
        <v>0</v>
      </c>
      <c r="BV24" s="21">
        <f t="shared" si="16"/>
        <v>0</v>
      </c>
      <c r="BW24" s="21">
        <f t="shared" si="17"/>
        <v>0</v>
      </c>
      <c r="BX24" s="21">
        <f t="shared" si="18"/>
        <v>0</v>
      </c>
      <c r="BY24" s="21">
        <f t="shared" si="19"/>
        <v>0</v>
      </c>
      <c r="BZ24" s="21">
        <f t="shared" si="20"/>
        <v>0</v>
      </c>
      <c r="CA24" s="21">
        <f t="shared" si="21"/>
        <v>294201.60081362299</v>
      </c>
      <c r="CB24" s="21">
        <f t="shared" si="22"/>
        <v>286681.02320249437</v>
      </c>
      <c r="CC24" s="21" t="e">
        <f t="shared" si="23"/>
        <v>#VALUE!</v>
      </c>
      <c r="CD24" s="21" t="e">
        <f t="shared" si="24"/>
        <v>#VALUE!</v>
      </c>
      <c r="CE24" s="21"/>
      <c r="CF24" s="21">
        <f t="shared" si="25"/>
        <v>0</v>
      </c>
      <c r="CG24" s="21">
        <f t="shared" si="26"/>
        <v>0</v>
      </c>
      <c r="CH24" s="21">
        <f t="shared" si="27"/>
        <v>4909356.9186563194</v>
      </c>
      <c r="CI24" s="21">
        <f t="shared" si="28"/>
        <v>0</v>
      </c>
      <c r="CJ24" s="21">
        <f t="shared" si="29"/>
        <v>0</v>
      </c>
      <c r="CK24" s="21">
        <f t="shared" si="30"/>
        <v>0</v>
      </c>
      <c r="CL24" s="21">
        <f>IF(CA24&gt;0,CA24*TEA!B$17-TEA!B$24,0)</f>
        <v>58840.320162724602</v>
      </c>
      <c r="CM24" s="21">
        <f>IF(CB24&gt;0,CB24*TEA!C$17-TEA!C$24,0)</f>
        <v>57336.20464049888</v>
      </c>
      <c r="CN24" s="21" t="e">
        <f>IF(CC24&gt;0,CC24*TEA!D$17-TEA!D$24,0)</f>
        <v>#VALUE!</v>
      </c>
      <c r="CO24" s="21" t="e">
        <f>IF(CD24&gt;0,CD24*TEA!E$17-TEA!E$24,0)</f>
        <v>#VALUE!</v>
      </c>
      <c r="CP24" s="21"/>
      <c r="CQ24" s="21">
        <f>IF(CF24&gt;0,CF24*TEA!G$17-TEA!G$24,0)</f>
        <v>0</v>
      </c>
      <c r="CR24" s="21">
        <f>IF(CG24&gt;0,CG24*TEA!H$17-TEA!H$24,0)</f>
        <v>0</v>
      </c>
      <c r="CS24" s="21">
        <f>IF(CH24&gt;0,CH24*TEA!I$17-TEA!I$24,0)</f>
        <v>414492.38373126392</v>
      </c>
      <c r="CT24" s="21">
        <f>IF(CI24&gt;0,CI24*TEA!J$17-TEA!J$24,0)</f>
        <v>0</v>
      </c>
      <c r="CU24" s="21">
        <f>IF(CJ24&gt;0,CJ24*TEA!K$17-TEA!K$24,0)</f>
        <v>0</v>
      </c>
      <c r="CV24" s="21">
        <f>IF(CK24&gt;0,CK24*TEA!L$17-TEA!L$24,0)</f>
        <v>0</v>
      </c>
      <c r="CW24" s="21">
        <f>TEA!B$47-TEA!B$43-X24-CL24</f>
        <v>235361.28065089841</v>
      </c>
      <c r="CX24" s="21">
        <f>TEA!C$47-TEA!C$43-Y24-CM24</f>
        <v>229344.81856199549</v>
      </c>
      <c r="CY24" s="21" t="e">
        <f>TEA!D$47-TEA!D$43-Z24-CN24</f>
        <v>#VALUE!</v>
      </c>
      <c r="CZ24" s="21" t="e">
        <f>TEA!E$47-TEA!E$43-AA24-CO24</f>
        <v>#VALUE!</v>
      </c>
      <c r="DA24" s="21"/>
      <c r="DB24" s="21">
        <f>TEA!G$47-TEA!G$43-AC24-CQ24</f>
        <v>0</v>
      </c>
      <c r="DC24" s="21">
        <f>TEA!H$47-TEA!H$43-AD24-CR24</f>
        <v>0</v>
      </c>
      <c r="DD24" s="21">
        <f>TEA!I$47-TEA!I$43-AE24-CS24</f>
        <v>4494864.5349250557</v>
      </c>
      <c r="DE24" s="21">
        <f>TEA!J$47-TEA!J$43-AF24-CT24</f>
        <v>0</v>
      </c>
      <c r="DF24" s="21">
        <f>TEA!K$47-TEA!K$43-AG24-CU24</f>
        <v>0</v>
      </c>
      <c r="DG24" s="21">
        <f>TEA!L$47-TEA!L$43-AH24-CV24</f>
        <v>0</v>
      </c>
      <c r="DH24" s="21">
        <f>CW24/(1+TEA!B$16)^$A24</f>
        <v>31804.504229416525</v>
      </c>
      <c r="DI24" s="21">
        <f>CX24/(1+TEA!C$16)^$A24</f>
        <v>30991.496272358119</v>
      </c>
      <c r="DJ24" s="21" t="e">
        <f>CY24/(1+TEA!D$16)^$A24</f>
        <v>#VALUE!</v>
      </c>
      <c r="DK24" s="21" t="e">
        <f>CZ24/(1+TEA!E$16)^$A24</f>
        <v>#VALUE!</v>
      </c>
      <c r="DL24" s="21"/>
      <c r="DM24" s="21">
        <f>DB24/(1+TEA!G$16)^$A24</f>
        <v>0</v>
      </c>
      <c r="DN24" s="21">
        <f>DC24/(1+TEA!H$16)^$A24</f>
        <v>0</v>
      </c>
      <c r="DO24" s="21">
        <f>DD24/(1+TEA!I$16)^$A24</f>
        <v>607393.61086210422</v>
      </c>
      <c r="DP24" s="21">
        <f>DE24/(1+TEA!J$16)^$A24</f>
        <v>0</v>
      </c>
      <c r="DQ24" s="21">
        <f>DF24/(1+TEA!K$16)^$A24</f>
        <v>0</v>
      </c>
      <c r="DR24" s="21">
        <f>DG24/(1+TEA!L$16)^$A24</f>
        <v>0</v>
      </c>
    </row>
    <row r="25" spans="1:122" x14ac:dyDescent="0.25">
      <c r="A25" s="4">
        <f t="shared" si="1"/>
        <v>22</v>
      </c>
      <c r="B25" s="21">
        <f t="shared" si="31"/>
        <v>-135281.72668730581</v>
      </c>
      <c r="C25" s="21">
        <f t="shared" si="2"/>
        <v>-169037.36156888446</v>
      </c>
      <c r="D25" s="21" t="e">
        <f t="shared" si="3"/>
        <v>#VALUE!</v>
      </c>
      <c r="E25" s="21" t="e">
        <f t="shared" si="4"/>
        <v>#VALUE!</v>
      </c>
      <c r="F25" s="21"/>
      <c r="G25" s="21">
        <f t="shared" si="5"/>
        <v>0</v>
      </c>
      <c r="H25" s="21">
        <f t="shared" si="6"/>
        <v>0</v>
      </c>
      <c r="I25" s="21">
        <f t="shared" si="7"/>
        <v>144753.83035277424</v>
      </c>
      <c r="J25" s="21">
        <f t="shared" si="8"/>
        <v>0</v>
      </c>
      <c r="K25" s="21">
        <f t="shared" si="9"/>
        <v>0</v>
      </c>
      <c r="L25" s="21">
        <f t="shared" si="10"/>
        <v>0</v>
      </c>
      <c r="M25" s="21"/>
      <c r="X25" s="20"/>
      <c r="AI25" s="21"/>
      <c r="AT25" s="21"/>
      <c r="BE25" s="21">
        <f>TEA!B$47-TEA!B$43-M25-AI25</f>
        <v>294201.60081362299</v>
      </c>
      <c r="BF25" s="21">
        <f>TEA!C$47-TEA!C$43-N25-AJ25</f>
        <v>286681.02320249437</v>
      </c>
      <c r="BG25" s="21" t="e">
        <f>TEA!D$47-TEA!D$43-O25-AK25</f>
        <v>#VALUE!</v>
      </c>
      <c r="BH25" s="21" t="e">
        <f>TEA!E$47-TEA!E$43-P25-AL25</f>
        <v>#VALUE!</v>
      </c>
      <c r="BI25" s="21"/>
      <c r="BJ25" s="21">
        <f>TEA!G$47-TEA!G$43-R25-AN25</f>
        <v>0</v>
      </c>
      <c r="BK25" s="21">
        <f>TEA!H$47-TEA!H$43-S25-AO25</f>
        <v>0</v>
      </c>
      <c r="BL25" s="21">
        <f>TEA!I$47-TEA!I$43-T25-AP25</f>
        <v>4909356.9186563194</v>
      </c>
      <c r="BM25" s="21">
        <f>TEA!J$47-TEA!J$43-U25-AQ25</f>
        <v>0</v>
      </c>
      <c r="BN25" s="21">
        <f>TEA!K$47-TEA!K$43-V25-AR25</f>
        <v>0</v>
      </c>
      <c r="BO25" s="21">
        <f>TEA!L$47-TEA!L$43-W25-AS25</f>
        <v>0</v>
      </c>
      <c r="BP25" s="21">
        <f t="shared" si="11"/>
        <v>0</v>
      </c>
      <c r="BQ25" s="21">
        <f t="shared" si="12"/>
        <v>0</v>
      </c>
      <c r="BR25" s="21" t="e">
        <f t="shared" si="13"/>
        <v>#VALUE!</v>
      </c>
      <c r="BS25" s="21" t="e">
        <f t="shared" si="14"/>
        <v>#VALUE!</v>
      </c>
      <c r="BT25" s="21"/>
      <c r="BU25" s="21">
        <f t="shared" si="15"/>
        <v>0</v>
      </c>
      <c r="BV25" s="21">
        <f t="shared" si="16"/>
        <v>0</v>
      </c>
      <c r="BW25" s="21">
        <f t="shared" si="17"/>
        <v>0</v>
      </c>
      <c r="BX25" s="21">
        <f t="shared" si="18"/>
        <v>0</v>
      </c>
      <c r="BY25" s="21">
        <f t="shared" si="19"/>
        <v>0</v>
      </c>
      <c r="BZ25" s="21">
        <f t="shared" si="20"/>
        <v>0</v>
      </c>
      <c r="CA25" s="21">
        <f t="shared" si="21"/>
        <v>294201.60081362299</v>
      </c>
      <c r="CB25" s="21">
        <f t="shared" si="22"/>
        <v>286681.02320249437</v>
      </c>
      <c r="CC25" s="21" t="e">
        <f t="shared" si="23"/>
        <v>#VALUE!</v>
      </c>
      <c r="CD25" s="21" t="e">
        <f t="shared" si="24"/>
        <v>#VALUE!</v>
      </c>
      <c r="CE25" s="21"/>
      <c r="CF25" s="21">
        <f t="shared" si="25"/>
        <v>0</v>
      </c>
      <c r="CG25" s="21">
        <f t="shared" si="26"/>
        <v>0</v>
      </c>
      <c r="CH25" s="21">
        <f t="shared" si="27"/>
        <v>4909356.9186563194</v>
      </c>
      <c r="CI25" s="21">
        <f t="shared" si="28"/>
        <v>0</v>
      </c>
      <c r="CJ25" s="21">
        <f t="shared" si="29"/>
        <v>0</v>
      </c>
      <c r="CK25" s="21">
        <f t="shared" si="30"/>
        <v>0</v>
      </c>
      <c r="CL25" s="21">
        <f>IF(CA25&gt;0,CA25*TEA!B$17-TEA!B$24,0)</f>
        <v>58840.320162724602</v>
      </c>
      <c r="CM25" s="21">
        <f>IF(CB25&gt;0,CB25*TEA!C$17-TEA!C$24,0)</f>
        <v>57336.20464049888</v>
      </c>
      <c r="CN25" s="21" t="e">
        <f>IF(CC25&gt;0,CC25*TEA!D$17-TEA!D$24,0)</f>
        <v>#VALUE!</v>
      </c>
      <c r="CO25" s="21" t="e">
        <f>IF(CD25&gt;0,CD25*TEA!E$17-TEA!E$24,0)</f>
        <v>#VALUE!</v>
      </c>
      <c r="CP25" s="21"/>
      <c r="CQ25" s="21">
        <f>IF(CF25&gt;0,CF25*TEA!G$17-TEA!G$24,0)</f>
        <v>0</v>
      </c>
      <c r="CR25" s="21">
        <f>IF(CG25&gt;0,CG25*TEA!H$17-TEA!H$24,0)</f>
        <v>0</v>
      </c>
      <c r="CS25" s="21">
        <f>IF(CH25&gt;0,CH25*TEA!I$17-TEA!I$24,0)</f>
        <v>414492.38373126392</v>
      </c>
      <c r="CT25" s="21">
        <f>IF(CI25&gt;0,CI25*TEA!J$17-TEA!J$24,0)</f>
        <v>0</v>
      </c>
      <c r="CU25" s="21">
        <f>IF(CJ25&gt;0,CJ25*TEA!K$17-TEA!K$24,0)</f>
        <v>0</v>
      </c>
      <c r="CV25" s="21">
        <f>IF(CK25&gt;0,CK25*TEA!L$17-TEA!L$24,0)</f>
        <v>0</v>
      </c>
      <c r="CW25" s="21">
        <f>TEA!B$47-TEA!B$43-X25-CL25</f>
        <v>235361.28065089841</v>
      </c>
      <c r="CX25" s="21">
        <f>TEA!C$47-TEA!C$43-Y25-CM25</f>
        <v>229344.81856199549</v>
      </c>
      <c r="CY25" s="21" t="e">
        <f>TEA!D$47-TEA!D$43-Z25-CN25</f>
        <v>#VALUE!</v>
      </c>
      <c r="CZ25" s="21" t="e">
        <f>TEA!E$47-TEA!E$43-AA25-CO25</f>
        <v>#VALUE!</v>
      </c>
      <c r="DA25" s="21"/>
      <c r="DB25" s="21">
        <f>TEA!G$47-TEA!G$43-AC25-CQ25</f>
        <v>0</v>
      </c>
      <c r="DC25" s="21">
        <f>TEA!H$47-TEA!H$43-AD25-CR25</f>
        <v>0</v>
      </c>
      <c r="DD25" s="21">
        <f>TEA!I$47-TEA!I$43-AE25-CS25</f>
        <v>4494864.5349250557</v>
      </c>
      <c r="DE25" s="21">
        <f>TEA!J$47-TEA!J$43-AF25-CT25</f>
        <v>0</v>
      </c>
      <c r="DF25" s="21">
        <f>TEA!K$47-TEA!K$43-AG25-CU25</f>
        <v>0</v>
      </c>
      <c r="DG25" s="21">
        <f>TEA!L$47-TEA!L$43-AH25-CV25</f>
        <v>0</v>
      </c>
      <c r="DH25" s="21">
        <f>CW25/(1+TEA!B$16)^$A25</f>
        <v>28913.185663105931</v>
      </c>
      <c r="DI25" s="21">
        <f>CX25/(1+TEA!C$16)^$A25</f>
        <v>28174.08752032556</v>
      </c>
      <c r="DJ25" s="21" t="e">
        <f>CY25/(1+TEA!D$16)^$A25</f>
        <v>#VALUE!</v>
      </c>
      <c r="DK25" s="21" t="e">
        <f>CZ25/(1+TEA!E$16)^$A25</f>
        <v>#VALUE!</v>
      </c>
      <c r="DL25" s="21"/>
      <c r="DM25" s="21">
        <f>DB25/(1+TEA!G$16)^$A25</f>
        <v>0</v>
      </c>
      <c r="DN25" s="21">
        <f>DC25/(1+TEA!H$16)^$A25</f>
        <v>0</v>
      </c>
      <c r="DO25" s="21">
        <f>DD25/(1+TEA!I$16)^$A25</f>
        <v>552176.00987464015</v>
      </c>
      <c r="DP25" s="21">
        <f>DE25/(1+TEA!J$16)^$A25</f>
        <v>0</v>
      </c>
      <c r="DQ25" s="21">
        <f>DF25/(1+TEA!K$16)^$A25</f>
        <v>0</v>
      </c>
      <c r="DR25" s="21">
        <f>DG25/(1+TEA!L$16)^$A25</f>
        <v>0</v>
      </c>
    </row>
    <row r="26" spans="1:122" x14ac:dyDescent="0.25">
      <c r="A26" s="4">
        <f t="shared" si="1"/>
        <v>23</v>
      </c>
      <c r="B26" s="21">
        <f t="shared" si="31"/>
        <v>-108997.01244811861</v>
      </c>
      <c r="C26" s="21">
        <f t="shared" si="2"/>
        <v>-143424.55473222485</v>
      </c>
      <c r="D26" s="21" t="e">
        <f t="shared" si="3"/>
        <v>#VALUE!</v>
      </c>
      <c r="E26" s="21" t="e">
        <f t="shared" si="4"/>
        <v>#VALUE!</v>
      </c>
      <c r="F26" s="21"/>
      <c r="G26" s="21">
        <f t="shared" si="5"/>
        <v>0</v>
      </c>
      <c r="H26" s="21">
        <f t="shared" si="6"/>
        <v>0</v>
      </c>
      <c r="I26" s="21">
        <f t="shared" si="7"/>
        <v>646732.02114790154</v>
      </c>
      <c r="J26" s="21">
        <f t="shared" si="8"/>
        <v>0</v>
      </c>
      <c r="K26" s="21">
        <f t="shared" si="9"/>
        <v>0</v>
      </c>
      <c r="L26" s="21">
        <f t="shared" si="10"/>
        <v>0</v>
      </c>
      <c r="M26" s="21"/>
      <c r="X26" s="20"/>
      <c r="AI26" s="21"/>
      <c r="AT26" s="21"/>
      <c r="BE26" s="21">
        <f>TEA!B$47-TEA!B$43-M26-AI26</f>
        <v>294201.60081362299</v>
      </c>
      <c r="BF26" s="21">
        <f>TEA!C$47-TEA!C$43-N26-AJ26</f>
        <v>286681.02320249437</v>
      </c>
      <c r="BG26" s="21" t="e">
        <f>TEA!D$47-TEA!D$43-O26-AK26</f>
        <v>#VALUE!</v>
      </c>
      <c r="BH26" s="21" t="e">
        <f>TEA!E$47-TEA!E$43-P26-AL26</f>
        <v>#VALUE!</v>
      </c>
      <c r="BI26" s="21"/>
      <c r="BJ26" s="21">
        <f>TEA!G$47-TEA!G$43-R26-AN26</f>
        <v>0</v>
      </c>
      <c r="BK26" s="21">
        <f>TEA!H$47-TEA!H$43-S26-AO26</f>
        <v>0</v>
      </c>
      <c r="BL26" s="21">
        <f>TEA!I$47-TEA!I$43-T26-AP26</f>
        <v>4909356.9186563194</v>
      </c>
      <c r="BM26" s="21">
        <f>TEA!J$47-TEA!J$43-U26-AQ26</f>
        <v>0</v>
      </c>
      <c r="BN26" s="21">
        <f>TEA!K$47-TEA!K$43-V26-AR26</f>
        <v>0</v>
      </c>
      <c r="BO26" s="21">
        <f>TEA!L$47-TEA!L$43-W26-AS26</f>
        <v>0</v>
      </c>
      <c r="BP26" s="21">
        <f t="shared" si="11"/>
        <v>0</v>
      </c>
      <c r="BQ26" s="21">
        <f t="shared" si="12"/>
        <v>0</v>
      </c>
      <c r="BR26" s="21" t="e">
        <f t="shared" si="13"/>
        <v>#VALUE!</v>
      </c>
      <c r="BS26" s="21" t="e">
        <f t="shared" si="14"/>
        <v>#VALUE!</v>
      </c>
      <c r="BT26" s="21"/>
      <c r="BU26" s="21">
        <f t="shared" si="15"/>
        <v>0</v>
      </c>
      <c r="BV26" s="21">
        <f t="shared" si="16"/>
        <v>0</v>
      </c>
      <c r="BW26" s="21">
        <f t="shared" si="17"/>
        <v>0</v>
      </c>
      <c r="BX26" s="21">
        <f t="shared" si="18"/>
        <v>0</v>
      </c>
      <c r="BY26" s="21">
        <f t="shared" si="19"/>
        <v>0</v>
      </c>
      <c r="BZ26" s="21">
        <f t="shared" si="20"/>
        <v>0</v>
      </c>
      <c r="CA26" s="21">
        <f t="shared" si="21"/>
        <v>294201.60081362299</v>
      </c>
      <c r="CB26" s="21">
        <f t="shared" si="22"/>
        <v>286681.02320249437</v>
      </c>
      <c r="CC26" s="21" t="e">
        <f t="shared" si="23"/>
        <v>#VALUE!</v>
      </c>
      <c r="CD26" s="21" t="e">
        <f t="shared" si="24"/>
        <v>#VALUE!</v>
      </c>
      <c r="CE26" s="21"/>
      <c r="CF26" s="21">
        <f t="shared" si="25"/>
        <v>0</v>
      </c>
      <c r="CG26" s="21">
        <f t="shared" si="26"/>
        <v>0</v>
      </c>
      <c r="CH26" s="21">
        <f t="shared" si="27"/>
        <v>4909356.9186563194</v>
      </c>
      <c r="CI26" s="21">
        <f t="shared" si="28"/>
        <v>0</v>
      </c>
      <c r="CJ26" s="21">
        <f t="shared" si="29"/>
        <v>0</v>
      </c>
      <c r="CK26" s="21">
        <f t="shared" si="30"/>
        <v>0</v>
      </c>
      <c r="CL26" s="21">
        <f>IF(CA26&gt;0,CA26*TEA!B$17-TEA!B$24,0)</f>
        <v>58840.320162724602</v>
      </c>
      <c r="CM26" s="21">
        <f>IF(CB26&gt;0,CB26*TEA!C$17-TEA!C$24,0)</f>
        <v>57336.20464049888</v>
      </c>
      <c r="CN26" s="21" t="e">
        <f>IF(CC26&gt;0,CC26*TEA!D$17-TEA!D$24,0)</f>
        <v>#VALUE!</v>
      </c>
      <c r="CO26" s="21" t="e">
        <f>IF(CD26&gt;0,CD26*TEA!E$17-TEA!E$24,0)</f>
        <v>#VALUE!</v>
      </c>
      <c r="CP26" s="21"/>
      <c r="CQ26" s="21">
        <f>IF(CF26&gt;0,CF26*TEA!G$17-TEA!G$24,0)</f>
        <v>0</v>
      </c>
      <c r="CR26" s="21">
        <f>IF(CG26&gt;0,CG26*TEA!H$17-TEA!H$24,0)</f>
        <v>0</v>
      </c>
      <c r="CS26" s="21">
        <f>IF(CH26&gt;0,CH26*TEA!I$17-TEA!I$24,0)</f>
        <v>414492.38373126392</v>
      </c>
      <c r="CT26" s="21">
        <f>IF(CI26&gt;0,CI26*TEA!J$17-TEA!J$24,0)</f>
        <v>0</v>
      </c>
      <c r="CU26" s="21">
        <f>IF(CJ26&gt;0,CJ26*TEA!K$17-TEA!K$24,0)</f>
        <v>0</v>
      </c>
      <c r="CV26" s="21">
        <f>IF(CK26&gt;0,CK26*TEA!L$17-TEA!L$24,0)</f>
        <v>0</v>
      </c>
      <c r="CW26" s="21">
        <f>TEA!B$47-TEA!B$43-X26-CL26</f>
        <v>235361.28065089841</v>
      </c>
      <c r="CX26" s="21">
        <f>TEA!C$47-TEA!C$43-Y26-CM26</f>
        <v>229344.81856199549</v>
      </c>
      <c r="CY26" s="21" t="e">
        <f>TEA!D$47-TEA!D$43-Z26-CN26</f>
        <v>#VALUE!</v>
      </c>
      <c r="CZ26" s="21" t="e">
        <f>TEA!E$47-TEA!E$43-AA26-CO26</f>
        <v>#VALUE!</v>
      </c>
      <c r="DA26" s="21"/>
      <c r="DB26" s="21">
        <f>TEA!G$47-TEA!G$43-AC26-CQ26</f>
        <v>0</v>
      </c>
      <c r="DC26" s="21">
        <f>TEA!H$47-TEA!H$43-AD26-CR26</f>
        <v>0</v>
      </c>
      <c r="DD26" s="21">
        <f>TEA!I$47-TEA!I$43-AE26-CS26</f>
        <v>4494864.5349250557</v>
      </c>
      <c r="DE26" s="21">
        <f>TEA!J$47-TEA!J$43-AF26-CT26</f>
        <v>0</v>
      </c>
      <c r="DF26" s="21">
        <f>TEA!K$47-TEA!K$43-AG26-CU26</f>
        <v>0</v>
      </c>
      <c r="DG26" s="21">
        <f>TEA!L$47-TEA!L$43-AH26-CV26</f>
        <v>0</v>
      </c>
      <c r="DH26" s="21">
        <f>CW26/(1+TEA!B$16)^$A26</f>
        <v>26284.714239187204</v>
      </c>
      <c r="DI26" s="21">
        <f>CX26/(1+TEA!C$16)^$A26</f>
        <v>25612.806836659598</v>
      </c>
      <c r="DJ26" s="21" t="e">
        <f>CY26/(1+TEA!D$16)^$A26</f>
        <v>#VALUE!</v>
      </c>
      <c r="DK26" s="21" t="e">
        <f>CZ26/(1+TEA!E$16)^$A26</f>
        <v>#VALUE!</v>
      </c>
      <c r="DL26" s="21"/>
      <c r="DM26" s="21">
        <f>DB26/(1+TEA!G$16)^$A26</f>
        <v>0</v>
      </c>
      <c r="DN26" s="21">
        <f>DC26/(1+TEA!H$16)^$A26</f>
        <v>0</v>
      </c>
      <c r="DO26" s="21">
        <f>DD26/(1+TEA!I$16)^$A26</f>
        <v>501978.1907951273</v>
      </c>
      <c r="DP26" s="21">
        <f>DE26/(1+TEA!J$16)^$A26</f>
        <v>0</v>
      </c>
      <c r="DQ26" s="21">
        <f>DF26/(1+TEA!K$16)^$A26</f>
        <v>0</v>
      </c>
      <c r="DR26" s="21">
        <f>DG26/(1+TEA!L$16)^$A26</f>
        <v>0</v>
      </c>
    </row>
    <row r="27" spans="1:122" x14ac:dyDescent="0.25">
      <c r="A27" s="4">
        <f t="shared" si="1"/>
        <v>24</v>
      </c>
      <c r="B27" s="21">
        <f t="shared" si="31"/>
        <v>-85101.817685221147</v>
      </c>
      <c r="C27" s="21">
        <f t="shared" si="2"/>
        <v>-120140.18488071612</v>
      </c>
      <c r="D27" s="21" t="e">
        <f t="shared" si="3"/>
        <v>#VALUE!</v>
      </c>
      <c r="E27" s="21" t="e">
        <f t="shared" si="4"/>
        <v>#VALUE!</v>
      </c>
      <c r="F27" s="21"/>
      <c r="G27" s="21">
        <f t="shared" si="5"/>
        <v>0</v>
      </c>
      <c r="H27" s="21">
        <f t="shared" si="6"/>
        <v>0</v>
      </c>
      <c r="I27" s="21">
        <f t="shared" si="7"/>
        <v>1103075.8309616537</v>
      </c>
      <c r="J27" s="21">
        <f t="shared" si="8"/>
        <v>0</v>
      </c>
      <c r="K27" s="21">
        <f t="shared" si="9"/>
        <v>0</v>
      </c>
      <c r="L27" s="21">
        <f t="shared" si="10"/>
        <v>0</v>
      </c>
      <c r="M27" s="21"/>
      <c r="X27" s="20"/>
      <c r="AI27" s="21"/>
      <c r="AT27" s="21"/>
      <c r="BE27" s="21">
        <f>TEA!B$47-TEA!B$43-M27-AI27</f>
        <v>294201.60081362299</v>
      </c>
      <c r="BF27" s="21">
        <f>TEA!C$47-TEA!C$43-N27-AJ27</f>
        <v>286681.02320249437</v>
      </c>
      <c r="BG27" s="21" t="e">
        <f>TEA!D$47-TEA!D$43-O27-AK27</f>
        <v>#VALUE!</v>
      </c>
      <c r="BH27" s="21" t="e">
        <f>TEA!E$47-TEA!E$43-P27-AL27</f>
        <v>#VALUE!</v>
      </c>
      <c r="BI27" s="21"/>
      <c r="BJ27" s="21">
        <f>TEA!G$47-TEA!G$43-R27-AN27</f>
        <v>0</v>
      </c>
      <c r="BK27" s="21">
        <f>TEA!H$47-TEA!H$43-S27-AO27</f>
        <v>0</v>
      </c>
      <c r="BL27" s="21">
        <f>TEA!I$47-TEA!I$43-T27-AP27</f>
        <v>4909356.9186563194</v>
      </c>
      <c r="BM27" s="21">
        <f>TEA!J$47-TEA!J$43-U27-AQ27</f>
        <v>0</v>
      </c>
      <c r="BN27" s="21">
        <f>TEA!K$47-TEA!K$43-V27-AR27</f>
        <v>0</v>
      </c>
      <c r="BO27" s="21">
        <f>TEA!L$47-TEA!L$43-W27-AS27</f>
        <v>0</v>
      </c>
      <c r="BP27" s="21">
        <f t="shared" si="11"/>
        <v>0</v>
      </c>
      <c r="BQ27" s="21">
        <f t="shared" si="12"/>
        <v>0</v>
      </c>
      <c r="BR27" s="21" t="e">
        <f t="shared" si="13"/>
        <v>#VALUE!</v>
      </c>
      <c r="BS27" s="21" t="e">
        <f t="shared" si="14"/>
        <v>#VALUE!</v>
      </c>
      <c r="BT27" s="21"/>
      <c r="BU27" s="21">
        <f t="shared" si="15"/>
        <v>0</v>
      </c>
      <c r="BV27" s="21">
        <f t="shared" si="16"/>
        <v>0</v>
      </c>
      <c r="BW27" s="21">
        <f t="shared" si="17"/>
        <v>0</v>
      </c>
      <c r="BX27" s="21">
        <f t="shared" si="18"/>
        <v>0</v>
      </c>
      <c r="BY27" s="21">
        <f t="shared" si="19"/>
        <v>0</v>
      </c>
      <c r="BZ27" s="21">
        <f t="shared" si="20"/>
        <v>0</v>
      </c>
      <c r="CA27" s="21">
        <f t="shared" si="21"/>
        <v>294201.60081362299</v>
      </c>
      <c r="CB27" s="21">
        <f t="shared" si="22"/>
        <v>286681.02320249437</v>
      </c>
      <c r="CC27" s="21" t="e">
        <f t="shared" si="23"/>
        <v>#VALUE!</v>
      </c>
      <c r="CD27" s="21" t="e">
        <f t="shared" si="24"/>
        <v>#VALUE!</v>
      </c>
      <c r="CE27" s="21"/>
      <c r="CF27" s="21">
        <f t="shared" si="25"/>
        <v>0</v>
      </c>
      <c r="CG27" s="21">
        <f t="shared" si="26"/>
        <v>0</v>
      </c>
      <c r="CH27" s="21">
        <f t="shared" si="27"/>
        <v>4909356.9186563194</v>
      </c>
      <c r="CI27" s="21">
        <f t="shared" si="28"/>
        <v>0</v>
      </c>
      <c r="CJ27" s="21">
        <f t="shared" si="29"/>
        <v>0</v>
      </c>
      <c r="CK27" s="21">
        <f t="shared" si="30"/>
        <v>0</v>
      </c>
      <c r="CL27" s="21">
        <f>IF(CA27&gt;0,CA27*TEA!B$17-TEA!B$24,0)</f>
        <v>58840.320162724602</v>
      </c>
      <c r="CM27" s="21">
        <f>IF(CB27&gt;0,CB27*TEA!C$17-TEA!C$24,0)</f>
        <v>57336.20464049888</v>
      </c>
      <c r="CN27" s="21" t="e">
        <f>IF(CC27&gt;0,CC27*TEA!D$17-TEA!D$24,0)</f>
        <v>#VALUE!</v>
      </c>
      <c r="CO27" s="21" t="e">
        <f>IF(CD27&gt;0,CD27*TEA!E$17-TEA!E$24,0)</f>
        <v>#VALUE!</v>
      </c>
      <c r="CP27" s="21"/>
      <c r="CQ27" s="21">
        <f>IF(CF27&gt;0,CF27*TEA!G$17-TEA!G$24,0)</f>
        <v>0</v>
      </c>
      <c r="CR27" s="21">
        <f>IF(CG27&gt;0,CG27*TEA!H$17-TEA!H$24,0)</f>
        <v>0</v>
      </c>
      <c r="CS27" s="21">
        <f>IF(CH27&gt;0,CH27*TEA!I$17-TEA!I$24,0)</f>
        <v>414492.38373126392</v>
      </c>
      <c r="CT27" s="21">
        <f>IF(CI27&gt;0,CI27*TEA!J$17-TEA!J$24,0)</f>
        <v>0</v>
      </c>
      <c r="CU27" s="21">
        <f>IF(CJ27&gt;0,CJ27*TEA!K$17-TEA!K$24,0)</f>
        <v>0</v>
      </c>
      <c r="CV27" s="21">
        <f>IF(CK27&gt;0,CK27*TEA!L$17-TEA!L$24,0)</f>
        <v>0</v>
      </c>
      <c r="CW27" s="21">
        <f>TEA!B$47-TEA!B$43-X27-CL27</f>
        <v>235361.28065089841</v>
      </c>
      <c r="CX27" s="21">
        <f>TEA!C$47-TEA!C$43-Y27-CM27</f>
        <v>229344.81856199549</v>
      </c>
      <c r="CY27" s="21" t="e">
        <f>TEA!D$47-TEA!D$43-Z27-CN27</f>
        <v>#VALUE!</v>
      </c>
      <c r="CZ27" s="21" t="e">
        <f>TEA!E$47-TEA!E$43-AA27-CO27</f>
        <v>#VALUE!</v>
      </c>
      <c r="DA27" s="21"/>
      <c r="DB27" s="21">
        <f>TEA!G$47-TEA!G$43-AC27-CQ27</f>
        <v>0</v>
      </c>
      <c r="DC27" s="21">
        <f>TEA!H$47-TEA!H$43-AD27-CR27</f>
        <v>0</v>
      </c>
      <c r="DD27" s="21">
        <f>TEA!I$47-TEA!I$43-AE27-CS27</f>
        <v>4494864.5349250557</v>
      </c>
      <c r="DE27" s="21">
        <f>TEA!J$47-TEA!J$43-AF27-CT27</f>
        <v>0</v>
      </c>
      <c r="DF27" s="21">
        <f>TEA!K$47-TEA!K$43-AG27-CU27</f>
        <v>0</v>
      </c>
      <c r="DG27" s="21">
        <f>TEA!L$47-TEA!L$43-AH27-CV27</f>
        <v>0</v>
      </c>
      <c r="DH27" s="21">
        <f>CW27/(1+TEA!B$16)^$A27</f>
        <v>23895.194762897463</v>
      </c>
      <c r="DI27" s="21">
        <f>CX27/(1+TEA!C$16)^$A27</f>
        <v>23284.369851508727</v>
      </c>
      <c r="DJ27" s="21" t="e">
        <f>CY27/(1+TEA!D$16)^$A27</f>
        <v>#VALUE!</v>
      </c>
      <c r="DK27" s="21" t="e">
        <f>CZ27/(1+TEA!E$16)^$A27</f>
        <v>#VALUE!</v>
      </c>
      <c r="DL27" s="21"/>
      <c r="DM27" s="21">
        <f>DB27/(1+TEA!G$16)^$A27</f>
        <v>0</v>
      </c>
      <c r="DN27" s="21">
        <f>DC27/(1+TEA!H$16)^$A27</f>
        <v>0</v>
      </c>
      <c r="DO27" s="21">
        <f>DD27/(1+TEA!I$16)^$A27</f>
        <v>456343.80981375219</v>
      </c>
      <c r="DP27" s="21">
        <f>DE27/(1+TEA!J$16)^$A27</f>
        <v>0</v>
      </c>
      <c r="DQ27" s="21">
        <f>DF27/(1+TEA!K$16)^$A27</f>
        <v>0</v>
      </c>
      <c r="DR27" s="21">
        <f>DG27/(1+TEA!L$16)^$A27</f>
        <v>0</v>
      </c>
    </row>
    <row r="28" spans="1:122" x14ac:dyDescent="0.25">
      <c r="A28" s="4">
        <f t="shared" si="1"/>
        <v>25</v>
      </c>
      <c r="B28" s="21">
        <f t="shared" si="31"/>
        <v>-63378.913355314362</v>
      </c>
      <c r="C28" s="21">
        <f t="shared" si="2"/>
        <v>-98972.575924799094</v>
      </c>
      <c r="D28" s="21" t="e">
        <f t="shared" si="3"/>
        <v>#VALUE!</v>
      </c>
      <c r="E28" s="21" t="e">
        <f t="shared" si="4"/>
        <v>#VALUE!</v>
      </c>
      <c r="F28" s="21"/>
      <c r="G28" s="21">
        <f t="shared" si="5"/>
        <v>0</v>
      </c>
      <c r="H28" s="21">
        <f t="shared" si="6"/>
        <v>0</v>
      </c>
      <c r="I28" s="21">
        <f t="shared" si="7"/>
        <v>1517933.8398832465</v>
      </c>
      <c r="J28" s="21">
        <f t="shared" si="8"/>
        <v>0</v>
      </c>
      <c r="K28" s="21">
        <f t="shared" si="9"/>
        <v>0</v>
      </c>
      <c r="L28" s="21">
        <f t="shared" si="10"/>
        <v>0</v>
      </c>
      <c r="M28" s="21"/>
      <c r="X28" s="20"/>
      <c r="AI28" s="21"/>
      <c r="AT28" s="21"/>
      <c r="BE28" s="21">
        <f>TEA!B$47-TEA!B$43-M28-AI28</f>
        <v>294201.60081362299</v>
      </c>
      <c r="BF28" s="21">
        <f>TEA!C$47-TEA!C$43-N28-AJ28</f>
        <v>286681.02320249437</v>
      </c>
      <c r="BG28" s="21" t="e">
        <f>TEA!D$47-TEA!D$43-O28-AK28</f>
        <v>#VALUE!</v>
      </c>
      <c r="BH28" s="21" t="e">
        <f>TEA!E$47-TEA!E$43-P28-AL28</f>
        <v>#VALUE!</v>
      </c>
      <c r="BI28" s="21"/>
      <c r="BJ28" s="21">
        <f>TEA!G$47-TEA!G$43-R28-AN28</f>
        <v>0</v>
      </c>
      <c r="BK28" s="21">
        <f>TEA!H$47-TEA!H$43-S28-AO28</f>
        <v>0</v>
      </c>
      <c r="BL28" s="21">
        <f>TEA!I$47-TEA!I$43-T28-AP28</f>
        <v>4909356.9186563194</v>
      </c>
      <c r="BM28" s="21">
        <f>TEA!J$47-TEA!J$43-U28-AQ28</f>
        <v>0</v>
      </c>
      <c r="BN28" s="21">
        <f>TEA!K$47-TEA!K$43-V28-AR28</f>
        <v>0</v>
      </c>
      <c r="BO28" s="21">
        <f>TEA!L$47-TEA!L$43-W28-AS28</f>
        <v>0</v>
      </c>
      <c r="BP28" s="21">
        <f t="shared" si="11"/>
        <v>0</v>
      </c>
      <c r="BQ28" s="21">
        <f t="shared" si="12"/>
        <v>0</v>
      </c>
      <c r="BR28" s="21" t="e">
        <f t="shared" si="13"/>
        <v>#VALUE!</v>
      </c>
      <c r="BS28" s="21" t="e">
        <f t="shared" si="14"/>
        <v>#VALUE!</v>
      </c>
      <c r="BT28" s="21"/>
      <c r="BU28" s="21">
        <f t="shared" si="15"/>
        <v>0</v>
      </c>
      <c r="BV28" s="21">
        <f t="shared" si="16"/>
        <v>0</v>
      </c>
      <c r="BW28" s="21">
        <f t="shared" si="17"/>
        <v>0</v>
      </c>
      <c r="BX28" s="21">
        <f t="shared" si="18"/>
        <v>0</v>
      </c>
      <c r="BY28" s="21">
        <f t="shared" si="19"/>
        <v>0</v>
      </c>
      <c r="BZ28" s="21">
        <f t="shared" si="20"/>
        <v>0</v>
      </c>
      <c r="CA28" s="21">
        <f t="shared" si="21"/>
        <v>294201.60081362299</v>
      </c>
      <c r="CB28" s="21">
        <f t="shared" si="22"/>
        <v>286681.02320249437</v>
      </c>
      <c r="CC28" s="21" t="e">
        <f t="shared" si="23"/>
        <v>#VALUE!</v>
      </c>
      <c r="CD28" s="21" t="e">
        <f t="shared" si="24"/>
        <v>#VALUE!</v>
      </c>
      <c r="CE28" s="21"/>
      <c r="CF28" s="21">
        <f t="shared" si="25"/>
        <v>0</v>
      </c>
      <c r="CG28" s="21">
        <f t="shared" si="26"/>
        <v>0</v>
      </c>
      <c r="CH28" s="21">
        <f t="shared" si="27"/>
        <v>4909356.9186563194</v>
      </c>
      <c r="CI28" s="21">
        <f t="shared" si="28"/>
        <v>0</v>
      </c>
      <c r="CJ28" s="21">
        <f t="shared" si="29"/>
        <v>0</v>
      </c>
      <c r="CK28" s="21">
        <f t="shared" si="30"/>
        <v>0</v>
      </c>
      <c r="CL28" s="21">
        <f>IF(CA28&gt;0,CA28*TEA!B$17-TEA!B$24,0)</f>
        <v>58840.320162724602</v>
      </c>
      <c r="CM28" s="21">
        <f>IF(CB28&gt;0,CB28*TEA!C$17-TEA!C$24,0)</f>
        <v>57336.20464049888</v>
      </c>
      <c r="CN28" s="21" t="e">
        <f>IF(CC28&gt;0,CC28*TEA!D$17-TEA!D$24,0)</f>
        <v>#VALUE!</v>
      </c>
      <c r="CO28" s="21" t="e">
        <f>IF(CD28&gt;0,CD28*TEA!E$17-TEA!E$24,0)</f>
        <v>#VALUE!</v>
      </c>
      <c r="CP28" s="21"/>
      <c r="CQ28" s="21">
        <f>IF(CF28&gt;0,CF28*TEA!G$17-TEA!G$24,0)</f>
        <v>0</v>
      </c>
      <c r="CR28" s="21">
        <f>IF(CG28&gt;0,CG28*TEA!H$17-TEA!H$24,0)</f>
        <v>0</v>
      </c>
      <c r="CS28" s="21">
        <f>IF(CH28&gt;0,CH28*TEA!I$17-TEA!I$24,0)</f>
        <v>414492.38373126392</v>
      </c>
      <c r="CT28" s="21">
        <f>IF(CI28&gt;0,CI28*TEA!J$17-TEA!J$24,0)</f>
        <v>0</v>
      </c>
      <c r="CU28" s="21">
        <f>IF(CJ28&gt;0,CJ28*TEA!K$17-TEA!K$24,0)</f>
        <v>0</v>
      </c>
      <c r="CV28" s="21">
        <f>IF(CK28&gt;0,CK28*TEA!L$17-TEA!L$24,0)</f>
        <v>0</v>
      </c>
      <c r="CW28" s="21">
        <f>TEA!B$47-TEA!B$43-X28-CL28</f>
        <v>235361.28065089841</v>
      </c>
      <c r="CX28" s="21">
        <f>TEA!C$47-TEA!C$43-Y28-CM28</f>
        <v>229344.81856199549</v>
      </c>
      <c r="CY28" s="21" t="e">
        <f>TEA!D$47-TEA!D$43-Z28-CN28</f>
        <v>#VALUE!</v>
      </c>
      <c r="CZ28" s="21" t="e">
        <f>TEA!E$47-TEA!E$43-AA28-CO28</f>
        <v>#VALUE!</v>
      </c>
      <c r="DA28" s="21"/>
      <c r="DB28" s="21">
        <f>TEA!G$47-TEA!G$43-AC28-CQ28</f>
        <v>0</v>
      </c>
      <c r="DC28" s="21">
        <f>TEA!H$47-TEA!H$43-AD28-CR28</f>
        <v>0</v>
      </c>
      <c r="DD28" s="21">
        <f>TEA!I$47-TEA!I$43-AE28-CS28</f>
        <v>4494864.5349250557</v>
      </c>
      <c r="DE28" s="21">
        <f>TEA!J$47-TEA!J$43-AF28-CT28</f>
        <v>0</v>
      </c>
      <c r="DF28" s="21">
        <f>TEA!K$47-TEA!K$43-AG28-CU28</f>
        <v>0</v>
      </c>
      <c r="DG28" s="21">
        <f>TEA!L$47-TEA!L$43-AH28-CV28</f>
        <v>0</v>
      </c>
      <c r="DH28" s="21">
        <f>CW28/(1+TEA!B$16)^$A28</f>
        <v>21722.904329906782</v>
      </c>
      <c r="DI28" s="21">
        <f>CX28/(1+TEA!C$16)^$A28</f>
        <v>21167.608955917021</v>
      </c>
      <c r="DJ28" s="21" t="e">
        <f>CY28/(1+TEA!D$16)^$A28</f>
        <v>#VALUE!</v>
      </c>
      <c r="DK28" s="21" t="e">
        <f>CZ28/(1+TEA!E$16)^$A28</f>
        <v>#VALUE!</v>
      </c>
      <c r="DL28" s="21"/>
      <c r="DM28" s="21">
        <f>DB28/(1+TEA!G$16)^$A28</f>
        <v>0</v>
      </c>
      <c r="DN28" s="21">
        <f>DC28/(1+TEA!H$16)^$A28</f>
        <v>0</v>
      </c>
      <c r="DO28" s="21">
        <f>DD28/(1+TEA!I$16)^$A28</f>
        <v>414858.00892159279</v>
      </c>
      <c r="DP28" s="21">
        <f>DE28/(1+TEA!J$16)^$A28</f>
        <v>0</v>
      </c>
      <c r="DQ28" s="21">
        <f>DF28/(1+TEA!K$16)^$A28</f>
        <v>0</v>
      </c>
      <c r="DR28" s="21">
        <f>DG28/(1+TEA!L$16)^$A28</f>
        <v>0</v>
      </c>
    </row>
    <row r="29" spans="1:122" x14ac:dyDescent="0.25">
      <c r="A29" s="4">
        <f t="shared" si="1"/>
        <v>26</v>
      </c>
      <c r="B29" s="21">
        <f t="shared" si="31"/>
        <v>-43630.818509944562</v>
      </c>
      <c r="C29" s="21">
        <f t="shared" si="2"/>
        <v>-79729.295055783616</v>
      </c>
      <c r="D29" s="21" t="e">
        <f t="shared" si="3"/>
        <v>#VALUE!</v>
      </c>
      <c r="E29" s="21" t="e">
        <f t="shared" si="4"/>
        <v>#VALUE!</v>
      </c>
      <c r="F29" s="21"/>
      <c r="G29" s="21">
        <f t="shared" si="5"/>
        <v>0</v>
      </c>
      <c r="H29" s="21">
        <f t="shared" si="6"/>
        <v>0</v>
      </c>
      <c r="I29" s="21">
        <f t="shared" si="7"/>
        <v>1895077.4843574218</v>
      </c>
      <c r="J29" s="21">
        <f t="shared" si="8"/>
        <v>0</v>
      </c>
      <c r="K29" s="21">
        <f t="shared" si="9"/>
        <v>0</v>
      </c>
      <c r="L29" s="21">
        <f t="shared" si="10"/>
        <v>0</v>
      </c>
      <c r="M29" s="21"/>
      <c r="X29" s="20"/>
      <c r="AI29" s="21"/>
      <c r="AT29" s="21"/>
      <c r="BE29" s="21">
        <f>TEA!B$47-TEA!B$43-M29-AI29</f>
        <v>294201.60081362299</v>
      </c>
      <c r="BF29" s="21">
        <f>TEA!C$47-TEA!C$43-N29-AJ29</f>
        <v>286681.02320249437</v>
      </c>
      <c r="BG29" s="21" t="e">
        <f>TEA!D$47-TEA!D$43-O29-AK29</f>
        <v>#VALUE!</v>
      </c>
      <c r="BH29" s="21" t="e">
        <f>TEA!E$47-TEA!E$43-P29-AL29</f>
        <v>#VALUE!</v>
      </c>
      <c r="BI29" s="21"/>
      <c r="BJ29" s="21">
        <f>TEA!G$47-TEA!G$43-R29-AN29</f>
        <v>0</v>
      </c>
      <c r="BK29" s="21">
        <f>TEA!H$47-TEA!H$43-S29-AO29</f>
        <v>0</v>
      </c>
      <c r="BL29" s="21">
        <f>TEA!I$47-TEA!I$43-T29-AP29</f>
        <v>4909356.9186563194</v>
      </c>
      <c r="BM29" s="21">
        <f>TEA!J$47-TEA!J$43-U29-AQ29</f>
        <v>0</v>
      </c>
      <c r="BN29" s="21">
        <f>TEA!K$47-TEA!K$43-V29-AR29</f>
        <v>0</v>
      </c>
      <c r="BO29" s="21">
        <f>TEA!L$47-TEA!L$43-W29-AS29</f>
        <v>0</v>
      </c>
      <c r="BP29" s="21">
        <f t="shared" si="11"/>
        <v>0</v>
      </c>
      <c r="BQ29" s="21">
        <f t="shared" si="12"/>
        <v>0</v>
      </c>
      <c r="BR29" s="21" t="e">
        <f t="shared" si="13"/>
        <v>#VALUE!</v>
      </c>
      <c r="BS29" s="21" t="e">
        <f t="shared" si="14"/>
        <v>#VALUE!</v>
      </c>
      <c r="BT29" s="21"/>
      <c r="BU29" s="21">
        <f t="shared" si="15"/>
        <v>0</v>
      </c>
      <c r="BV29" s="21">
        <f t="shared" si="16"/>
        <v>0</v>
      </c>
      <c r="BW29" s="21">
        <f t="shared" si="17"/>
        <v>0</v>
      </c>
      <c r="BX29" s="21">
        <f t="shared" si="18"/>
        <v>0</v>
      </c>
      <c r="BY29" s="21">
        <f t="shared" si="19"/>
        <v>0</v>
      </c>
      <c r="BZ29" s="21">
        <f t="shared" si="20"/>
        <v>0</v>
      </c>
      <c r="CA29" s="21">
        <f t="shared" si="21"/>
        <v>294201.60081362299</v>
      </c>
      <c r="CB29" s="21">
        <f t="shared" si="22"/>
        <v>286681.02320249437</v>
      </c>
      <c r="CC29" s="21" t="e">
        <f t="shared" si="23"/>
        <v>#VALUE!</v>
      </c>
      <c r="CD29" s="21" t="e">
        <f t="shared" si="24"/>
        <v>#VALUE!</v>
      </c>
      <c r="CE29" s="21"/>
      <c r="CF29" s="21">
        <f t="shared" si="25"/>
        <v>0</v>
      </c>
      <c r="CG29" s="21">
        <f t="shared" si="26"/>
        <v>0</v>
      </c>
      <c r="CH29" s="21">
        <f t="shared" si="27"/>
        <v>4909356.9186563194</v>
      </c>
      <c r="CI29" s="21">
        <f t="shared" si="28"/>
        <v>0</v>
      </c>
      <c r="CJ29" s="21">
        <f t="shared" si="29"/>
        <v>0</v>
      </c>
      <c r="CK29" s="21">
        <f t="shared" si="30"/>
        <v>0</v>
      </c>
      <c r="CL29" s="21">
        <f>IF(CA29&gt;0,CA29*TEA!B$17-TEA!B$24,0)</f>
        <v>58840.320162724602</v>
      </c>
      <c r="CM29" s="21">
        <f>IF(CB29&gt;0,CB29*TEA!C$17-TEA!C$24,0)</f>
        <v>57336.20464049888</v>
      </c>
      <c r="CN29" s="21" t="e">
        <f>IF(CC29&gt;0,CC29*TEA!D$17-TEA!D$24,0)</f>
        <v>#VALUE!</v>
      </c>
      <c r="CO29" s="21" t="e">
        <f>IF(CD29&gt;0,CD29*TEA!E$17-TEA!E$24,0)</f>
        <v>#VALUE!</v>
      </c>
      <c r="CP29" s="21"/>
      <c r="CQ29" s="21">
        <f>IF(CF29&gt;0,CF29*TEA!G$17-TEA!G$24,0)</f>
        <v>0</v>
      </c>
      <c r="CR29" s="21">
        <f>IF(CG29&gt;0,CG29*TEA!H$17-TEA!H$24,0)</f>
        <v>0</v>
      </c>
      <c r="CS29" s="21">
        <f>IF(CH29&gt;0,CH29*TEA!I$17-TEA!I$24,0)</f>
        <v>414492.38373126392</v>
      </c>
      <c r="CT29" s="21">
        <f>IF(CI29&gt;0,CI29*TEA!J$17-TEA!J$24,0)</f>
        <v>0</v>
      </c>
      <c r="CU29" s="21">
        <f>IF(CJ29&gt;0,CJ29*TEA!K$17-TEA!K$24,0)</f>
        <v>0</v>
      </c>
      <c r="CV29" s="21">
        <f>IF(CK29&gt;0,CK29*TEA!L$17-TEA!L$24,0)</f>
        <v>0</v>
      </c>
      <c r="CW29" s="21">
        <f>TEA!B$47-TEA!B$43-X29-CL29</f>
        <v>235361.28065089841</v>
      </c>
      <c r="CX29" s="21">
        <f>TEA!C$47-TEA!C$43-Y29-CM29</f>
        <v>229344.81856199549</v>
      </c>
      <c r="CY29" s="21" t="e">
        <f>TEA!D$47-TEA!D$43-Z29-CN29</f>
        <v>#VALUE!</v>
      </c>
      <c r="CZ29" s="21" t="e">
        <f>TEA!E$47-TEA!E$43-AA29-CO29</f>
        <v>#VALUE!</v>
      </c>
      <c r="DA29" s="21"/>
      <c r="DB29" s="21">
        <f>TEA!G$47-TEA!G$43-AC29-CQ29</f>
        <v>0</v>
      </c>
      <c r="DC29" s="21">
        <f>TEA!H$47-TEA!H$43-AD29-CR29</f>
        <v>0</v>
      </c>
      <c r="DD29" s="21">
        <f>TEA!I$47-TEA!I$43-AE29-CS29</f>
        <v>4494864.5349250557</v>
      </c>
      <c r="DE29" s="21">
        <f>TEA!J$47-TEA!J$43-AF29-CT29</f>
        <v>0</v>
      </c>
      <c r="DF29" s="21">
        <f>TEA!K$47-TEA!K$43-AG29-CU29</f>
        <v>0</v>
      </c>
      <c r="DG29" s="21">
        <f>TEA!L$47-TEA!L$43-AH29-CV29</f>
        <v>0</v>
      </c>
      <c r="DH29" s="21">
        <f>CW29/(1+TEA!B$16)^$A29</f>
        <v>19748.0948453698</v>
      </c>
      <c r="DI29" s="21">
        <f>CX29/(1+TEA!C$16)^$A29</f>
        <v>19243.280869015474</v>
      </c>
      <c r="DJ29" s="21" t="e">
        <f>CY29/(1+TEA!D$16)^$A29</f>
        <v>#VALUE!</v>
      </c>
      <c r="DK29" s="21" t="e">
        <f>CZ29/(1+TEA!E$16)^$A29</f>
        <v>#VALUE!</v>
      </c>
      <c r="DL29" s="21"/>
      <c r="DM29" s="21">
        <f>DB29/(1+TEA!G$16)^$A29</f>
        <v>0</v>
      </c>
      <c r="DN29" s="21">
        <f>DC29/(1+TEA!H$16)^$A29</f>
        <v>0</v>
      </c>
      <c r="DO29" s="21">
        <f>DD29/(1+TEA!I$16)^$A29</f>
        <v>377143.64447417523</v>
      </c>
      <c r="DP29" s="21">
        <f>DE29/(1+TEA!J$16)^$A29</f>
        <v>0</v>
      </c>
      <c r="DQ29" s="21">
        <f>DF29/(1+TEA!K$16)^$A29</f>
        <v>0</v>
      </c>
      <c r="DR29" s="21">
        <f>DG29/(1+TEA!L$16)^$A29</f>
        <v>0</v>
      </c>
    </row>
    <row r="30" spans="1:122" x14ac:dyDescent="0.25">
      <c r="A30" s="4">
        <f t="shared" si="1"/>
        <v>27</v>
      </c>
      <c r="B30" s="21">
        <f t="shared" si="31"/>
        <v>-25678.005014153838</v>
      </c>
      <c r="C30" s="21">
        <f t="shared" si="2"/>
        <v>-62235.403356678638</v>
      </c>
      <c r="D30" s="21" t="e">
        <f t="shared" si="3"/>
        <v>#VALUE!</v>
      </c>
      <c r="E30" s="21" t="e">
        <f t="shared" si="4"/>
        <v>#VALUE!</v>
      </c>
      <c r="F30" s="21"/>
      <c r="G30" s="21">
        <f t="shared" si="5"/>
        <v>0</v>
      </c>
      <c r="H30" s="21">
        <f t="shared" si="6"/>
        <v>0</v>
      </c>
      <c r="I30" s="21">
        <f t="shared" si="7"/>
        <v>2237935.3429703084</v>
      </c>
      <c r="J30" s="21">
        <f t="shared" si="8"/>
        <v>0</v>
      </c>
      <c r="K30" s="21">
        <f t="shared" si="9"/>
        <v>0</v>
      </c>
      <c r="L30" s="21">
        <f t="shared" si="10"/>
        <v>0</v>
      </c>
      <c r="M30" s="21"/>
      <c r="X30" s="20"/>
      <c r="AI30" s="21"/>
      <c r="AT30" s="21"/>
      <c r="BE30" s="21">
        <f>TEA!B$47-TEA!B$43-M30-AI30</f>
        <v>294201.60081362299</v>
      </c>
      <c r="BF30" s="21">
        <f>TEA!C$47-TEA!C$43-N30-AJ30</f>
        <v>286681.02320249437</v>
      </c>
      <c r="BG30" s="21" t="e">
        <f>TEA!D$47-TEA!D$43-O30-AK30</f>
        <v>#VALUE!</v>
      </c>
      <c r="BH30" s="21" t="e">
        <f>TEA!E$47-TEA!E$43-P30-AL30</f>
        <v>#VALUE!</v>
      </c>
      <c r="BI30" s="21"/>
      <c r="BJ30" s="21">
        <f>TEA!G$47-TEA!G$43-R30-AN30</f>
        <v>0</v>
      </c>
      <c r="BK30" s="21">
        <f>TEA!H$47-TEA!H$43-S30-AO30</f>
        <v>0</v>
      </c>
      <c r="BL30" s="21">
        <f>TEA!I$47-TEA!I$43-T30-AP30</f>
        <v>4909356.9186563194</v>
      </c>
      <c r="BM30" s="21">
        <f>TEA!J$47-TEA!J$43-U30-AQ30</f>
        <v>0</v>
      </c>
      <c r="BN30" s="21">
        <f>TEA!K$47-TEA!K$43-V30-AR30</f>
        <v>0</v>
      </c>
      <c r="BO30" s="21">
        <f>TEA!L$47-TEA!L$43-W30-AS30</f>
        <v>0</v>
      </c>
      <c r="BP30" s="21">
        <f t="shared" si="11"/>
        <v>0</v>
      </c>
      <c r="BQ30" s="21">
        <f t="shared" si="12"/>
        <v>0</v>
      </c>
      <c r="BR30" s="21" t="e">
        <f t="shared" si="13"/>
        <v>#VALUE!</v>
      </c>
      <c r="BS30" s="21" t="e">
        <f t="shared" si="14"/>
        <v>#VALUE!</v>
      </c>
      <c r="BT30" s="21"/>
      <c r="BU30" s="21">
        <f t="shared" si="15"/>
        <v>0</v>
      </c>
      <c r="BV30" s="21">
        <f t="shared" si="16"/>
        <v>0</v>
      </c>
      <c r="BW30" s="21">
        <f t="shared" si="17"/>
        <v>0</v>
      </c>
      <c r="BX30" s="21">
        <f t="shared" si="18"/>
        <v>0</v>
      </c>
      <c r="BY30" s="21">
        <f t="shared" si="19"/>
        <v>0</v>
      </c>
      <c r="BZ30" s="21">
        <f t="shared" si="20"/>
        <v>0</v>
      </c>
      <c r="CA30" s="21">
        <f t="shared" si="21"/>
        <v>294201.60081362299</v>
      </c>
      <c r="CB30" s="21">
        <f t="shared" si="22"/>
        <v>286681.02320249437</v>
      </c>
      <c r="CC30" s="21" t="e">
        <f t="shared" si="23"/>
        <v>#VALUE!</v>
      </c>
      <c r="CD30" s="21" t="e">
        <f t="shared" si="24"/>
        <v>#VALUE!</v>
      </c>
      <c r="CE30" s="21"/>
      <c r="CF30" s="21">
        <f t="shared" si="25"/>
        <v>0</v>
      </c>
      <c r="CG30" s="21">
        <f t="shared" si="26"/>
        <v>0</v>
      </c>
      <c r="CH30" s="21">
        <f t="shared" si="27"/>
        <v>4909356.9186563194</v>
      </c>
      <c r="CI30" s="21">
        <f t="shared" si="28"/>
        <v>0</v>
      </c>
      <c r="CJ30" s="21">
        <f t="shared" si="29"/>
        <v>0</v>
      </c>
      <c r="CK30" s="21">
        <f t="shared" si="30"/>
        <v>0</v>
      </c>
      <c r="CL30" s="21">
        <f>IF(CA30&gt;0,CA30*TEA!B$17-TEA!B$24,0)</f>
        <v>58840.320162724602</v>
      </c>
      <c r="CM30" s="21">
        <f>IF(CB30&gt;0,CB30*TEA!C$17-TEA!C$24,0)</f>
        <v>57336.20464049888</v>
      </c>
      <c r="CN30" s="21" t="e">
        <f>IF(CC30&gt;0,CC30*TEA!D$17-TEA!D$24,0)</f>
        <v>#VALUE!</v>
      </c>
      <c r="CO30" s="21" t="e">
        <f>IF(CD30&gt;0,CD30*TEA!E$17-TEA!E$24,0)</f>
        <v>#VALUE!</v>
      </c>
      <c r="CP30" s="21"/>
      <c r="CQ30" s="21">
        <f>IF(CF30&gt;0,CF30*TEA!G$17-TEA!G$24,0)</f>
        <v>0</v>
      </c>
      <c r="CR30" s="21">
        <f>IF(CG30&gt;0,CG30*TEA!H$17-TEA!H$24,0)</f>
        <v>0</v>
      </c>
      <c r="CS30" s="21">
        <f>IF(CH30&gt;0,CH30*TEA!I$17-TEA!I$24,0)</f>
        <v>414492.38373126392</v>
      </c>
      <c r="CT30" s="21">
        <f>IF(CI30&gt;0,CI30*TEA!J$17-TEA!J$24,0)</f>
        <v>0</v>
      </c>
      <c r="CU30" s="21">
        <f>IF(CJ30&gt;0,CJ30*TEA!K$17-TEA!K$24,0)</f>
        <v>0</v>
      </c>
      <c r="CV30" s="21">
        <f>IF(CK30&gt;0,CK30*TEA!L$17-TEA!L$24,0)</f>
        <v>0</v>
      </c>
      <c r="CW30" s="21">
        <f>TEA!B$47-TEA!B$43-X30-CL30</f>
        <v>235361.28065089841</v>
      </c>
      <c r="CX30" s="21">
        <f>TEA!C$47-TEA!C$43-Y30-CM30</f>
        <v>229344.81856199549</v>
      </c>
      <c r="CY30" s="21" t="e">
        <f>TEA!D$47-TEA!D$43-Z30-CN30</f>
        <v>#VALUE!</v>
      </c>
      <c r="CZ30" s="21" t="e">
        <f>TEA!E$47-TEA!E$43-AA30-CO30</f>
        <v>#VALUE!</v>
      </c>
      <c r="DA30" s="21"/>
      <c r="DB30" s="21">
        <f>TEA!G$47-TEA!G$43-AC30-CQ30</f>
        <v>0</v>
      </c>
      <c r="DC30" s="21">
        <f>TEA!H$47-TEA!H$43-AD30-CR30</f>
        <v>0</v>
      </c>
      <c r="DD30" s="21">
        <f>TEA!I$47-TEA!I$43-AE30-CS30</f>
        <v>4494864.5349250557</v>
      </c>
      <c r="DE30" s="21">
        <f>TEA!J$47-TEA!J$43-AF30-CT30</f>
        <v>0</v>
      </c>
      <c r="DF30" s="21">
        <f>TEA!K$47-TEA!K$43-AG30-CU30</f>
        <v>0</v>
      </c>
      <c r="DG30" s="21">
        <f>TEA!L$47-TEA!L$43-AH30-CV30</f>
        <v>0</v>
      </c>
      <c r="DH30" s="21">
        <f>CW30/(1+TEA!B$16)^$A30</f>
        <v>17952.813495790724</v>
      </c>
      <c r="DI30" s="21">
        <f>CX30/(1+TEA!C$16)^$A30</f>
        <v>17493.891699104974</v>
      </c>
      <c r="DJ30" s="21" t="e">
        <f>CY30/(1+TEA!D$16)^$A30</f>
        <v>#VALUE!</v>
      </c>
      <c r="DK30" s="21" t="e">
        <f>CZ30/(1+TEA!E$16)^$A30</f>
        <v>#VALUE!</v>
      </c>
      <c r="DL30" s="21"/>
      <c r="DM30" s="21">
        <f>DB30/(1+TEA!G$16)^$A30</f>
        <v>0</v>
      </c>
      <c r="DN30" s="21">
        <f>DC30/(1+TEA!H$16)^$A30</f>
        <v>0</v>
      </c>
      <c r="DO30" s="21">
        <f>DD30/(1+TEA!I$16)^$A30</f>
        <v>342857.85861288657</v>
      </c>
      <c r="DP30" s="21">
        <f>DE30/(1+TEA!J$16)^$A30</f>
        <v>0</v>
      </c>
      <c r="DQ30" s="21">
        <f>DF30/(1+TEA!K$16)^$A30</f>
        <v>0</v>
      </c>
      <c r="DR30" s="21">
        <f>DG30/(1+TEA!L$16)^$A30</f>
        <v>0</v>
      </c>
    </row>
    <row r="31" spans="1:122" x14ac:dyDescent="0.25">
      <c r="A31" s="4">
        <f t="shared" si="1"/>
        <v>28</v>
      </c>
      <c r="B31" s="21">
        <f t="shared" si="31"/>
        <v>-9357.2654725259072</v>
      </c>
      <c r="C31" s="21">
        <f t="shared" si="2"/>
        <v>-46331.86544840139</v>
      </c>
      <c r="D31" s="21" t="e">
        <f t="shared" si="3"/>
        <v>#VALUE!</v>
      </c>
      <c r="E31" s="21" t="e">
        <f t="shared" si="4"/>
        <v>#VALUE!</v>
      </c>
      <c r="F31" s="21"/>
      <c r="G31" s="21">
        <f t="shared" si="5"/>
        <v>0</v>
      </c>
      <c r="H31" s="21">
        <f t="shared" si="6"/>
        <v>0</v>
      </c>
      <c r="I31" s="21">
        <f t="shared" si="7"/>
        <v>2549624.3053456596</v>
      </c>
      <c r="J31" s="21">
        <f t="shared" si="8"/>
        <v>0</v>
      </c>
      <c r="K31" s="21">
        <f t="shared" si="9"/>
        <v>0</v>
      </c>
      <c r="L31" s="21">
        <f t="shared" si="10"/>
        <v>0</v>
      </c>
      <c r="M31" s="21"/>
      <c r="X31" s="20"/>
      <c r="AI31" s="21"/>
      <c r="AT31" s="21"/>
      <c r="BE31" s="21">
        <f>TEA!B$47-TEA!B$43-M31-AI31</f>
        <v>294201.60081362299</v>
      </c>
      <c r="BF31" s="21">
        <f>TEA!C$47-TEA!C$43-N31-AJ31</f>
        <v>286681.02320249437</v>
      </c>
      <c r="BG31" s="21" t="e">
        <f>TEA!D$47-TEA!D$43-O31-AK31</f>
        <v>#VALUE!</v>
      </c>
      <c r="BH31" s="21" t="e">
        <f>TEA!E$47-TEA!E$43-P31-AL31</f>
        <v>#VALUE!</v>
      </c>
      <c r="BI31" s="21"/>
      <c r="BJ31" s="21">
        <f>TEA!G$47-TEA!G$43-R31-AN31</f>
        <v>0</v>
      </c>
      <c r="BK31" s="21">
        <f>TEA!H$47-TEA!H$43-S31-AO31</f>
        <v>0</v>
      </c>
      <c r="BL31" s="21">
        <f>TEA!I$47-TEA!I$43-T31-AP31</f>
        <v>4909356.9186563194</v>
      </c>
      <c r="BM31" s="21">
        <f>TEA!J$47-TEA!J$43-U31-AQ31</f>
        <v>0</v>
      </c>
      <c r="BN31" s="21">
        <f>TEA!K$47-TEA!K$43-V31-AR31</f>
        <v>0</v>
      </c>
      <c r="BO31" s="21">
        <f>TEA!L$47-TEA!L$43-W31-AS31</f>
        <v>0</v>
      </c>
      <c r="BP31" s="21">
        <f t="shared" si="11"/>
        <v>0</v>
      </c>
      <c r="BQ31" s="21">
        <f t="shared" si="12"/>
        <v>0</v>
      </c>
      <c r="BR31" s="21" t="e">
        <f t="shared" si="13"/>
        <v>#VALUE!</v>
      </c>
      <c r="BS31" s="21" t="e">
        <f t="shared" si="14"/>
        <v>#VALUE!</v>
      </c>
      <c r="BT31" s="21"/>
      <c r="BU31" s="21">
        <f t="shared" si="15"/>
        <v>0</v>
      </c>
      <c r="BV31" s="21">
        <f t="shared" si="16"/>
        <v>0</v>
      </c>
      <c r="BW31" s="21">
        <f t="shared" si="17"/>
        <v>0</v>
      </c>
      <c r="BX31" s="21">
        <f t="shared" si="18"/>
        <v>0</v>
      </c>
      <c r="BY31" s="21">
        <f t="shared" si="19"/>
        <v>0</v>
      </c>
      <c r="BZ31" s="21">
        <f t="shared" si="20"/>
        <v>0</v>
      </c>
      <c r="CA31" s="21">
        <f t="shared" si="21"/>
        <v>294201.60081362299</v>
      </c>
      <c r="CB31" s="21">
        <f t="shared" si="22"/>
        <v>286681.02320249437</v>
      </c>
      <c r="CC31" s="21" t="e">
        <f t="shared" si="23"/>
        <v>#VALUE!</v>
      </c>
      <c r="CD31" s="21" t="e">
        <f t="shared" si="24"/>
        <v>#VALUE!</v>
      </c>
      <c r="CE31" s="21"/>
      <c r="CF31" s="21">
        <f t="shared" si="25"/>
        <v>0</v>
      </c>
      <c r="CG31" s="21">
        <f t="shared" si="26"/>
        <v>0</v>
      </c>
      <c r="CH31" s="21">
        <f t="shared" si="27"/>
        <v>4909356.9186563194</v>
      </c>
      <c r="CI31" s="21">
        <f t="shared" si="28"/>
        <v>0</v>
      </c>
      <c r="CJ31" s="21">
        <f t="shared" si="29"/>
        <v>0</v>
      </c>
      <c r="CK31" s="21">
        <f t="shared" si="30"/>
        <v>0</v>
      </c>
      <c r="CL31" s="21">
        <f>IF(CA31&gt;0,CA31*TEA!B$17-TEA!B$24,0)</f>
        <v>58840.320162724602</v>
      </c>
      <c r="CM31" s="21">
        <f>IF(CB31&gt;0,CB31*TEA!C$17-TEA!C$24,0)</f>
        <v>57336.20464049888</v>
      </c>
      <c r="CN31" s="21" t="e">
        <f>IF(CC31&gt;0,CC31*TEA!D$17-TEA!D$24,0)</f>
        <v>#VALUE!</v>
      </c>
      <c r="CO31" s="21" t="e">
        <f>IF(CD31&gt;0,CD31*TEA!E$17-TEA!E$24,0)</f>
        <v>#VALUE!</v>
      </c>
      <c r="CP31" s="21"/>
      <c r="CQ31" s="21">
        <f>IF(CF31&gt;0,CF31*TEA!G$17-TEA!G$24,0)</f>
        <v>0</v>
      </c>
      <c r="CR31" s="21">
        <f>IF(CG31&gt;0,CG31*TEA!H$17-TEA!H$24,0)</f>
        <v>0</v>
      </c>
      <c r="CS31" s="21">
        <f>IF(CH31&gt;0,CH31*TEA!I$17-TEA!I$24,0)</f>
        <v>414492.38373126392</v>
      </c>
      <c r="CT31" s="21">
        <f>IF(CI31&gt;0,CI31*TEA!J$17-TEA!J$24,0)</f>
        <v>0</v>
      </c>
      <c r="CU31" s="21">
        <f>IF(CJ31&gt;0,CJ31*TEA!K$17-TEA!K$24,0)</f>
        <v>0</v>
      </c>
      <c r="CV31" s="21">
        <f>IF(CK31&gt;0,CK31*TEA!L$17-TEA!L$24,0)</f>
        <v>0</v>
      </c>
      <c r="CW31" s="21">
        <f>TEA!B$47-TEA!B$43-X31-CL31</f>
        <v>235361.28065089841</v>
      </c>
      <c r="CX31" s="21">
        <f>TEA!C$47-TEA!C$43-Y31-CM31</f>
        <v>229344.81856199549</v>
      </c>
      <c r="CY31" s="21" t="e">
        <f>TEA!D$47-TEA!D$43-Z31-CN31</f>
        <v>#VALUE!</v>
      </c>
      <c r="CZ31" s="21" t="e">
        <f>TEA!E$47-TEA!E$43-AA31-CO31</f>
        <v>#VALUE!</v>
      </c>
      <c r="DA31" s="21"/>
      <c r="DB31" s="21">
        <f>TEA!G$47-TEA!G$43-AC31-CQ31</f>
        <v>0</v>
      </c>
      <c r="DC31" s="21">
        <f>TEA!H$47-TEA!H$43-AD31-CR31</f>
        <v>0</v>
      </c>
      <c r="DD31" s="21">
        <f>TEA!I$47-TEA!I$43-AE31-CS31</f>
        <v>4494864.5349250557</v>
      </c>
      <c r="DE31" s="21">
        <f>TEA!J$47-TEA!J$43-AF31-CT31</f>
        <v>0</v>
      </c>
      <c r="DF31" s="21">
        <f>TEA!K$47-TEA!K$43-AG31-CU31</f>
        <v>0</v>
      </c>
      <c r="DG31" s="21">
        <f>TEA!L$47-TEA!L$43-AH31-CV31</f>
        <v>0</v>
      </c>
      <c r="DH31" s="21">
        <f>CW31/(1+TEA!B$16)^$A31</f>
        <v>16320.739541627931</v>
      </c>
      <c r="DI31" s="21">
        <f>CX31/(1+TEA!C$16)^$A31</f>
        <v>15903.537908277249</v>
      </c>
      <c r="DJ31" s="21" t="e">
        <f>CY31/(1+TEA!D$16)^$A31</f>
        <v>#VALUE!</v>
      </c>
      <c r="DK31" s="21" t="e">
        <f>CZ31/(1+TEA!E$16)^$A31</f>
        <v>#VALUE!</v>
      </c>
      <c r="DL31" s="21"/>
      <c r="DM31" s="21">
        <f>DB31/(1+TEA!G$16)^$A31</f>
        <v>0</v>
      </c>
      <c r="DN31" s="21">
        <f>DC31/(1+TEA!H$16)^$A31</f>
        <v>0</v>
      </c>
      <c r="DO31" s="21">
        <f>DD31/(1+TEA!I$16)^$A31</f>
        <v>311688.9623753514</v>
      </c>
      <c r="DP31" s="21">
        <f>DE31/(1+TEA!J$16)^$A31</f>
        <v>0</v>
      </c>
      <c r="DQ31" s="21">
        <f>DF31/(1+TEA!K$16)^$A31</f>
        <v>0</v>
      </c>
      <c r="DR31" s="21">
        <f>DG31/(1+TEA!L$16)^$A31</f>
        <v>0</v>
      </c>
    </row>
    <row r="32" spans="1:122" x14ac:dyDescent="0.25">
      <c r="A32" s="4">
        <f t="shared" si="1"/>
        <v>29</v>
      </c>
      <c r="B32" s="21">
        <f t="shared" si="31"/>
        <v>5479.770474408575</v>
      </c>
      <c r="C32" s="21">
        <f t="shared" si="2"/>
        <v>-31874.103713603894</v>
      </c>
      <c r="D32" s="21" t="e">
        <f t="shared" si="3"/>
        <v>#VALUE!</v>
      </c>
      <c r="E32" s="21" t="e">
        <f t="shared" si="4"/>
        <v>#VALUE!</v>
      </c>
      <c r="F32" s="21"/>
      <c r="G32" s="21">
        <f t="shared" si="5"/>
        <v>0</v>
      </c>
      <c r="H32" s="21">
        <f t="shared" si="6"/>
        <v>0</v>
      </c>
      <c r="I32" s="21">
        <f t="shared" si="7"/>
        <v>2832977.9075050699</v>
      </c>
      <c r="J32" s="21">
        <f t="shared" si="8"/>
        <v>0</v>
      </c>
      <c r="K32" s="21">
        <f t="shared" si="9"/>
        <v>0</v>
      </c>
      <c r="L32" s="21">
        <f t="shared" si="10"/>
        <v>0</v>
      </c>
      <c r="M32" s="21"/>
      <c r="X32" s="20"/>
      <c r="AI32" s="21"/>
      <c r="AT32" s="21"/>
      <c r="BE32" s="21">
        <f>TEA!B$47-TEA!B$43-M32-AI32</f>
        <v>294201.60081362299</v>
      </c>
      <c r="BF32" s="21">
        <f>TEA!C$47-TEA!C$43-N32-AJ32</f>
        <v>286681.02320249437</v>
      </c>
      <c r="BG32" s="21" t="e">
        <f>TEA!D$47-TEA!D$43-O32-AK32</f>
        <v>#VALUE!</v>
      </c>
      <c r="BH32" s="21" t="e">
        <f>TEA!E$47-TEA!E$43-P32-AL32</f>
        <v>#VALUE!</v>
      </c>
      <c r="BI32" s="21"/>
      <c r="BJ32" s="21">
        <f>TEA!G$47-TEA!G$43-R32-AN32</f>
        <v>0</v>
      </c>
      <c r="BK32" s="21">
        <f>TEA!H$47-TEA!H$43-S32-AO32</f>
        <v>0</v>
      </c>
      <c r="BL32" s="21">
        <f>TEA!I$47-TEA!I$43-T32-AP32</f>
        <v>4909356.9186563194</v>
      </c>
      <c r="BM32" s="21">
        <f>TEA!J$47-TEA!J$43-U32-AQ32</f>
        <v>0</v>
      </c>
      <c r="BN32" s="21">
        <f>TEA!K$47-TEA!K$43-V32-AR32</f>
        <v>0</v>
      </c>
      <c r="BO32" s="21">
        <f>TEA!L$47-TEA!L$43-W32-AS32</f>
        <v>0</v>
      </c>
      <c r="BP32" s="21">
        <f t="shared" si="11"/>
        <v>0</v>
      </c>
      <c r="BQ32" s="21">
        <f t="shared" si="12"/>
        <v>0</v>
      </c>
      <c r="BR32" s="21" t="e">
        <f t="shared" si="13"/>
        <v>#VALUE!</v>
      </c>
      <c r="BS32" s="21" t="e">
        <f t="shared" si="14"/>
        <v>#VALUE!</v>
      </c>
      <c r="BT32" s="21"/>
      <c r="BU32" s="21">
        <f t="shared" si="15"/>
        <v>0</v>
      </c>
      <c r="BV32" s="21">
        <f t="shared" si="16"/>
        <v>0</v>
      </c>
      <c r="BW32" s="21">
        <f t="shared" si="17"/>
        <v>0</v>
      </c>
      <c r="BX32" s="21">
        <f t="shared" si="18"/>
        <v>0</v>
      </c>
      <c r="BY32" s="21">
        <f t="shared" si="19"/>
        <v>0</v>
      </c>
      <c r="BZ32" s="21">
        <f t="shared" si="20"/>
        <v>0</v>
      </c>
      <c r="CA32" s="21">
        <f t="shared" si="21"/>
        <v>294201.60081362299</v>
      </c>
      <c r="CB32" s="21">
        <f t="shared" si="22"/>
        <v>286681.02320249437</v>
      </c>
      <c r="CC32" s="21" t="e">
        <f t="shared" si="23"/>
        <v>#VALUE!</v>
      </c>
      <c r="CD32" s="21" t="e">
        <f t="shared" si="24"/>
        <v>#VALUE!</v>
      </c>
      <c r="CE32" s="21"/>
      <c r="CF32" s="21">
        <f t="shared" si="25"/>
        <v>0</v>
      </c>
      <c r="CG32" s="21">
        <f t="shared" si="26"/>
        <v>0</v>
      </c>
      <c r="CH32" s="21">
        <f t="shared" si="27"/>
        <v>4909356.9186563194</v>
      </c>
      <c r="CI32" s="21">
        <f t="shared" si="28"/>
        <v>0</v>
      </c>
      <c r="CJ32" s="21">
        <f t="shared" si="29"/>
        <v>0</v>
      </c>
      <c r="CK32" s="21">
        <f t="shared" si="30"/>
        <v>0</v>
      </c>
      <c r="CL32" s="21">
        <f>IF(CA32&gt;0,CA32*TEA!B$17-TEA!B$24,0)</f>
        <v>58840.320162724602</v>
      </c>
      <c r="CM32" s="21">
        <f>IF(CB32&gt;0,CB32*TEA!C$17-TEA!C$24,0)</f>
        <v>57336.20464049888</v>
      </c>
      <c r="CN32" s="21" t="e">
        <f>IF(CC32&gt;0,CC32*TEA!D$17-TEA!D$24,0)</f>
        <v>#VALUE!</v>
      </c>
      <c r="CO32" s="21" t="e">
        <f>IF(CD32&gt;0,CD32*TEA!E$17-TEA!E$24,0)</f>
        <v>#VALUE!</v>
      </c>
      <c r="CP32" s="21"/>
      <c r="CQ32" s="21">
        <f>IF(CF32&gt;0,CF32*TEA!G$17-TEA!G$24,0)</f>
        <v>0</v>
      </c>
      <c r="CR32" s="21">
        <f>IF(CG32&gt;0,CG32*TEA!H$17-TEA!H$24,0)</f>
        <v>0</v>
      </c>
      <c r="CS32" s="21">
        <f>IF(CH32&gt;0,CH32*TEA!I$17-TEA!I$24,0)</f>
        <v>414492.38373126392</v>
      </c>
      <c r="CT32" s="21">
        <f>IF(CI32&gt;0,CI32*TEA!J$17-TEA!J$24,0)</f>
        <v>0</v>
      </c>
      <c r="CU32" s="21">
        <f>IF(CJ32&gt;0,CJ32*TEA!K$17-TEA!K$24,0)</f>
        <v>0</v>
      </c>
      <c r="CV32" s="21">
        <f>IF(CK32&gt;0,CK32*TEA!L$17-TEA!L$24,0)</f>
        <v>0</v>
      </c>
      <c r="CW32" s="21">
        <f>TEA!B$47-TEA!B$43-X32-CL32</f>
        <v>235361.28065089841</v>
      </c>
      <c r="CX32" s="21">
        <f>TEA!C$47-TEA!C$43-Y32-CM32</f>
        <v>229344.81856199549</v>
      </c>
      <c r="CY32" s="21" t="e">
        <f>TEA!D$47-TEA!D$43-Z32-CN32</f>
        <v>#VALUE!</v>
      </c>
      <c r="CZ32" s="21" t="e">
        <f>TEA!E$47-TEA!E$43-AA32-CO32</f>
        <v>#VALUE!</v>
      </c>
      <c r="DA32" s="21"/>
      <c r="DB32" s="21">
        <f>TEA!G$47-TEA!G$43-AC32-CQ32</f>
        <v>0</v>
      </c>
      <c r="DC32" s="21">
        <f>TEA!H$47-TEA!H$43-AD32-CR32</f>
        <v>0</v>
      </c>
      <c r="DD32" s="21">
        <f>TEA!I$47-TEA!I$43-AE32-CS32</f>
        <v>4494864.5349250557</v>
      </c>
      <c r="DE32" s="21">
        <f>TEA!J$47-TEA!J$43-AF32-CT32</f>
        <v>0</v>
      </c>
      <c r="DF32" s="21">
        <f>TEA!K$47-TEA!K$43-AG32-CU32</f>
        <v>0</v>
      </c>
      <c r="DG32" s="21">
        <f>TEA!L$47-TEA!L$43-AH32-CV32</f>
        <v>0</v>
      </c>
      <c r="DH32" s="21">
        <f>CW32/(1+TEA!B$16)^$A32</f>
        <v>14837.035946934482</v>
      </c>
      <c r="DI32" s="21">
        <f>CX32/(1+TEA!C$16)^$A32</f>
        <v>14457.761734797497</v>
      </c>
      <c r="DJ32" s="21" t="e">
        <f>CY32/(1+TEA!D$16)^$A32</f>
        <v>#VALUE!</v>
      </c>
      <c r="DK32" s="21" t="e">
        <f>CZ32/(1+TEA!E$16)^$A32</f>
        <v>#VALUE!</v>
      </c>
      <c r="DL32" s="21"/>
      <c r="DM32" s="21">
        <f>DB32/(1+TEA!G$16)^$A32</f>
        <v>0</v>
      </c>
      <c r="DN32" s="21">
        <f>DC32/(1+TEA!H$16)^$A32</f>
        <v>0</v>
      </c>
      <c r="DO32" s="21">
        <f>DD32/(1+TEA!I$16)^$A32</f>
        <v>283353.60215941037</v>
      </c>
      <c r="DP32" s="21">
        <f>DE32/(1+TEA!J$16)^$A32</f>
        <v>0</v>
      </c>
      <c r="DQ32" s="21">
        <f>DF32/(1+TEA!K$16)^$A32</f>
        <v>0</v>
      </c>
      <c r="DR32" s="21">
        <f>DG32/(1+TEA!L$16)^$A32</f>
        <v>0</v>
      </c>
    </row>
    <row r="33" spans="1:122" x14ac:dyDescent="0.25">
      <c r="A33" s="4">
        <f t="shared" si="1"/>
        <v>30</v>
      </c>
      <c r="B33" s="34">
        <f>B32+DH33</f>
        <v>1.1623342288658023E-9</v>
      </c>
      <c r="C33" s="34">
        <f t="shared" si="2"/>
        <v>-37698.668926317652</v>
      </c>
      <c r="D33" s="34" t="e">
        <f t="shared" si="3"/>
        <v>#VALUE!</v>
      </c>
      <c r="E33" s="34" t="e">
        <f t="shared" si="4"/>
        <v>#VALUE!</v>
      </c>
      <c r="F33" s="34"/>
      <c r="G33" s="34">
        <f t="shared" si="5"/>
        <v>0</v>
      </c>
      <c r="H33" s="34">
        <f t="shared" si="6"/>
        <v>0</v>
      </c>
      <c r="I33" s="34">
        <f t="shared" si="7"/>
        <v>3084748.6367958114</v>
      </c>
      <c r="J33" s="34">
        <f t="shared" si="8"/>
        <v>0</v>
      </c>
      <c r="K33" s="34">
        <f t="shared" si="9"/>
        <v>0</v>
      </c>
      <c r="L33" s="34">
        <f t="shared" si="10"/>
        <v>0</v>
      </c>
      <c r="M33" s="21"/>
      <c r="X33" s="20"/>
      <c r="AI33" s="21"/>
      <c r="AT33" s="21"/>
      <c r="BE33" s="21">
        <f>(TEA!B$47-TEA!B$43-M33-AI33)+TEA!B25</f>
        <v>1949101.6008136231</v>
      </c>
      <c r="BF33" s="21">
        <f>(TEA!C$47-TEA!C$43-N33-AJ33)+TEA!C25</f>
        <v>1941581.0232024943</v>
      </c>
      <c r="BG33" s="21" t="e">
        <f>(TEA!D$47-TEA!D$43-O33-AK33)+TEA!D25</f>
        <v>#VALUE!</v>
      </c>
      <c r="BH33" s="21" t="e">
        <f>(TEA!E$47-TEA!E$43-P33-AL33)+TEA!E25</f>
        <v>#VALUE!</v>
      </c>
      <c r="BI33" s="21"/>
      <c r="BJ33" s="21">
        <f>(TEA!G$47-TEA!G$43-R33-AN33)+TEA!G25</f>
        <v>0</v>
      </c>
      <c r="BK33" s="21">
        <f>(TEA!H$47-TEA!H$43-S33-AO33)+TEA!H25</f>
        <v>0</v>
      </c>
      <c r="BL33" s="21">
        <f>(TEA!I$47-TEA!I$43-T33-AP33)+TEA!I25</f>
        <v>5417435.9186563194</v>
      </c>
      <c r="BM33" s="21">
        <f>(TEA!J$47-TEA!J$43-U33-AQ33)+TEA!J25</f>
        <v>0</v>
      </c>
      <c r="BN33" s="21">
        <f>(TEA!K$47-TEA!K$43-V33-AR33)+TEA!K25</f>
        <v>0</v>
      </c>
      <c r="BO33" s="21">
        <f>(TEA!L$47-TEA!L$43-W33-AS33)+TEA!L25</f>
        <v>0</v>
      </c>
      <c r="BP33" s="21">
        <f t="shared" si="11"/>
        <v>0</v>
      </c>
      <c r="BQ33" s="21">
        <f t="shared" si="12"/>
        <v>0</v>
      </c>
      <c r="BR33" s="21" t="e">
        <f t="shared" si="13"/>
        <v>#VALUE!</v>
      </c>
      <c r="BS33" s="21" t="e">
        <f t="shared" si="14"/>
        <v>#VALUE!</v>
      </c>
      <c r="BT33" s="21"/>
      <c r="BU33" s="21">
        <f t="shared" si="15"/>
        <v>0</v>
      </c>
      <c r="BV33" s="21">
        <f t="shared" si="16"/>
        <v>0</v>
      </c>
      <c r="BW33" s="21">
        <f t="shared" si="17"/>
        <v>0</v>
      </c>
      <c r="BX33" s="21">
        <f t="shared" si="18"/>
        <v>0</v>
      </c>
      <c r="BY33" s="21">
        <f t="shared" si="19"/>
        <v>0</v>
      </c>
      <c r="BZ33" s="21">
        <f t="shared" si="20"/>
        <v>0</v>
      </c>
      <c r="CA33" s="21">
        <f t="shared" si="21"/>
        <v>1949101.6008136231</v>
      </c>
      <c r="CB33" s="21">
        <f t="shared" si="22"/>
        <v>1941581.0232024943</v>
      </c>
      <c r="CC33" s="21" t="e">
        <f t="shared" si="23"/>
        <v>#VALUE!</v>
      </c>
      <c r="CD33" s="21" t="e">
        <f t="shared" si="24"/>
        <v>#VALUE!</v>
      </c>
      <c r="CE33" s="21"/>
      <c r="CF33" s="21">
        <f t="shared" si="25"/>
        <v>0</v>
      </c>
      <c r="CG33" s="21">
        <f t="shared" si="26"/>
        <v>0</v>
      </c>
      <c r="CH33" s="21">
        <f t="shared" si="27"/>
        <v>5417435.9186563194</v>
      </c>
      <c r="CI33" s="21">
        <f t="shared" si="28"/>
        <v>0</v>
      </c>
      <c r="CJ33" s="21">
        <f t="shared" si="29"/>
        <v>0</v>
      </c>
      <c r="CK33" s="21">
        <f t="shared" si="30"/>
        <v>0</v>
      </c>
      <c r="CL33" s="21">
        <f>IF(CA33&gt;0,CA33*TEA!B$17-TEA!B$24,0)</f>
        <v>389820.32016272465</v>
      </c>
      <c r="CM33" s="21">
        <f>IF(CB33&gt;0,CB33*TEA!C$17-TEA!C$24,0)</f>
        <v>388316.20464049885</v>
      </c>
      <c r="CN33" s="21" t="e">
        <f>IF(CC33&gt;0,CC33*TEA!D$17-TEA!D$24,0)</f>
        <v>#VALUE!</v>
      </c>
      <c r="CO33" s="21" t="e">
        <f>IF(CD33&gt;0,CD33*TEA!E$17-TEA!E$24,0)</f>
        <v>#VALUE!</v>
      </c>
      <c r="CP33" s="21"/>
      <c r="CQ33" s="21">
        <f>IF(CF33&gt;0,CF33*TEA!G$17-TEA!G$24,0)</f>
        <v>0</v>
      </c>
      <c r="CR33" s="21">
        <f>IF(CG33&gt;0,CG33*TEA!H$17-TEA!H$24,0)</f>
        <v>0</v>
      </c>
      <c r="CS33" s="21">
        <f>IF(CH33&gt;0,CH33*TEA!I$17-TEA!I$24,0)</f>
        <v>516108.18373126397</v>
      </c>
      <c r="CT33" s="21">
        <f>IF(CI33&gt;0,CI33*TEA!J$17-TEA!J$24,0)</f>
        <v>0</v>
      </c>
      <c r="CU33" s="21">
        <f>IF(CJ33&gt;0,CJ33*TEA!K$17-TEA!K$24,0)</f>
        <v>0</v>
      </c>
      <c r="CV33" s="21">
        <f>IF(CK33&gt;0,CK33*TEA!L$17-TEA!L$24,0)</f>
        <v>0</v>
      </c>
      <c r="CW33" s="21">
        <f>TEA!B$47-TEA!B$43-X33-CL33</f>
        <v>-95618.719349101651</v>
      </c>
      <c r="CX33" s="21">
        <f>TEA!C$47-TEA!C$43-Y33-CM33</f>
        <v>-101635.18143800448</v>
      </c>
      <c r="CY33" s="21" t="e">
        <f>TEA!D$47-TEA!D$43-Z33-CN33</f>
        <v>#VALUE!</v>
      </c>
      <c r="CZ33" s="21" t="e">
        <f>TEA!E$47-TEA!E$43-AA33-CO33</f>
        <v>#VALUE!</v>
      </c>
      <c r="DA33" s="21"/>
      <c r="DB33" s="21">
        <f>TEA!G$47-TEA!G$43-AC33-CQ33</f>
        <v>0</v>
      </c>
      <c r="DC33" s="21">
        <f>TEA!H$47-TEA!H$43-AD33-CR33</f>
        <v>0</v>
      </c>
      <c r="DD33" s="21">
        <f>TEA!I$47-TEA!I$43-AE33-CS33</f>
        <v>4393248.7349250559</v>
      </c>
      <c r="DE33" s="21">
        <f>TEA!J$47-TEA!J$43-AF33-CT33</f>
        <v>0</v>
      </c>
      <c r="DF33" s="21">
        <f>TEA!K$47-TEA!K$43-AG33-CU33</f>
        <v>0</v>
      </c>
      <c r="DG33" s="21">
        <f>TEA!L$47-TEA!L$43-AH33-CV33</f>
        <v>0</v>
      </c>
      <c r="DH33" s="21">
        <f>CW33/(1+TEA!B$16)^$A33</f>
        <v>-5479.7704744074126</v>
      </c>
      <c r="DI33" s="21">
        <f>CX33/(1+TEA!C$16)^$A33</f>
        <v>-5824.5652127137564</v>
      </c>
      <c r="DJ33" s="21" t="e">
        <f>CY33/(1+TEA!D$16)^$A33</f>
        <v>#VALUE!</v>
      </c>
      <c r="DK33" s="21" t="e">
        <f>CZ33/(1+TEA!E$16)^$A33</f>
        <v>#VALUE!</v>
      </c>
      <c r="DL33" s="21"/>
      <c r="DM33" s="21">
        <f>DB33/(1+TEA!G$16)^$A33</f>
        <v>0</v>
      </c>
      <c r="DN33" s="21">
        <f>DC33/(1+TEA!H$16)^$A33</f>
        <v>0</v>
      </c>
      <c r="DO33" s="21">
        <f>DD33/(1+TEA!I$16)^$A33</f>
        <v>251770.72929074129</v>
      </c>
      <c r="DP33" s="21">
        <f>DE33/(1+TEA!J$16)^$A33</f>
        <v>0</v>
      </c>
      <c r="DQ33" s="21">
        <f>DF33/(1+TEA!K$16)^$A33</f>
        <v>0</v>
      </c>
      <c r="DR33" s="21">
        <f>DG33/(1+TEA!L$16)^$A33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7FAA-FA29-2045-A382-31B533B6F98C}">
  <sheetPr codeName="Sheet7"/>
  <dimension ref="A1:DR33"/>
  <sheetViews>
    <sheetView zoomScale="170" zoomScaleNormal="170" workbookViewId="0">
      <pane xSplit="1" ySplit="2" topLeftCell="BE3" activePane="bottomRight" state="frozen"/>
      <selection pane="topRight" activeCell="B1" sqref="B1"/>
      <selection pane="bottomLeft" activeCell="A3" sqref="A3"/>
      <selection pane="bottomRight" activeCell="B42" sqref="B42"/>
    </sheetView>
  </sheetViews>
  <sheetFormatPr defaultColWidth="11" defaultRowHeight="15.75" x14ac:dyDescent="0.25"/>
  <cols>
    <col min="1" max="1" width="12.125" customWidth="1"/>
    <col min="2" max="2" width="23.375" style="30" bestFit="1" customWidth="1"/>
    <col min="3" max="5" width="10.875" style="30"/>
    <col min="6" max="6" width="11" style="30"/>
    <col min="7" max="8" width="10.875" style="30"/>
    <col min="9" max="9" width="11.875" style="30" bestFit="1" customWidth="1"/>
    <col min="10" max="12" width="10.875" style="30"/>
    <col min="13" max="13" width="11.5" style="30" bestFit="1" customWidth="1"/>
    <col min="14" max="16" width="10.875" style="30"/>
    <col min="17" max="17" width="11" style="30"/>
    <col min="18" max="23" width="10.875" style="30"/>
    <col min="24" max="24" width="12.625" style="30" bestFit="1" customWidth="1"/>
    <col min="25" max="27" width="10.875" style="30"/>
    <col min="28" max="28" width="11" style="30"/>
    <col min="29" max="34" width="10.875" style="30"/>
    <col min="35" max="35" width="11.875" style="30" bestFit="1" customWidth="1"/>
    <col min="36" max="38" width="10.875" style="30"/>
    <col min="39" max="39" width="11" style="30"/>
    <col min="40" max="45" width="10.875" style="30"/>
    <col min="46" max="46" width="12.5" style="30" bestFit="1" customWidth="1"/>
    <col min="47" max="49" width="10.875" style="30"/>
    <col min="50" max="50" width="11" style="30"/>
    <col min="51" max="56" width="10.875" style="30"/>
    <col min="57" max="57" width="11.875" style="30" bestFit="1" customWidth="1"/>
    <col min="58" max="60" width="10.875" style="30"/>
    <col min="61" max="61" width="11" style="30"/>
    <col min="62" max="63" width="10.875" style="30"/>
    <col min="64" max="64" width="11.875" style="30" bestFit="1" customWidth="1"/>
    <col min="65" max="67" width="10.875" style="30"/>
    <col min="68" max="68" width="13.875" style="30" bestFit="1" customWidth="1"/>
    <col min="69" max="71" width="10.875" style="30"/>
    <col min="72" max="72" width="11" style="30"/>
    <col min="73" max="74" width="10.875" style="30"/>
    <col min="75" max="75" width="12.875" style="30" bestFit="1" customWidth="1"/>
    <col min="76" max="78" width="10.875" style="30"/>
    <col min="79" max="79" width="14" style="30" bestFit="1" customWidth="1"/>
    <col min="80" max="82" width="10.875" style="30"/>
    <col min="83" max="83" width="11" style="30"/>
    <col min="84" max="85" width="10.875" style="30"/>
    <col min="86" max="86" width="12.875" style="30" bestFit="1" customWidth="1"/>
    <col min="87" max="89" width="10.875" style="30"/>
    <col min="90" max="90" width="10.5" style="30" bestFit="1" customWidth="1"/>
    <col min="91" max="93" width="10.875" style="30"/>
    <col min="94" max="94" width="11" style="30"/>
    <col min="95" max="100" width="10.875" style="30"/>
    <col min="101" max="101" width="11.875" style="30" bestFit="1" customWidth="1"/>
    <col min="102" max="104" width="10.875" style="30"/>
    <col min="105" max="105" width="11" style="30"/>
    <col min="106" max="107" width="10.875" style="30"/>
    <col min="108" max="108" width="11.875" style="30" bestFit="1" customWidth="1"/>
    <col min="109" max="111" width="10.875" style="30"/>
    <col min="112" max="112" width="19.125" style="30" bestFit="1" customWidth="1"/>
    <col min="113" max="115" width="10.875" style="30"/>
    <col min="116" max="116" width="11" style="30"/>
    <col min="117" max="118" width="10.875" style="30"/>
    <col min="119" max="119" width="11.875" style="30" bestFit="1" customWidth="1"/>
    <col min="120" max="122" width="10.875" style="30"/>
  </cols>
  <sheetData>
    <row r="1" spans="1:122" x14ac:dyDescent="0.25">
      <c r="A1" s="3" t="s">
        <v>105</v>
      </c>
      <c r="B1" s="33" t="s">
        <v>106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22" t="s">
        <v>107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18" t="s">
        <v>108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9" t="s">
        <v>109</v>
      </c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23" t="s">
        <v>110</v>
      </c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4" t="s">
        <v>111</v>
      </c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5" t="s">
        <v>112</v>
      </c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6" t="s">
        <v>113</v>
      </c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7" t="s">
        <v>114</v>
      </c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8" t="s">
        <v>115</v>
      </c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9" t="s">
        <v>116</v>
      </c>
      <c r="DI1" s="29"/>
      <c r="DJ1" s="29"/>
      <c r="DK1" s="29"/>
      <c r="DL1" s="29"/>
      <c r="DM1" s="29"/>
      <c r="DN1" s="29"/>
      <c r="DO1" s="29"/>
      <c r="DP1" s="29"/>
      <c r="DQ1" s="29"/>
      <c r="DR1" s="29"/>
    </row>
    <row r="2" spans="1:122" x14ac:dyDescent="0.25">
      <c r="A2" s="5" t="s">
        <v>57</v>
      </c>
      <c r="B2" s="30" t="str">
        <f>General!$B$1</f>
        <v>Soy Biodiesel</v>
      </c>
      <c r="C2" s="30" t="str">
        <f>General!$C$1</f>
        <v>Soy Jet</v>
      </c>
      <c r="D2" s="30" t="str">
        <f>General!$D$1</f>
        <v>Corn Grain EtOH</v>
      </c>
      <c r="E2" s="30" t="str">
        <f>General!$E$1</f>
        <v>Corn Stover EtOH</v>
      </c>
      <c r="F2" s="30" t="str">
        <f>General!$F$1</f>
        <v>Corn Stover Pyrol Jet</v>
      </c>
      <c r="G2" s="30" t="str">
        <f>General!$G$1</f>
        <v>Poplar Jet</v>
      </c>
      <c r="H2" s="30" t="str">
        <f>General!$H$1</f>
        <v>Switchgrass Jet</v>
      </c>
      <c r="I2" s="30" t="str">
        <f>General!$I$1</f>
        <v>Algae HEFA</v>
      </c>
      <c r="J2" s="30" t="str">
        <f>General!$J$1</f>
        <v>Algae HTL</v>
      </c>
      <c r="K2" s="30" t="str">
        <f>General!$K$1</f>
        <v>Forestry Residue</v>
      </c>
      <c r="L2" s="30" t="str">
        <f>General!$M$1</f>
        <v>Carinata</v>
      </c>
      <c r="M2" s="30" t="str">
        <f>General!$B$1</f>
        <v>Soy Biodiesel</v>
      </c>
      <c r="N2" s="30" t="str">
        <f>General!$C$1</f>
        <v>Soy Jet</v>
      </c>
      <c r="O2" s="30" t="str">
        <f>General!$D$1</f>
        <v>Corn Grain EtOH</v>
      </c>
      <c r="P2" s="30" t="str">
        <f>General!$E$1</f>
        <v>Corn Stover EtOH</v>
      </c>
      <c r="R2" s="30" t="str">
        <f>General!$G$1</f>
        <v>Poplar Jet</v>
      </c>
      <c r="S2" s="30" t="str">
        <f>General!$H$1</f>
        <v>Switchgrass Jet</v>
      </c>
      <c r="T2" s="30" t="str">
        <f>General!$I$1</f>
        <v>Algae HEFA</v>
      </c>
      <c r="U2" s="30" t="str">
        <f>General!$J$1</f>
        <v>Algae HTL</v>
      </c>
      <c r="V2" s="30" t="str">
        <f>General!$K$1</f>
        <v>Forestry Residue</v>
      </c>
      <c r="W2" s="30" t="str">
        <f>General!$M$1</f>
        <v>Carinata</v>
      </c>
      <c r="X2" s="30" t="str">
        <f>General!$B$1</f>
        <v>Soy Biodiesel</v>
      </c>
      <c r="Y2" s="30" t="str">
        <f>General!$C$1</f>
        <v>Soy Jet</v>
      </c>
      <c r="Z2" s="30" t="str">
        <f>General!$D$1</f>
        <v>Corn Grain EtOH</v>
      </c>
      <c r="AA2" s="30" t="str">
        <f>General!$E$1</f>
        <v>Corn Stover EtOH</v>
      </c>
      <c r="AC2" s="30" t="str">
        <f>General!$G$1</f>
        <v>Poplar Jet</v>
      </c>
      <c r="AD2" s="30" t="str">
        <f>General!$H$1</f>
        <v>Switchgrass Jet</v>
      </c>
      <c r="AE2" s="30" t="str">
        <f>General!$I$1</f>
        <v>Algae HEFA</v>
      </c>
      <c r="AF2" s="30" t="str">
        <f>General!$J$1</f>
        <v>Algae HTL</v>
      </c>
      <c r="AG2" s="30" t="str">
        <f>General!$K$1</f>
        <v>Forestry Residue</v>
      </c>
      <c r="AH2" s="30" t="str">
        <f>General!$M$1</f>
        <v>Carinata</v>
      </c>
      <c r="AI2" s="30" t="str">
        <f>General!$B$1</f>
        <v>Soy Biodiesel</v>
      </c>
      <c r="AJ2" s="30" t="str">
        <f>General!$C$1</f>
        <v>Soy Jet</v>
      </c>
      <c r="AK2" s="30" t="str">
        <f>General!$D$1</f>
        <v>Corn Grain EtOH</v>
      </c>
      <c r="AL2" s="30" t="str">
        <f>General!$E$1</f>
        <v>Corn Stover EtOH</v>
      </c>
      <c r="AN2" s="30" t="str">
        <f>General!$G$1</f>
        <v>Poplar Jet</v>
      </c>
      <c r="AO2" s="30" t="str">
        <f>General!$H$1</f>
        <v>Switchgrass Jet</v>
      </c>
      <c r="AP2" s="30" t="str">
        <f>General!$I$1</f>
        <v>Algae HEFA</v>
      </c>
      <c r="AQ2" s="30" t="str">
        <f>General!$J$1</f>
        <v>Algae HTL</v>
      </c>
      <c r="AR2" s="30" t="str">
        <f>General!$K$1</f>
        <v>Forestry Residue</v>
      </c>
      <c r="AS2" s="30" t="str">
        <f>General!$M$1</f>
        <v>Carinata</v>
      </c>
      <c r="AT2" s="30" t="str">
        <f>General!$B$1</f>
        <v>Soy Biodiesel</v>
      </c>
      <c r="AU2" s="30" t="str">
        <f>General!$C$1</f>
        <v>Soy Jet</v>
      </c>
      <c r="AV2" s="30" t="str">
        <f>General!$D$1</f>
        <v>Corn Grain EtOH</v>
      </c>
      <c r="AW2" s="30" t="str">
        <f>General!$E$1</f>
        <v>Corn Stover EtOH</v>
      </c>
      <c r="AY2" s="30" t="str">
        <f>General!$G$1</f>
        <v>Poplar Jet</v>
      </c>
      <c r="AZ2" s="30" t="str">
        <f>General!$H$1</f>
        <v>Switchgrass Jet</v>
      </c>
      <c r="BA2" s="30" t="str">
        <f>General!$I$1</f>
        <v>Algae HEFA</v>
      </c>
      <c r="BB2" s="30" t="str">
        <f>General!$J$1</f>
        <v>Algae HTL</v>
      </c>
      <c r="BC2" s="30" t="str">
        <f>General!$K$1</f>
        <v>Forestry Residue</v>
      </c>
      <c r="BD2" s="30" t="str">
        <f>General!$M$1</f>
        <v>Carinata</v>
      </c>
      <c r="BE2" s="30" t="str">
        <f>General!$B$1</f>
        <v>Soy Biodiesel</v>
      </c>
      <c r="BF2" s="30" t="str">
        <f>General!$C$1</f>
        <v>Soy Jet</v>
      </c>
      <c r="BG2" s="30" t="str">
        <f>General!$D$1</f>
        <v>Corn Grain EtOH</v>
      </c>
      <c r="BH2" s="30" t="str">
        <f>General!$E$1</f>
        <v>Corn Stover EtOH</v>
      </c>
      <c r="BJ2" s="30" t="str">
        <f>General!$G$1</f>
        <v>Poplar Jet</v>
      </c>
      <c r="BK2" s="30" t="str">
        <f>General!$H$1</f>
        <v>Switchgrass Jet</v>
      </c>
      <c r="BL2" s="30" t="str">
        <f>General!$I$1</f>
        <v>Algae HEFA</v>
      </c>
      <c r="BM2" s="30" t="str">
        <f>General!$J$1</f>
        <v>Algae HTL</v>
      </c>
      <c r="BN2" s="30" t="str">
        <f>General!$K$1</f>
        <v>Forestry Residue</v>
      </c>
      <c r="BO2" s="30" t="str">
        <f>General!$M$1</f>
        <v>Carinata</v>
      </c>
      <c r="BP2" s="30" t="str">
        <f>General!$B$1</f>
        <v>Soy Biodiesel</v>
      </c>
      <c r="BQ2" s="30" t="str">
        <f>General!$C$1</f>
        <v>Soy Jet</v>
      </c>
      <c r="BR2" s="30" t="str">
        <f>General!$D$1</f>
        <v>Corn Grain EtOH</v>
      </c>
      <c r="BS2" s="30" t="str">
        <f>General!$E$1</f>
        <v>Corn Stover EtOH</v>
      </c>
      <c r="BU2" s="30" t="str">
        <f>General!$G$1</f>
        <v>Poplar Jet</v>
      </c>
      <c r="BV2" s="30" t="str">
        <f>General!$H$1</f>
        <v>Switchgrass Jet</v>
      </c>
      <c r="BW2" s="30" t="str">
        <f>General!$I$1</f>
        <v>Algae HEFA</v>
      </c>
      <c r="BX2" s="30" t="str">
        <f>General!$J$1</f>
        <v>Algae HTL</v>
      </c>
      <c r="BY2" s="30" t="str">
        <f>General!$K$1</f>
        <v>Forestry Residue</v>
      </c>
      <c r="BZ2" s="30" t="str">
        <f>General!$M$1</f>
        <v>Carinata</v>
      </c>
      <c r="CA2" s="30" t="str">
        <f>General!$B$1</f>
        <v>Soy Biodiesel</v>
      </c>
      <c r="CB2" s="30" t="str">
        <f>General!$C$1</f>
        <v>Soy Jet</v>
      </c>
      <c r="CC2" s="30" t="str">
        <f>General!$D$1</f>
        <v>Corn Grain EtOH</v>
      </c>
      <c r="CD2" s="30" t="str">
        <f>General!$E$1</f>
        <v>Corn Stover EtOH</v>
      </c>
      <c r="CF2" s="30" t="str">
        <f>General!$G$1</f>
        <v>Poplar Jet</v>
      </c>
      <c r="CG2" s="30" t="str">
        <f>General!$H$1</f>
        <v>Switchgrass Jet</v>
      </c>
      <c r="CH2" s="30" t="str">
        <f>General!$I$1</f>
        <v>Algae HEFA</v>
      </c>
      <c r="CI2" s="30" t="str">
        <f>General!$J$1</f>
        <v>Algae HTL</v>
      </c>
      <c r="CJ2" s="30" t="str">
        <f>General!$K$1</f>
        <v>Forestry Residue</v>
      </c>
      <c r="CK2" s="30" t="str">
        <f>General!$M$1</f>
        <v>Carinata</v>
      </c>
      <c r="CL2" s="30" t="str">
        <f>General!$B$1</f>
        <v>Soy Biodiesel</v>
      </c>
      <c r="CM2" s="30" t="str">
        <f>General!$C$1</f>
        <v>Soy Jet</v>
      </c>
      <c r="CN2" s="30" t="str">
        <f>General!$D$1</f>
        <v>Corn Grain EtOH</v>
      </c>
      <c r="CO2" s="30" t="str">
        <f>General!$E$1</f>
        <v>Corn Stover EtOH</v>
      </c>
      <c r="CQ2" s="30" t="str">
        <f>General!$G$1</f>
        <v>Poplar Jet</v>
      </c>
      <c r="CR2" s="30" t="str">
        <f>General!$H$1</f>
        <v>Switchgrass Jet</v>
      </c>
      <c r="CS2" s="30" t="str">
        <f>General!$I$1</f>
        <v>Algae HEFA</v>
      </c>
      <c r="CT2" s="30" t="str">
        <f>General!$J$1</f>
        <v>Algae HTL</v>
      </c>
      <c r="CU2" s="30" t="str">
        <f>General!$K$1</f>
        <v>Forestry Residue</v>
      </c>
      <c r="CV2" s="30" t="str">
        <f>General!$M$1</f>
        <v>Carinata</v>
      </c>
      <c r="CW2" s="30" t="str">
        <f>General!$B$1</f>
        <v>Soy Biodiesel</v>
      </c>
      <c r="CX2" s="30" t="str">
        <f>General!$C$1</f>
        <v>Soy Jet</v>
      </c>
      <c r="CY2" s="30" t="str">
        <f>General!$D$1</f>
        <v>Corn Grain EtOH</v>
      </c>
      <c r="CZ2" s="30" t="str">
        <f>General!$E$1</f>
        <v>Corn Stover EtOH</v>
      </c>
      <c r="DB2" s="30" t="str">
        <f>General!$G$1</f>
        <v>Poplar Jet</v>
      </c>
      <c r="DC2" s="30" t="str">
        <f>General!$H$1</f>
        <v>Switchgrass Jet</v>
      </c>
      <c r="DD2" s="30" t="str">
        <f>General!$I$1</f>
        <v>Algae HEFA</v>
      </c>
      <c r="DE2" s="30" t="str">
        <f>General!$J$1</f>
        <v>Algae HTL</v>
      </c>
      <c r="DF2" s="30" t="str">
        <f>General!$K$1</f>
        <v>Forestry Residue</v>
      </c>
      <c r="DG2" s="30" t="str">
        <f>General!$M$1</f>
        <v>Carinata</v>
      </c>
      <c r="DH2" s="30" t="str">
        <f>General!$B$1</f>
        <v>Soy Biodiesel</v>
      </c>
      <c r="DI2" s="30" t="str">
        <f>General!$C$1</f>
        <v>Soy Jet</v>
      </c>
      <c r="DJ2" s="30" t="str">
        <f>General!$D$1</f>
        <v>Corn Grain EtOH</v>
      </c>
      <c r="DK2" s="30" t="str">
        <f>General!$E$1</f>
        <v>Corn Stover EtOH</v>
      </c>
      <c r="DM2" s="30" t="str">
        <f>General!$G$1</f>
        <v>Poplar Jet</v>
      </c>
      <c r="DN2" s="30" t="str">
        <f>General!$H$1</f>
        <v>Switchgrass Jet</v>
      </c>
      <c r="DO2" s="30" t="str">
        <f>General!$I$1</f>
        <v>Algae HEFA</v>
      </c>
      <c r="DP2" s="30" t="str">
        <f>General!$J$1</f>
        <v>Algae HTL</v>
      </c>
      <c r="DQ2" s="30" t="str">
        <f>General!$K$1</f>
        <v>Forestry Residue</v>
      </c>
      <c r="DR2" s="30" t="str">
        <f>General!$M$1</f>
        <v>Carinata</v>
      </c>
    </row>
    <row r="3" spans="1:122" x14ac:dyDescent="0.25">
      <c r="A3" s="4">
        <v>0</v>
      </c>
      <c r="B3" s="21">
        <f>DH3</f>
        <v>-1018904.1256997506</v>
      </c>
      <c r="C3" s="21">
        <f>DI3</f>
        <v>-1009132.1152247288</v>
      </c>
      <c r="D3" s="21">
        <f>DJ3</f>
        <v>-2072640.24</v>
      </c>
      <c r="E3" s="21">
        <f>DK3</f>
        <v>-901056</v>
      </c>
      <c r="F3" s="21"/>
      <c r="G3" s="21">
        <f t="shared" ref="G3:L3" si="0">DM3</f>
        <v>0</v>
      </c>
      <c r="H3" s="21">
        <f t="shared" si="0"/>
        <v>0</v>
      </c>
      <c r="I3" s="21">
        <f t="shared" si="0"/>
        <v>-17721866.619541999</v>
      </c>
      <c r="J3" s="21">
        <f t="shared" si="0"/>
        <v>0</v>
      </c>
      <c r="K3" s="21">
        <f t="shared" si="0"/>
        <v>0</v>
      </c>
      <c r="L3" s="21">
        <f t="shared" si="0"/>
        <v>0</v>
      </c>
      <c r="M3" s="21"/>
      <c r="X3" s="20">
        <v>0</v>
      </c>
      <c r="Y3" s="20">
        <v>0</v>
      </c>
      <c r="Z3" s="20">
        <v>0</v>
      </c>
      <c r="AA3" s="20">
        <v>0</v>
      </c>
      <c r="AB3" s="20"/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1"/>
      <c r="AT3" s="20"/>
      <c r="BE3" s="21"/>
      <c r="BP3" s="21"/>
      <c r="CA3" s="21"/>
      <c r="CL3" s="21">
        <f>IF(CA3&gt;0,CA3*TEA!B$17-TEA!B$24,0)</f>
        <v>0</v>
      </c>
      <c r="CM3" s="21">
        <f>IF(CB3&gt;0,CB3*TEA!C$17-TEA!C$24,0)</f>
        <v>0</v>
      </c>
      <c r="CN3" s="21">
        <f>IF(CC3&gt;0,CC3*TEA!D$17-TEA!D$24,0)</f>
        <v>0</v>
      </c>
      <c r="CO3" s="21">
        <f>IF(CD3&gt;0,CD3*TEA!E$17-TEA!E$24,0)</f>
        <v>0</v>
      </c>
      <c r="CP3" s="21"/>
      <c r="CQ3" s="21">
        <f>IF(CF3&gt;0,CF3*TEA!G$17-TEA!G$24,0)</f>
        <v>0</v>
      </c>
      <c r="CR3" s="21">
        <f>IF(CG3&gt;0,CG3*TEA!H$17-TEA!H$24,0)</f>
        <v>0</v>
      </c>
      <c r="CS3" s="21">
        <f>IF(CH3&gt;0,CH3*TEA!I$17-TEA!I$24,0)</f>
        <v>0</v>
      </c>
      <c r="CT3" s="21">
        <f>IF(CI3&gt;0,CI3*TEA!J$17-TEA!J$24,0)</f>
        <v>0</v>
      </c>
      <c r="CU3" s="21">
        <f>IF(CJ3&gt;0,CJ3*TEA!K$17-TEA!K$24,0)</f>
        <v>0</v>
      </c>
      <c r="CV3" s="21">
        <f>IF(CK3&gt;0,CK3*TEA!L$17-TEA!L$24,0)</f>
        <v>0</v>
      </c>
      <c r="CW3" s="21">
        <f>-TEA!B40</f>
        <v>-1018904.1256997506</v>
      </c>
      <c r="CX3" s="21">
        <f>-TEA!C40</f>
        <v>-1009132.1152247288</v>
      </c>
      <c r="CY3" s="21">
        <f>-TEA!D40</f>
        <v>-2072640.24</v>
      </c>
      <c r="CZ3" s="21">
        <f>-TEA!E40</f>
        <v>-901056</v>
      </c>
      <c r="DA3" s="21"/>
      <c r="DB3" s="21">
        <f>-TEA!G40</f>
        <v>0</v>
      </c>
      <c r="DC3" s="21">
        <f>-TEA!H40</f>
        <v>0</v>
      </c>
      <c r="DD3" s="21">
        <f>-TEA!I40</f>
        <v>-17721866.619541999</v>
      </c>
      <c r="DE3" s="21">
        <f>-TEA!J40</f>
        <v>0</v>
      </c>
      <c r="DF3" s="21">
        <f>-TEA!K40</f>
        <v>0</v>
      </c>
      <c r="DG3" s="21">
        <f>-TEA!L40</f>
        <v>0</v>
      </c>
      <c r="DH3" s="21">
        <f>CW3/(1+TEA!B$16)^$A3</f>
        <v>-1018904.1256997506</v>
      </c>
      <c r="DI3" s="21">
        <f>CX3/(1+TEA!C$16)^$A3</f>
        <v>-1009132.1152247288</v>
      </c>
      <c r="DJ3" s="21">
        <f>CY3/(1+TEA!D$16)^$A3</f>
        <v>-2072640.24</v>
      </c>
      <c r="DK3" s="21">
        <f>CZ3/(1+TEA!E$16)^$A3</f>
        <v>-901056</v>
      </c>
      <c r="DL3" s="21"/>
      <c r="DM3" s="21">
        <f>DB3/(1+TEA!G$16)^$A3</f>
        <v>0</v>
      </c>
      <c r="DN3" s="21">
        <f>DC3/(1+TEA!H$16)^$A3</f>
        <v>0</v>
      </c>
      <c r="DO3" s="21">
        <f>DD3/(1+TEA!I$16)^$A3</f>
        <v>-17721866.619541999</v>
      </c>
      <c r="DP3" s="21">
        <f>DE3/(1+TEA!J$16)^$A3</f>
        <v>0</v>
      </c>
      <c r="DQ3" s="21">
        <f>DF3/(1+TEA!K$16)^$A3</f>
        <v>0</v>
      </c>
      <c r="DR3" s="21">
        <f>DG3/(1+TEA!L$16)^$A3</f>
        <v>0</v>
      </c>
    </row>
    <row r="4" spans="1:122" x14ac:dyDescent="0.25">
      <c r="A4" s="4">
        <f t="shared" ref="A4:A33" si="1">A3+1</f>
        <v>1</v>
      </c>
      <c r="B4" s="21">
        <f t="shared" ref="B4:B33" si="2">B3+DH4</f>
        <v>-1178865.5247028866</v>
      </c>
      <c r="C4" s="21">
        <f t="shared" ref="C4:C33" si="3">C3+DI4</f>
        <v>-1170685.1320053954</v>
      </c>
      <c r="D4" s="21" t="e">
        <f t="shared" ref="D4:D33" si="4">D3+DJ4</f>
        <v>#VALUE!</v>
      </c>
      <c r="E4" s="21" t="e">
        <f t="shared" ref="E4:E33" si="5">E3+DK4</f>
        <v>#VALUE!</v>
      </c>
      <c r="F4" s="21"/>
      <c r="G4" s="21">
        <f t="shared" ref="G4:G33" si="6">G3+DM4</f>
        <v>0</v>
      </c>
      <c r="H4" s="21">
        <f t="shared" ref="H4:H33" si="7">H3+DN4</f>
        <v>0</v>
      </c>
      <c r="I4" s="21">
        <f t="shared" ref="I4:I33" si="8">I3+DO4</f>
        <v>-23871749.3276783</v>
      </c>
      <c r="J4" s="21">
        <f t="shared" ref="J4:J33" si="9">J3+DP4</f>
        <v>0</v>
      </c>
      <c r="K4" s="21">
        <f t="shared" ref="K4:K33" si="10">K3+DQ4</f>
        <v>0</v>
      </c>
      <c r="L4" s="21">
        <f t="shared" ref="L4:L33" si="11">L3+DR4</f>
        <v>0</v>
      </c>
      <c r="M4" s="31">
        <f>TEA!B$37*TEA!B28</f>
        <v>114846.77244389473</v>
      </c>
      <c r="N4" s="31">
        <f>TEA!C$37*TEA!C28</f>
        <v>111702.62807355644</v>
      </c>
      <c r="O4" s="31">
        <f>TEA!D$37*TEA!D28</f>
        <v>453886.36721999996</v>
      </c>
      <c r="P4" s="31">
        <f>TEA!E$37*TEA!E28</f>
        <v>76929.137999999992</v>
      </c>
      <c r="Q4" s="31"/>
      <c r="R4" s="31">
        <f>TEA!G$37*TEA!G28</f>
        <v>0</v>
      </c>
      <c r="S4" s="31">
        <f>TEA!H$37*TEA!H28</f>
        <v>0</v>
      </c>
      <c r="T4" s="31">
        <f>TEA!I$37*TEA!I28</f>
        <v>5636620.8175376374</v>
      </c>
      <c r="U4" s="31">
        <f>TEA!J$37*TEA!J28</f>
        <v>0</v>
      </c>
      <c r="V4" s="31">
        <f>TEA!K$37*TEA!K28</f>
        <v>0</v>
      </c>
      <c r="W4" s="31">
        <f>TEA!L$37*TEA!L28</f>
        <v>0</v>
      </c>
      <c r="X4" s="20">
        <f>TEA!B$39</f>
        <v>227770.14132656169</v>
      </c>
      <c r="Y4" s="20">
        <f>TEA!C$39</f>
        <v>225585.66473960926</v>
      </c>
      <c r="Z4" s="20">
        <f>TEA!D$39</f>
        <v>463326.77283027547</v>
      </c>
      <c r="AA4" s="20">
        <f>TEA!E$39</f>
        <v>201425.87245114797</v>
      </c>
      <c r="AB4" s="20"/>
      <c r="AC4" s="20">
        <f>TEA!G$39</f>
        <v>0</v>
      </c>
      <c r="AD4" s="20">
        <f>TEA!H$39</f>
        <v>0</v>
      </c>
      <c r="AE4" s="20">
        <f>TEA!I$39</f>
        <v>3961621.0816021687</v>
      </c>
      <c r="AF4" s="20">
        <f>TEA!J$39</f>
        <v>0</v>
      </c>
      <c r="AG4" s="20">
        <f>TEA!K$39</f>
        <v>0</v>
      </c>
      <c r="AH4" s="20">
        <f>TEA!L$39</f>
        <v>0</v>
      </c>
      <c r="AI4" s="21">
        <f>TEA!B$38*TEA!B19</f>
        <v>122268.49508397006</v>
      </c>
      <c r="AJ4" s="21">
        <f>TEA!C$38*TEA!C19</f>
        <v>121095.85382696745</v>
      </c>
      <c r="AK4" s="21">
        <f>TEA!D$38*TEA!D19</f>
        <v>248716.82879999999</v>
      </c>
      <c r="AL4" s="21">
        <f>TEA!E$38*TEA!E19</f>
        <v>108126.72</v>
      </c>
      <c r="AM4" s="21"/>
      <c r="AN4" s="21">
        <f>TEA!G$38*TEA!G19</f>
        <v>0</v>
      </c>
      <c r="AO4" s="21">
        <f>TEA!H$38*TEA!H19</f>
        <v>0</v>
      </c>
      <c r="AP4" s="21">
        <f>TEA!I$38*TEA!I19</f>
        <v>2126623.9943450401</v>
      </c>
      <c r="AQ4" s="21">
        <f>TEA!J$38*TEA!J19</f>
        <v>0</v>
      </c>
      <c r="AR4" s="21">
        <f>TEA!K$38*TEA!K19</f>
        <v>0</v>
      </c>
      <c r="AS4" s="21">
        <f>TEA!L$38*TEA!L19</f>
        <v>0</v>
      </c>
      <c r="AT4" s="20">
        <f>TEA!B$38-X4+AI4</f>
        <v>1422854.5423070341</v>
      </c>
      <c r="AU4" s="20">
        <f>TEA!C$38-Y4+AJ4</f>
        <v>1409208.3619244513</v>
      </c>
      <c r="AV4" s="20">
        <f>TEA!D$38-Z4+AK4</f>
        <v>2894350.4159697243</v>
      </c>
      <c r="AW4" s="20">
        <f>TEA!E$38-AA4+AL4</f>
        <v>1258284.847548852</v>
      </c>
      <c r="AX4" s="20"/>
      <c r="AY4" s="20">
        <f>TEA!G$38-AC4+AN4</f>
        <v>0</v>
      </c>
      <c r="AZ4" s="20">
        <f>TEA!H$38-AD4+AO4</f>
        <v>0</v>
      </c>
      <c r="BA4" s="20">
        <f>TEA!I$38-AE4+AP4</f>
        <v>24747802.842055872</v>
      </c>
      <c r="BB4" s="20">
        <f>TEA!J$38-AF4+AQ4</f>
        <v>0</v>
      </c>
      <c r="BC4" s="20">
        <f>TEA!K$38-AG4+AR4</f>
        <v>0</v>
      </c>
      <c r="BD4" s="20">
        <f>TEA!L$38-AH4+AS4</f>
        <v>0</v>
      </c>
      <c r="BE4" s="21">
        <f>TEA!B$10-TEA!B$43-M4-AI4</f>
        <v>-185302.66510475258</v>
      </c>
      <c r="BF4" s="21">
        <f>TEA!C$10-TEA!C$43-N4-AJ4</f>
        <v>-184921.13561964768</v>
      </c>
      <c r="BG4" s="21" t="e">
        <f>TEA!D$10-TEA!D$43-O4-AK4</f>
        <v>#VALUE!</v>
      </c>
      <c r="BH4" s="21" t="e">
        <f>TEA!E$10-TEA!E$43-P4-AL4</f>
        <v>#VALUE!</v>
      </c>
      <c r="BI4" s="21"/>
      <c r="BJ4" s="21">
        <f>TEA!G$10-TEA!G$43-R4-AN4</f>
        <v>0</v>
      </c>
      <c r="BK4" s="21">
        <f>TEA!H$10-TEA!H$43-S4-AO4</f>
        <v>0</v>
      </c>
      <c r="BL4" s="21">
        <f>TEA!I$10-TEA!I$43-T4-AP4</f>
        <v>-10566494.709230442</v>
      </c>
      <c r="BM4" s="21">
        <f>TEA!J$10-TEA!J$43-U4-AQ4</f>
        <v>0</v>
      </c>
      <c r="BN4" s="21">
        <f>TEA!K$10-TEA!K$43-V4-AR4</f>
        <v>0</v>
      </c>
      <c r="BO4" s="21">
        <f>TEA!L$10-TEA!L$43-W4-AS4</f>
        <v>0</v>
      </c>
      <c r="BP4" s="21">
        <f t="shared" ref="BP4:BP33" si="12">IF(CA3&lt;0,CA3,0)</f>
        <v>0</v>
      </c>
      <c r="BQ4" s="21">
        <f t="shared" ref="BQ4:BQ33" si="13">IF(CB3&lt;0,CB3,0)</f>
        <v>0</v>
      </c>
      <c r="BR4" s="21">
        <f t="shared" ref="BR4:BR33" si="14">IF(CC3&lt;0,CC3,0)</f>
        <v>0</v>
      </c>
      <c r="BS4" s="21">
        <f t="shared" ref="BS4:BS33" si="15">IF(CD3&lt;0,CD3,0)</f>
        <v>0</v>
      </c>
      <c r="BT4" s="21"/>
      <c r="BU4" s="21">
        <f t="shared" ref="BU4:BZ29" si="16">IF(CF3&lt;0,CF3,0)</f>
        <v>0</v>
      </c>
      <c r="BV4" s="21">
        <f t="shared" si="16"/>
        <v>0</v>
      </c>
      <c r="BW4" s="21">
        <f t="shared" si="16"/>
        <v>0</v>
      </c>
      <c r="BX4" s="21">
        <f t="shared" si="16"/>
        <v>0</v>
      </c>
      <c r="BY4" s="21">
        <f t="shared" si="16"/>
        <v>0</v>
      </c>
      <c r="BZ4" s="21">
        <f t="shared" si="16"/>
        <v>0</v>
      </c>
      <c r="CA4" s="21">
        <f t="shared" ref="CA4:CA33" si="17">BE4+BP4</f>
        <v>-185302.66510475258</v>
      </c>
      <c r="CB4" s="21">
        <f t="shared" ref="CB4:CB33" si="18">BF4+BQ4</f>
        <v>-184921.13561964768</v>
      </c>
      <c r="CC4" s="21" t="e">
        <f t="shared" ref="CC4:CC33" si="19">BG4+BR4</f>
        <v>#VALUE!</v>
      </c>
      <c r="CD4" s="21" t="e">
        <f t="shared" ref="CD4:CD33" si="20">BH4+BS4</f>
        <v>#VALUE!</v>
      </c>
      <c r="CE4" s="21"/>
      <c r="CF4" s="21">
        <f t="shared" ref="CF4:CF29" si="21">BJ4+BU4</f>
        <v>0</v>
      </c>
      <c r="CG4" s="21">
        <f t="shared" ref="CG4:CG29" si="22">BK4+BV4</f>
        <v>0</v>
      </c>
      <c r="CH4" s="21">
        <f t="shared" ref="CH4:CH29" si="23">BL4+BW4</f>
        <v>-10566494.709230442</v>
      </c>
      <c r="CI4" s="21">
        <f t="shared" ref="CI4:CI29" si="24">BM4+BX4</f>
        <v>0</v>
      </c>
      <c r="CJ4" s="21">
        <f t="shared" ref="CJ4:CJ29" si="25">BN4+BY4</f>
        <v>0</v>
      </c>
      <c r="CK4" s="21">
        <f t="shared" ref="CK4:CK29" si="26">BO4+BZ4</f>
        <v>0</v>
      </c>
      <c r="CL4" s="21">
        <f>IF(CA4&gt;0,CA4*TEA!B$17-TEA!B$24,0)</f>
        <v>0</v>
      </c>
      <c r="CM4" s="21">
        <f>IF(CB4&gt;0,CB4*TEA!C$17-TEA!C$24,0)</f>
        <v>0</v>
      </c>
      <c r="CN4" s="21" t="e">
        <f>IF(CC4&gt;0,CC4*TEA!D$17-TEA!D$24,0)</f>
        <v>#VALUE!</v>
      </c>
      <c r="CO4" s="21" t="e">
        <f>IF(CD4&gt;0,CD4*TEA!E$17-TEA!E$24,0)</f>
        <v>#VALUE!</v>
      </c>
      <c r="CP4" s="21"/>
      <c r="CQ4" s="21">
        <f>IF(CF4&gt;0,CF4*TEA!G$17-TEA!G$24,0)</f>
        <v>0</v>
      </c>
      <c r="CR4" s="21">
        <f>IF(CG4&gt;0,CG4*TEA!H$17-TEA!H$24,0)</f>
        <v>0</v>
      </c>
      <c r="CS4" s="21">
        <f>IF(CH4&gt;0,CH4*TEA!I$17-TEA!I$24,0)</f>
        <v>0</v>
      </c>
      <c r="CT4" s="21">
        <f>IF(CI4&gt;0,CI4*TEA!J$17-TEA!J$24,0)</f>
        <v>0</v>
      </c>
      <c r="CU4" s="21">
        <f>IF(CJ4&gt;0,CJ4*TEA!K$17-TEA!K$24,0)</f>
        <v>0</v>
      </c>
      <c r="CV4" s="21">
        <f>IF(CK4&gt;0,CK4*TEA!L$17-TEA!L$24,0)</f>
        <v>0</v>
      </c>
      <c r="CW4" s="21">
        <f>TEA!B$10-TEA!B$43-X4-CL4</f>
        <v>-175957.53890344949</v>
      </c>
      <c r="CX4" s="21">
        <f>TEA!C$10-TEA!C$43-Y4-CM4</f>
        <v>-177708.31845873309</v>
      </c>
      <c r="CY4" s="21" t="e">
        <f>TEA!D$10-TEA!D$43-Z4-CN4</f>
        <v>#VALUE!</v>
      </c>
      <c r="CZ4" s="21" t="e">
        <f>TEA!E$10-TEA!E$43-AA4-CO4</f>
        <v>#VALUE!</v>
      </c>
      <c r="DA4" s="21"/>
      <c r="DB4" s="21">
        <f>TEA!G$10-TEA!G$43-AC4-CQ4</f>
        <v>0</v>
      </c>
      <c r="DC4" s="21">
        <f>TEA!H$10-TEA!H$43-AD4-CR4</f>
        <v>0</v>
      </c>
      <c r="DD4" s="21">
        <f>TEA!I$10-TEA!I$43-AE4-CS4</f>
        <v>-6764870.9789499333</v>
      </c>
      <c r="DE4" s="21">
        <f>TEA!J$10-TEA!J$43-AF4-CT4</f>
        <v>0</v>
      </c>
      <c r="DF4" s="21">
        <f>TEA!K$10-TEA!K$43-AG4-CU4</f>
        <v>0</v>
      </c>
      <c r="DG4" s="21">
        <f>TEA!L$10-TEA!L$43-AH4-CV4</f>
        <v>0</v>
      </c>
      <c r="DH4" s="21">
        <f>CW4/(1+TEA!B$16)^$A4</f>
        <v>-159961.39900313588</v>
      </c>
      <c r="DI4" s="21">
        <f>CX4/(1+TEA!C$16)^$A4</f>
        <v>-161553.01678066642</v>
      </c>
      <c r="DJ4" s="21" t="e">
        <f>CY4/(1+TEA!D$16)^$A4</f>
        <v>#VALUE!</v>
      </c>
      <c r="DK4" s="21" t="e">
        <f>CZ4/(1+TEA!E$16)^$A4</f>
        <v>#VALUE!</v>
      </c>
      <c r="DL4" s="21"/>
      <c r="DM4" s="21">
        <f>DB4/(1+TEA!G$16)^$A4</f>
        <v>0</v>
      </c>
      <c r="DN4" s="21">
        <f>DC4/(1+TEA!H$16)^$A4</f>
        <v>0</v>
      </c>
      <c r="DO4" s="21">
        <f>DD4/(1+TEA!I$16)^$A4</f>
        <v>-6149882.7081363024</v>
      </c>
      <c r="DP4" s="21">
        <f>DE4/(1+TEA!J$16)^$A4</f>
        <v>0</v>
      </c>
      <c r="DQ4" s="21">
        <f>DF4/(1+TEA!K$16)^$A4</f>
        <v>0</v>
      </c>
      <c r="DR4" s="21">
        <f>DG4/(1+TEA!L$16)^$A4</f>
        <v>0</v>
      </c>
    </row>
    <row r="5" spans="1:122" x14ac:dyDescent="0.25">
      <c r="A5" s="4">
        <f t="shared" si="1"/>
        <v>2</v>
      </c>
      <c r="B5" s="21">
        <f t="shared" si="2"/>
        <v>-1324284.978342101</v>
      </c>
      <c r="C5" s="21">
        <f t="shared" si="3"/>
        <v>-1317551.5108969102</v>
      </c>
      <c r="D5" s="21" t="e">
        <f t="shared" si="4"/>
        <v>#VALUE!</v>
      </c>
      <c r="E5" s="21" t="e">
        <f t="shared" si="5"/>
        <v>#VALUE!</v>
      </c>
      <c r="F5" s="21"/>
      <c r="G5" s="21">
        <f t="shared" si="6"/>
        <v>0</v>
      </c>
      <c r="H5" s="21">
        <f t="shared" si="7"/>
        <v>0</v>
      </c>
      <c r="I5" s="21">
        <f t="shared" si="8"/>
        <v>-29462551.789620392</v>
      </c>
      <c r="J5" s="21">
        <f t="shared" si="9"/>
        <v>0</v>
      </c>
      <c r="K5" s="21">
        <f t="shared" si="10"/>
        <v>0</v>
      </c>
      <c r="L5" s="21">
        <f t="shared" si="11"/>
        <v>0</v>
      </c>
      <c r="M5" s="31">
        <f>TEA!B$37*TEA!B29</f>
        <v>196765.44929198749</v>
      </c>
      <c r="N5" s="31">
        <f>TEA!C$37*TEA!C29</f>
        <v>191378.62851763167</v>
      </c>
      <c r="O5" s="31">
        <f>TEA!D$37*TEA!D29</f>
        <v>777637.48230000003</v>
      </c>
      <c r="P5" s="31">
        <f>TEA!E$37*TEA!E29</f>
        <v>131801.66999999998</v>
      </c>
      <c r="Q5" s="31"/>
      <c r="R5" s="31">
        <f>TEA!G$37*TEA!G29</f>
        <v>0</v>
      </c>
      <c r="S5" s="31">
        <f>TEA!H$37*TEA!H29</f>
        <v>0</v>
      </c>
      <c r="T5" s="31">
        <f>TEA!I$37*TEA!I29</f>
        <v>9657147.5545225274</v>
      </c>
      <c r="U5" s="31">
        <f>TEA!J$37*TEA!J29</f>
        <v>0</v>
      </c>
      <c r="V5" s="31">
        <f>TEA!K$37*TEA!K29</f>
        <v>0</v>
      </c>
      <c r="W5" s="31">
        <f>TEA!L$37*TEA!L29</f>
        <v>0</v>
      </c>
      <c r="X5" s="20">
        <f>TEA!B$39</f>
        <v>227770.14132656169</v>
      </c>
      <c r="Y5" s="20">
        <f>TEA!C$39</f>
        <v>225585.66473960926</v>
      </c>
      <c r="Z5" s="20">
        <f>TEA!D$39</f>
        <v>463326.77283027547</v>
      </c>
      <c r="AA5" s="20">
        <f>TEA!E$39</f>
        <v>201425.87245114797</v>
      </c>
      <c r="AB5" s="20"/>
      <c r="AC5" s="20">
        <f>TEA!G$39</f>
        <v>0</v>
      </c>
      <c r="AD5" s="20">
        <f>TEA!H$39</f>
        <v>0</v>
      </c>
      <c r="AE5" s="20">
        <f>TEA!I$39</f>
        <v>3961621.0816021687</v>
      </c>
      <c r="AF5" s="20">
        <f>TEA!J$39</f>
        <v>0</v>
      </c>
      <c r="AG5" s="20">
        <f>TEA!K$39</f>
        <v>0</v>
      </c>
      <c r="AH5" s="20">
        <f>TEA!L$39</f>
        <v>0</v>
      </c>
      <c r="AI5" s="21">
        <f>AT4*TEA!$B$19</f>
        <v>113828.36338456273</v>
      </c>
      <c r="AJ5" s="21">
        <f>AU4*TEA!$B$19</f>
        <v>112736.6689539561</v>
      </c>
      <c r="AK5" s="21">
        <f>AV4*TEA!$B$19</f>
        <v>231548.03327757795</v>
      </c>
      <c r="AL5" s="21">
        <f>AW4*TEA!$B$19</f>
        <v>100662.78780390816</v>
      </c>
      <c r="AM5" s="21"/>
      <c r="AN5" s="21">
        <f>AY4*TEA!$B$19</f>
        <v>0</v>
      </c>
      <c r="AO5" s="21">
        <f>AZ4*TEA!$B$19</f>
        <v>0</v>
      </c>
      <c r="AP5" s="21">
        <f>BA4*TEA!$B$19</f>
        <v>1979824.2273644698</v>
      </c>
      <c r="AQ5" s="21">
        <f>BB4*TEA!$B$19</f>
        <v>0</v>
      </c>
      <c r="AR5" s="21">
        <f>BC4*TEA!$B$19</f>
        <v>0</v>
      </c>
      <c r="AS5" s="21">
        <f>BD4*TEA!$B$19</f>
        <v>0</v>
      </c>
      <c r="AT5" s="20">
        <f t="shared" ref="AT5:AT16" si="27">AT4-X5+AI5</f>
        <v>1308912.7643650353</v>
      </c>
      <c r="AU5" s="20">
        <f t="shared" ref="AU5:AU16" si="28">AU4-Y5+AJ5</f>
        <v>1296359.3661387982</v>
      </c>
      <c r="AV5" s="20">
        <f t="shared" ref="AV5:AV16" si="29">AV4-Z5+AK5</f>
        <v>2662571.6764170267</v>
      </c>
      <c r="AW5" s="20">
        <f t="shared" ref="AW5:AW16" si="30">AW4-AA5+AL5</f>
        <v>1157521.7629016121</v>
      </c>
      <c r="AX5" s="20"/>
      <c r="AY5" s="20">
        <f t="shared" ref="AY5:AY16" si="31">AY4-AC5+AN5</f>
        <v>0</v>
      </c>
      <c r="AZ5" s="20">
        <f t="shared" ref="AZ5:AZ16" si="32">AZ4-AD5+AO5</f>
        <v>0</v>
      </c>
      <c r="BA5" s="20">
        <f t="shared" ref="BA5:BA16" si="33">BA4-AE5+AP5</f>
        <v>22766005.987818174</v>
      </c>
      <c r="BB5" s="20">
        <f t="shared" ref="BB5:BB16" si="34">BB4-AF5+AQ5</f>
        <v>0</v>
      </c>
      <c r="BC5" s="20">
        <f t="shared" ref="BC5:BC16" si="35">BC4-AG5+AR5</f>
        <v>0</v>
      </c>
      <c r="BD5" s="20">
        <f t="shared" ref="BD5:BD16" si="36">BD4-AH5+AS5</f>
        <v>0</v>
      </c>
      <c r="BE5" s="21">
        <f>TEA!B$10-TEA!B$43-M5-AI5</f>
        <v>-258781.21025343798</v>
      </c>
      <c r="BF5" s="21">
        <f>TEA!C$10-TEA!C$43-N5-AJ5</f>
        <v>-256237.95119071158</v>
      </c>
      <c r="BG5" s="21" t="e">
        <f>TEA!D$10-TEA!D$43-O5-AK5</f>
        <v>#VALUE!</v>
      </c>
      <c r="BH5" s="21" t="e">
        <f>TEA!E$10-TEA!E$43-P5-AL5</f>
        <v>#VALUE!</v>
      </c>
      <c r="BI5" s="21"/>
      <c r="BJ5" s="21">
        <f>TEA!G$10-TEA!G$43-R5-AN5</f>
        <v>0</v>
      </c>
      <c r="BK5" s="21">
        <f>TEA!H$10-TEA!H$43-S5-AO5</f>
        <v>0</v>
      </c>
      <c r="BL5" s="21">
        <f>TEA!I$10-TEA!I$43-T5-AP5</f>
        <v>-14440221.679234762</v>
      </c>
      <c r="BM5" s="21">
        <f>TEA!J$10-TEA!J$43-U5-AQ5</f>
        <v>0</v>
      </c>
      <c r="BN5" s="21">
        <f>TEA!K$10-TEA!K$43-V5-AR5</f>
        <v>0</v>
      </c>
      <c r="BO5" s="21">
        <f>TEA!L$10-TEA!L$43-W5-AS5</f>
        <v>0</v>
      </c>
      <c r="BP5" s="21">
        <f t="shared" si="12"/>
        <v>-185302.66510475258</v>
      </c>
      <c r="BQ5" s="21">
        <f t="shared" si="13"/>
        <v>-184921.13561964768</v>
      </c>
      <c r="BR5" s="21" t="e">
        <f t="shared" si="14"/>
        <v>#VALUE!</v>
      </c>
      <c r="BS5" s="21" t="e">
        <f t="shared" si="15"/>
        <v>#VALUE!</v>
      </c>
      <c r="BT5" s="21"/>
      <c r="BU5" s="21">
        <f t="shared" si="16"/>
        <v>0</v>
      </c>
      <c r="BV5" s="21">
        <f t="shared" si="16"/>
        <v>0</v>
      </c>
      <c r="BW5" s="21">
        <f t="shared" si="16"/>
        <v>-10566494.709230442</v>
      </c>
      <c r="BX5" s="21">
        <f t="shared" si="16"/>
        <v>0</v>
      </c>
      <c r="BY5" s="21">
        <f t="shared" si="16"/>
        <v>0</v>
      </c>
      <c r="BZ5" s="21">
        <f t="shared" si="16"/>
        <v>0</v>
      </c>
      <c r="CA5" s="21">
        <f t="shared" si="17"/>
        <v>-444083.87535819056</v>
      </c>
      <c r="CB5" s="21">
        <f t="shared" si="18"/>
        <v>-441159.08681035927</v>
      </c>
      <c r="CC5" s="21" t="e">
        <f t="shared" si="19"/>
        <v>#VALUE!</v>
      </c>
      <c r="CD5" s="21" t="e">
        <f t="shared" si="20"/>
        <v>#VALUE!</v>
      </c>
      <c r="CE5" s="21"/>
      <c r="CF5" s="21">
        <f t="shared" si="21"/>
        <v>0</v>
      </c>
      <c r="CG5" s="21">
        <f t="shared" si="22"/>
        <v>0</v>
      </c>
      <c r="CH5" s="21">
        <f t="shared" si="23"/>
        <v>-25006716.388465203</v>
      </c>
      <c r="CI5" s="21">
        <f t="shared" si="24"/>
        <v>0</v>
      </c>
      <c r="CJ5" s="21">
        <f t="shared" si="25"/>
        <v>0</v>
      </c>
      <c r="CK5" s="21">
        <f t="shared" si="26"/>
        <v>0</v>
      </c>
      <c r="CL5" s="21">
        <f>IF(CA5&gt;0,CA5*TEA!B$17-TEA!B$24,0)</f>
        <v>0</v>
      </c>
      <c r="CM5" s="21">
        <f>IF(CB5&gt;0,CB5*TEA!C$17-TEA!C$24,0)</f>
        <v>0</v>
      </c>
      <c r="CN5" s="21" t="e">
        <f>IF(CC5&gt;0,CC5*TEA!D$17-TEA!D$24,0)</f>
        <v>#VALUE!</v>
      </c>
      <c r="CO5" s="21" t="e">
        <f>IF(CD5&gt;0,CD5*TEA!E$17-TEA!E$24,0)</f>
        <v>#VALUE!</v>
      </c>
      <c r="CP5" s="21"/>
      <c r="CQ5" s="21">
        <f>IF(CF5&gt;0,CF5*TEA!G$17-TEA!G$24,0)</f>
        <v>0</v>
      </c>
      <c r="CR5" s="21">
        <f>IF(CG5&gt;0,CG5*TEA!H$17-TEA!H$24,0)</f>
        <v>0</v>
      </c>
      <c r="CS5" s="21">
        <f>IF(CH5&gt;0,CH5*TEA!I$17-TEA!I$24,0)</f>
        <v>0</v>
      </c>
      <c r="CT5" s="21">
        <f>IF(CI5&gt;0,CI5*TEA!J$17-TEA!J$24,0)</f>
        <v>0</v>
      </c>
      <c r="CU5" s="21">
        <f>IF(CJ5&gt;0,CJ5*TEA!K$17-TEA!K$24,0)</f>
        <v>0</v>
      </c>
      <c r="CV5" s="21">
        <f>IF(CK5&gt;0,CK5*TEA!L$17-TEA!L$24,0)</f>
        <v>0</v>
      </c>
      <c r="CW5" s="21">
        <f>TEA!B$10-TEA!B$43-X5-CL5</f>
        <v>-175957.53890344949</v>
      </c>
      <c r="CX5" s="21">
        <f>TEA!C$10-TEA!C$43-Y5-CM5</f>
        <v>-177708.31845873309</v>
      </c>
      <c r="CY5" s="21" t="e">
        <f>TEA!D$10-TEA!D$43-Z5-CN5</f>
        <v>#VALUE!</v>
      </c>
      <c r="CZ5" s="21" t="e">
        <f>TEA!E$10-TEA!E$43-AA5-CO5</f>
        <v>#VALUE!</v>
      </c>
      <c r="DA5" s="21"/>
      <c r="DB5" s="21">
        <f>TEA!G$10-TEA!G$43-AC5-CQ5</f>
        <v>0</v>
      </c>
      <c r="DC5" s="21">
        <f>TEA!H$10-TEA!H$43-AD5-CR5</f>
        <v>0</v>
      </c>
      <c r="DD5" s="21">
        <f>TEA!I$10-TEA!I$43-AE5-CS5</f>
        <v>-6764870.9789499333</v>
      </c>
      <c r="DE5" s="21">
        <f>TEA!J$10-TEA!J$43-AF5-CT5</f>
        <v>0</v>
      </c>
      <c r="DF5" s="21">
        <f>TEA!K$10-TEA!K$43-AG5-CU5</f>
        <v>0</v>
      </c>
      <c r="DG5" s="21">
        <f>TEA!L$10-TEA!L$43-AH5-CV5</f>
        <v>0</v>
      </c>
      <c r="DH5" s="21">
        <f>CW5/(1+TEA!B$16)^$A5</f>
        <v>-145419.45363921442</v>
      </c>
      <c r="DI5" s="21">
        <f>CX5/(1+TEA!C$16)^$A5</f>
        <v>-146866.37889151493</v>
      </c>
      <c r="DJ5" s="21" t="e">
        <f>CY5/(1+TEA!D$16)^$A5</f>
        <v>#VALUE!</v>
      </c>
      <c r="DK5" s="21" t="e">
        <f>CZ5/(1+TEA!E$16)^$A5</f>
        <v>#VALUE!</v>
      </c>
      <c r="DL5" s="21"/>
      <c r="DM5" s="21">
        <f>DB5/(1+TEA!G$16)^$A5</f>
        <v>0</v>
      </c>
      <c r="DN5" s="21">
        <f>DC5/(1+TEA!H$16)^$A5</f>
        <v>0</v>
      </c>
      <c r="DO5" s="21">
        <f>DD5/(1+TEA!I$16)^$A5</f>
        <v>-5590802.4619420925</v>
      </c>
      <c r="DP5" s="21">
        <f>DE5/(1+TEA!J$16)^$A5</f>
        <v>0</v>
      </c>
      <c r="DQ5" s="21">
        <f>DF5/(1+TEA!K$16)^$A5</f>
        <v>0</v>
      </c>
      <c r="DR5" s="21">
        <f>DG5/(1+TEA!L$16)^$A5</f>
        <v>0</v>
      </c>
    </row>
    <row r="6" spans="1:122" x14ac:dyDescent="0.25">
      <c r="A6" s="4">
        <f t="shared" si="1"/>
        <v>3</v>
      </c>
      <c r="B6" s="21">
        <f t="shared" si="2"/>
        <v>-1456484.4816504777</v>
      </c>
      <c r="C6" s="21">
        <f t="shared" si="3"/>
        <v>-1451066.4007982875</v>
      </c>
      <c r="D6" s="21" t="e">
        <f t="shared" si="4"/>
        <v>#VALUE!</v>
      </c>
      <c r="E6" s="21" t="e">
        <f t="shared" si="5"/>
        <v>#VALUE!</v>
      </c>
      <c r="F6" s="21"/>
      <c r="G6" s="21">
        <f t="shared" si="6"/>
        <v>0</v>
      </c>
      <c r="H6" s="21">
        <f t="shared" si="7"/>
        <v>0</v>
      </c>
      <c r="I6" s="21">
        <f t="shared" si="8"/>
        <v>-34545099.482295021</v>
      </c>
      <c r="J6" s="21">
        <f t="shared" si="9"/>
        <v>0</v>
      </c>
      <c r="K6" s="21">
        <f t="shared" si="10"/>
        <v>0</v>
      </c>
      <c r="L6" s="21">
        <f t="shared" si="11"/>
        <v>0</v>
      </c>
      <c r="M6" s="31">
        <f>TEA!B$37*TEA!B30</f>
        <v>140546.74949427677</v>
      </c>
      <c r="N6" s="31">
        <f>TEA!C$37*TEA!C30</f>
        <v>136699.02036973691</v>
      </c>
      <c r="O6" s="31">
        <f>TEA!D$37*TEA!D30</f>
        <v>555455.34450000001</v>
      </c>
      <c r="P6" s="31">
        <f>TEA!E$37*TEA!E30</f>
        <v>94144.049999999988</v>
      </c>
      <c r="Q6" s="31"/>
      <c r="R6" s="31">
        <f>TEA!G$37*TEA!G30</f>
        <v>0</v>
      </c>
      <c r="S6" s="31">
        <f>TEA!H$37*TEA!H30</f>
        <v>0</v>
      </c>
      <c r="T6" s="31">
        <f>TEA!I$37*TEA!I30</f>
        <v>6897962.5389446616</v>
      </c>
      <c r="U6" s="31">
        <f>TEA!J$37*TEA!J30</f>
        <v>0</v>
      </c>
      <c r="V6" s="31">
        <f>TEA!K$37*TEA!K30</f>
        <v>0</v>
      </c>
      <c r="W6" s="31">
        <f>TEA!L$37*TEA!L30</f>
        <v>0</v>
      </c>
      <c r="X6" s="20">
        <f>TEA!B$39</f>
        <v>227770.14132656169</v>
      </c>
      <c r="Y6" s="20">
        <f>TEA!C$39</f>
        <v>225585.66473960926</v>
      </c>
      <c r="Z6" s="20">
        <f>TEA!D$39</f>
        <v>463326.77283027547</v>
      </c>
      <c r="AA6" s="20">
        <f>TEA!E$39</f>
        <v>201425.87245114797</v>
      </c>
      <c r="AB6" s="20"/>
      <c r="AC6" s="20">
        <f>TEA!G$39</f>
        <v>0</v>
      </c>
      <c r="AD6" s="20">
        <f>TEA!H$39</f>
        <v>0</v>
      </c>
      <c r="AE6" s="20">
        <f>TEA!I$39</f>
        <v>3961621.0816021687</v>
      </c>
      <c r="AF6" s="20">
        <f>TEA!J$39</f>
        <v>0</v>
      </c>
      <c r="AG6" s="20">
        <f>TEA!K$39</f>
        <v>0</v>
      </c>
      <c r="AH6" s="20">
        <f>TEA!L$39</f>
        <v>0</v>
      </c>
      <c r="AI6" s="21">
        <f>AT5*TEA!$B$19</f>
        <v>104713.02114920283</v>
      </c>
      <c r="AJ6" s="21">
        <f>AU5*TEA!$B$19</f>
        <v>103708.74929110386</v>
      </c>
      <c r="AK6" s="21">
        <f>AV5*TEA!$B$19</f>
        <v>213005.73411336215</v>
      </c>
      <c r="AL6" s="21">
        <f>AW5*TEA!$B$19</f>
        <v>92601.741032128964</v>
      </c>
      <c r="AM6" s="21"/>
      <c r="AN6" s="21">
        <f>AY5*TEA!$B$19</f>
        <v>0</v>
      </c>
      <c r="AO6" s="21">
        <f>AZ5*TEA!$B$19</f>
        <v>0</v>
      </c>
      <c r="AP6" s="21">
        <f>BA5*TEA!$B$19</f>
        <v>1821280.479025454</v>
      </c>
      <c r="AQ6" s="21">
        <f>BB5*TEA!$B$19</f>
        <v>0</v>
      </c>
      <c r="AR6" s="21">
        <f>BC5*TEA!$B$19</f>
        <v>0</v>
      </c>
      <c r="AS6" s="21">
        <f>BD5*TEA!$B$19</f>
        <v>0</v>
      </c>
      <c r="AT6" s="20">
        <f t="shared" si="27"/>
        <v>1185855.6441876763</v>
      </c>
      <c r="AU6" s="20">
        <f t="shared" si="28"/>
        <v>1174482.4506902928</v>
      </c>
      <c r="AV6" s="20">
        <f t="shared" si="29"/>
        <v>2412250.6377001135</v>
      </c>
      <c r="AW6" s="20">
        <f t="shared" si="30"/>
        <v>1048697.631482593</v>
      </c>
      <c r="AX6" s="20"/>
      <c r="AY6" s="20">
        <f t="shared" si="31"/>
        <v>0</v>
      </c>
      <c r="AZ6" s="20">
        <f t="shared" si="32"/>
        <v>0</v>
      </c>
      <c r="BA6" s="20">
        <f t="shared" si="33"/>
        <v>20625665.38524146</v>
      </c>
      <c r="BB6" s="20">
        <f t="shared" si="34"/>
        <v>0</v>
      </c>
      <c r="BC6" s="20">
        <f t="shared" si="35"/>
        <v>0</v>
      </c>
      <c r="BD6" s="20">
        <f t="shared" si="36"/>
        <v>0</v>
      </c>
      <c r="BE6" s="21">
        <f>TEA!B$10-TEA!B$43-M6-AI6</f>
        <v>-193447.1682203674</v>
      </c>
      <c r="BF6" s="21">
        <f>TEA!C$10-TEA!C$43-N6-AJ6</f>
        <v>-192530.4233799646</v>
      </c>
      <c r="BG6" s="21" t="e">
        <f>TEA!D$10-TEA!D$43-O6-AK6</f>
        <v>#VALUE!</v>
      </c>
      <c r="BH6" s="21" t="e">
        <f>TEA!E$10-TEA!E$43-P6-AL6</f>
        <v>#VALUE!</v>
      </c>
      <c r="BI6" s="21"/>
      <c r="BJ6" s="21">
        <f>TEA!G$10-TEA!G$43-R6-AN6</f>
        <v>0</v>
      </c>
      <c r="BK6" s="21">
        <f>TEA!H$10-TEA!H$43-S6-AO6</f>
        <v>0</v>
      </c>
      <c r="BL6" s="21">
        <f>TEA!I$10-TEA!I$43-T6-AP6</f>
        <v>-11522492.91531788</v>
      </c>
      <c r="BM6" s="21">
        <f>TEA!J$10-TEA!J$43-U6-AQ6</f>
        <v>0</v>
      </c>
      <c r="BN6" s="21">
        <f>TEA!K$10-TEA!K$43-V6-AR6</f>
        <v>0</v>
      </c>
      <c r="BO6" s="21">
        <f>TEA!L$10-TEA!L$43-W6-AS6</f>
        <v>0</v>
      </c>
      <c r="BP6" s="21">
        <f t="shared" si="12"/>
        <v>-444083.87535819056</v>
      </c>
      <c r="BQ6" s="21">
        <f t="shared" si="13"/>
        <v>-441159.08681035927</v>
      </c>
      <c r="BR6" s="21" t="e">
        <f t="shared" si="14"/>
        <v>#VALUE!</v>
      </c>
      <c r="BS6" s="21" t="e">
        <f t="shared" si="15"/>
        <v>#VALUE!</v>
      </c>
      <c r="BT6" s="21"/>
      <c r="BU6" s="21">
        <f t="shared" si="16"/>
        <v>0</v>
      </c>
      <c r="BV6" s="21">
        <f t="shared" si="16"/>
        <v>0</v>
      </c>
      <c r="BW6" s="21">
        <f t="shared" si="16"/>
        <v>-25006716.388465203</v>
      </c>
      <c r="BX6" s="21">
        <f t="shared" si="16"/>
        <v>0</v>
      </c>
      <c r="BY6" s="21">
        <f t="shared" si="16"/>
        <v>0</v>
      </c>
      <c r="BZ6" s="21">
        <f t="shared" si="16"/>
        <v>0</v>
      </c>
      <c r="CA6" s="21">
        <f t="shared" si="17"/>
        <v>-637531.0435785579</v>
      </c>
      <c r="CB6" s="21">
        <f t="shared" si="18"/>
        <v>-633689.51019032393</v>
      </c>
      <c r="CC6" s="21" t="e">
        <f t="shared" si="19"/>
        <v>#VALUE!</v>
      </c>
      <c r="CD6" s="21" t="e">
        <f t="shared" si="20"/>
        <v>#VALUE!</v>
      </c>
      <c r="CE6" s="21"/>
      <c r="CF6" s="21">
        <f t="shared" si="21"/>
        <v>0</v>
      </c>
      <c r="CG6" s="21">
        <f t="shared" si="22"/>
        <v>0</v>
      </c>
      <c r="CH6" s="21">
        <f t="shared" si="23"/>
        <v>-36529209.303783081</v>
      </c>
      <c r="CI6" s="21">
        <f t="shared" si="24"/>
        <v>0</v>
      </c>
      <c r="CJ6" s="21">
        <f t="shared" si="25"/>
        <v>0</v>
      </c>
      <c r="CK6" s="21">
        <f t="shared" si="26"/>
        <v>0</v>
      </c>
      <c r="CL6" s="21">
        <f>IF(CA6&gt;0,CA6*TEA!B$17-TEA!B$24,0)</f>
        <v>0</v>
      </c>
      <c r="CM6" s="21">
        <f>IF(CB6&gt;0,CB6*TEA!C$17-TEA!C$24,0)</f>
        <v>0</v>
      </c>
      <c r="CN6" s="21" t="e">
        <f>IF(CC6&gt;0,CC6*TEA!D$17-TEA!D$24,0)</f>
        <v>#VALUE!</v>
      </c>
      <c r="CO6" s="21" t="e">
        <f>IF(CD6&gt;0,CD6*TEA!E$17-TEA!E$24,0)</f>
        <v>#VALUE!</v>
      </c>
      <c r="CP6" s="21"/>
      <c r="CQ6" s="21">
        <f>IF(CF6&gt;0,CF6*TEA!G$17-TEA!G$24,0)</f>
        <v>0</v>
      </c>
      <c r="CR6" s="21">
        <f>IF(CG6&gt;0,CG6*TEA!H$17-TEA!H$24,0)</f>
        <v>0</v>
      </c>
      <c r="CS6" s="21">
        <f>IF(CH6&gt;0,CH6*TEA!I$17-TEA!I$24,0)</f>
        <v>0</v>
      </c>
      <c r="CT6" s="21">
        <f>IF(CI6&gt;0,CI6*TEA!J$17-TEA!J$24,0)</f>
        <v>0</v>
      </c>
      <c r="CU6" s="21">
        <f>IF(CJ6&gt;0,CJ6*TEA!K$17-TEA!K$24,0)</f>
        <v>0</v>
      </c>
      <c r="CV6" s="21">
        <f>IF(CK6&gt;0,CK6*TEA!L$17-TEA!L$24,0)</f>
        <v>0</v>
      </c>
      <c r="CW6" s="21">
        <f>TEA!B$10-TEA!B$43-X6-CL6</f>
        <v>-175957.53890344949</v>
      </c>
      <c r="CX6" s="21">
        <f>TEA!C$10-TEA!C$43-Y6-CM6</f>
        <v>-177708.31845873309</v>
      </c>
      <c r="CY6" s="21" t="e">
        <f>TEA!D$10-TEA!D$43-Z6-CN6</f>
        <v>#VALUE!</v>
      </c>
      <c r="CZ6" s="21" t="e">
        <f>TEA!E$10-TEA!E$43-AA6-CO6</f>
        <v>#VALUE!</v>
      </c>
      <c r="DA6" s="21"/>
      <c r="DB6" s="21">
        <f>TEA!G$10-TEA!G$43-AC6-CQ6</f>
        <v>0</v>
      </c>
      <c r="DC6" s="21">
        <f>TEA!H$10-TEA!H$43-AD6-CR6</f>
        <v>0</v>
      </c>
      <c r="DD6" s="21">
        <f>TEA!I$10-TEA!I$43-AE6-CS6</f>
        <v>-6764870.9789499333</v>
      </c>
      <c r="DE6" s="21">
        <f>TEA!J$10-TEA!J$43-AF6-CT6</f>
        <v>0</v>
      </c>
      <c r="DF6" s="21">
        <f>TEA!K$10-TEA!K$43-AG6-CU6</f>
        <v>0</v>
      </c>
      <c r="DG6" s="21">
        <f>TEA!L$10-TEA!L$43-AH6-CV6</f>
        <v>0</v>
      </c>
      <c r="DH6" s="21">
        <f>CW6/(1+TEA!B$16)^$A6</f>
        <v>-132199.50330837673</v>
      </c>
      <c r="DI6" s="21">
        <f>CX6/(1+TEA!C$16)^$A6</f>
        <v>-133514.88990137717</v>
      </c>
      <c r="DJ6" s="21" t="e">
        <f>CY6/(1+TEA!D$16)^$A6</f>
        <v>#VALUE!</v>
      </c>
      <c r="DK6" s="21" t="e">
        <f>CZ6/(1+TEA!E$16)^$A6</f>
        <v>#VALUE!</v>
      </c>
      <c r="DL6" s="21"/>
      <c r="DM6" s="21">
        <f>DB6/(1+TEA!G$16)^$A6</f>
        <v>0</v>
      </c>
      <c r="DN6" s="21">
        <f>DC6/(1+TEA!H$16)^$A6</f>
        <v>0</v>
      </c>
      <c r="DO6" s="21">
        <f>DD6/(1+TEA!I$16)^$A6</f>
        <v>-5082547.6926746294</v>
      </c>
      <c r="DP6" s="21">
        <f>DE6/(1+TEA!J$16)^$A6</f>
        <v>0</v>
      </c>
      <c r="DQ6" s="21">
        <f>DF6/(1+TEA!K$16)^$A6</f>
        <v>0</v>
      </c>
      <c r="DR6" s="21">
        <f>DG6/(1+TEA!L$16)^$A6</f>
        <v>0</v>
      </c>
    </row>
    <row r="7" spans="1:122" x14ac:dyDescent="0.25">
      <c r="A7" s="4">
        <f t="shared" si="1"/>
        <v>4</v>
      </c>
      <c r="B7" s="21">
        <f t="shared" si="2"/>
        <v>-1576665.8482944565</v>
      </c>
      <c r="C7" s="21">
        <f t="shared" si="3"/>
        <v>-1572443.5734359031</v>
      </c>
      <c r="D7" s="21" t="e">
        <f t="shared" si="4"/>
        <v>#VALUE!</v>
      </c>
      <c r="E7" s="21" t="e">
        <f t="shared" si="5"/>
        <v>#VALUE!</v>
      </c>
      <c r="F7" s="21"/>
      <c r="G7" s="21">
        <f t="shared" si="6"/>
        <v>0</v>
      </c>
      <c r="H7" s="21">
        <f t="shared" si="7"/>
        <v>0</v>
      </c>
      <c r="I7" s="21">
        <f t="shared" si="8"/>
        <v>-39165597.384726502</v>
      </c>
      <c r="J7" s="21">
        <f t="shared" si="9"/>
        <v>0</v>
      </c>
      <c r="K7" s="21">
        <f t="shared" si="10"/>
        <v>0</v>
      </c>
      <c r="L7" s="21">
        <f t="shared" si="11"/>
        <v>0</v>
      </c>
      <c r="M7" s="31">
        <f>TEA!B$37*TEA!B31</f>
        <v>100390.53535305485</v>
      </c>
      <c r="N7" s="31">
        <f>TEA!C$37*TEA!C31</f>
        <v>97642.157406954939</v>
      </c>
      <c r="O7" s="31">
        <f>TEA!D$37*TEA!D31</f>
        <v>396753.8175</v>
      </c>
      <c r="P7" s="31">
        <f>TEA!E$37*TEA!E31</f>
        <v>67245.75</v>
      </c>
      <c r="Q7" s="31"/>
      <c r="R7" s="31">
        <f>TEA!G$37*TEA!G31</f>
        <v>0</v>
      </c>
      <c r="S7" s="31">
        <f>TEA!H$37*TEA!H31</f>
        <v>0</v>
      </c>
      <c r="T7" s="31">
        <f>TEA!I$37*TEA!I31</f>
        <v>4927116.0992461871</v>
      </c>
      <c r="U7" s="31">
        <f>TEA!J$37*TEA!J31</f>
        <v>0</v>
      </c>
      <c r="V7" s="31">
        <f>TEA!K$37*TEA!K31</f>
        <v>0</v>
      </c>
      <c r="W7" s="31">
        <f>TEA!L$37*TEA!L31</f>
        <v>0</v>
      </c>
      <c r="X7" s="20">
        <f>TEA!B$39</f>
        <v>227770.14132656169</v>
      </c>
      <c r="Y7" s="20">
        <f>TEA!C$39</f>
        <v>225585.66473960926</v>
      </c>
      <c r="Z7" s="20">
        <f>TEA!D$39</f>
        <v>463326.77283027547</v>
      </c>
      <c r="AA7" s="20">
        <f>TEA!E$39</f>
        <v>201425.87245114797</v>
      </c>
      <c r="AB7" s="20"/>
      <c r="AC7" s="20">
        <f>TEA!G$39</f>
        <v>0</v>
      </c>
      <c r="AD7" s="20">
        <f>TEA!H$39</f>
        <v>0</v>
      </c>
      <c r="AE7" s="20">
        <f>TEA!I$39</f>
        <v>3961621.0816021687</v>
      </c>
      <c r="AF7" s="20">
        <f>TEA!J$39</f>
        <v>0</v>
      </c>
      <c r="AG7" s="20">
        <f>TEA!K$39</f>
        <v>0</v>
      </c>
      <c r="AH7" s="20">
        <f>TEA!L$39</f>
        <v>0</v>
      </c>
      <c r="AI7" s="21">
        <f>AT6*TEA!$B$19</f>
        <v>94868.451535014101</v>
      </c>
      <c r="AJ7" s="21">
        <f>AU6*TEA!$B$19</f>
        <v>93958.596055223417</v>
      </c>
      <c r="AK7" s="21">
        <f>AV6*TEA!$B$19</f>
        <v>192980.05101600909</v>
      </c>
      <c r="AL7" s="21">
        <f>AW6*TEA!$B$19</f>
        <v>83895.810518607439</v>
      </c>
      <c r="AM7" s="21"/>
      <c r="AN7" s="21">
        <f>AY6*TEA!$B$19</f>
        <v>0</v>
      </c>
      <c r="AO7" s="21">
        <f>AZ6*TEA!$B$19</f>
        <v>0</v>
      </c>
      <c r="AP7" s="21">
        <f>BA6*TEA!$B$19</f>
        <v>1650053.2308193168</v>
      </c>
      <c r="AQ7" s="21">
        <f>BB6*TEA!$B$19</f>
        <v>0</v>
      </c>
      <c r="AR7" s="21">
        <f>BC6*TEA!$B$19</f>
        <v>0</v>
      </c>
      <c r="AS7" s="21">
        <f>BD6*TEA!$B$19</f>
        <v>0</v>
      </c>
      <c r="AT7" s="20">
        <f t="shared" si="27"/>
        <v>1052953.9543961287</v>
      </c>
      <c r="AU7" s="20">
        <f t="shared" si="28"/>
        <v>1042855.3820059069</v>
      </c>
      <c r="AV7" s="20">
        <f t="shared" si="29"/>
        <v>2141903.9158858471</v>
      </c>
      <c r="AW7" s="20">
        <f t="shared" si="30"/>
        <v>931167.56955005252</v>
      </c>
      <c r="AX7" s="20"/>
      <c r="AY7" s="20">
        <f t="shared" si="31"/>
        <v>0</v>
      </c>
      <c r="AZ7" s="20">
        <f t="shared" si="32"/>
        <v>0</v>
      </c>
      <c r="BA7" s="20">
        <f t="shared" si="33"/>
        <v>18314097.534458607</v>
      </c>
      <c r="BB7" s="20">
        <f t="shared" si="34"/>
        <v>0</v>
      </c>
      <c r="BC7" s="20">
        <f t="shared" si="35"/>
        <v>0</v>
      </c>
      <c r="BD7" s="20">
        <f t="shared" si="36"/>
        <v>0</v>
      </c>
      <c r="BE7" s="21">
        <f>TEA!B$10-TEA!B$43-M7-AI7</f>
        <v>-143446.38446495673</v>
      </c>
      <c r="BF7" s="21">
        <f>TEA!C$10-TEA!C$43-N7-AJ7</f>
        <v>-143723.40718130217</v>
      </c>
      <c r="BG7" s="21" t="e">
        <f>TEA!D$10-TEA!D$43-O7-AK7</f>
        <v>#VALUE!</v>
      </c>
      <c r="BH7" s="21" t="e">
        <f>TEA!E$10-TEA!E$43-P7-AL7</f>
        <v>#VALUE!</v>
      </c>
      <c r="BI7" s="21"/>
      <c r="BJ7" s="21">
        <f>TEA!G$10-TEA!G$43-R7-AN7</f>
        <v>0</v>
      </c>
      <c r="BK7" s="21">
        <f>TEA!H$10-TEA!H$43-S7-AO7</f>
        <v>0</v>
      </c>
      <c r="BL7" s="21">
        <f>TEA!I$10-TEA!I$43-T7-AP7</f>
        <v>-9380419.2274132688</v>
      </c>
      <c r="BM7" s="21">
        <f>TEA!J$10-TEA!J$43-U7-AQ7</f>
        <v>0</v>
      </c>
      <c r="BN7" s="21">
        <f>TEA!K$10-TEA!K$43-V7-AR7</f>
        <v>0</v>
      </c>
      <c r="BO7" s="21">
        <f>TEA!L$10-TEA!L$43-W7-AS7</f>
        <v>0</v>
      </c>
      <c r="BP7" s="21">
        <f t="shared" si="12"/>
        <v>-637531.0435785579</v>
      </c>
      <c r="BQ7" s="21">
        <f t="shared" si="13"/>
        <v>-633689.51019032393</v>
      </c>
      <c r="BR7" s="21" t="e">
        <f t="shared" si="14"/>
        <v>#VALUE!</v>
      </c>
      <c r="BS7" s="21" t="e">
        <f t="shared" si="15"/>
        <v>#VALUE!</v>
      </c>
      <c r="BT7" s="21"/>
      <c r="BU7" s="21">
        <f t="shared" si="16"/>
        <v>0</v>
      </c>
      <c r="BV7" s="21">
        <f t="shared" si="16"/>
        <v>0</v>
      </c>
      <c r="BW7" s="21">
        <f t="shared" si="16"/>
        <v>-36529209.303783081</v>
      </c>
      <c r="BX7" s="21">
        <f t="shared" si="16"/>
        <v>0</v>
      </c>
      <c r="BY7" s="21">
        <f t="shared" si="16"/>
        <v>0</v>
      </c>
      <c r="BZ7" s="21">
        <f t="shared" si="16"/>
        <v>0</v>
      </c>
      <c r="CA7" s="21">
        <f t="shared" si="17"/>
        <v>-780977.42804351461</v>
      </c>
      <c r="CB7" s="21">
        <f t="shared" si="18"/>
        <v>-777412.91737162613</v>
      </c>
      <c r="CC7" s="21" t="e">
        <f t="shared" si="19"/>
        <v>#VALUE!</v>
      </c>
      <c r="CD7" s="21" t="e">
        <f t="shared" si="20"/>
        <v>#VALUE!</v>
      </c>
      <c r="CE7" s="21"/>
      <c r="CF7" s="21">
        <f t="shared" si="21"/>
        <v>0</v>
      </c>
      <c r="CG7" s="21">
        <f t="shared" si="22"/>
        <v>0</v>
      </c>
      <c r="CH7" s="21">
        <f t="shared" si="23"/>
        <v>-45909628.531196348</v>
      </c>
      <c r="CI7" s="21">
        <f t="shared" si="24"/>
        <v>0</v>
      </c>
      <c r="CJ7" s="21">
        <f t="shared" si="25"/>
        <v>0</v>
      </c>
      <c r="CK7" s="21">
        <f t="shared" si="26"/>
        <v>0</v>
      </c>
      <c r="CL7" s="21">
        <f>IF(CA7&gt;0,CA7*TEA!B$17-TEA!B$24,0)</f>
        <v>0</v>
      </c>
      <c r="CM7" s="21">
        <f>IF(CB7&gt;0,CB7*TEA!C$17-TEA!C$24,0)</f>
        <v>0</v>
      </c>
      <c r="CN7" s="21" t="e">
        <f>IF(CC7&gt;0,CC7*TEA!D$17-TEA!D$24,0)</f>
        <v>#VALUE!</v>
      </c>
      <c r="CO7" s="21" t="e">
        <f>IF(CD7&gt;0,CD7*TEA!E$17-TEA!E$24,0)</f>
        <v>#VALUE!</v>
      </c>
      <c r="CP7" s="21"/>
      <c r="CQ7" s="21">
        <f>IF(CF7&gt;0,CF7*TEA!G$17-TEA!G$24,0)</f>
        <v>0</v>
      </c>
      <c r="CR7" s="21">
        <f>IF(CG7&gt;0,CG7*TEA!H$17-TEA!H$24,0)</f>
        <v>0</v>
      </c>
      <c r="CS7" s="21">
        <f>IF(CH7&gt;0,CH7*TEA!I$17-TEA!I$24,0)</f>
        <v>0</v>
      </c>
      <c r="CT7" s="21">
        <f>IF(CI7&gt;0,CI7*TEA!J$17-TEA!J$24,0)</f>
        <v>0</v>
      </c>
      <c r="CU7" s="21">
        <f>IF(CJ7&gt;0,CJ7*TEA!K$17-TEA!K$24,0)</f>
        <v>0</v>
      </c>
      <c r="CV7" s="21">
        <f>IF(CK7&gt;0,CK7*TEA!L$17-TEA!L$24,0)</f>
        <v>0</v>
      </c>
      <c r="CW7" s="21">
        <f>TEA!B$10-TEA!B$43-X7-CL7</f>
        <v>-175957.53890344949</v>
      </c>
      <c r="CX7" s="21">
        <f>TEA!C$10-TEA!C$43-Y7-CM7</f>
        <v>-177708.31845873309</v>
      </c>
      <c r="CY7" s="21" t="e">
        <f>TEA!D$10-TEA!D$43-Z7-CN7</f>
        <v>#VALUE!</v>
      </c>
      <c r="CZ7" s="21" t="e">
        <f>TEA!E$10-TEA!E$43-AA7-CO7</f>
        <v>#VALUE!</v>
      </c>
      <c r="DA7" s="21"/>
      <c r="DB7" s="21">
        <f>TEA!G$10-TEA!G$43-AC7-CQ7</f>
        <v>0</v>
      </c>
      <c r="DC7" s="21">
        <f>TEA!H$10-TEA!H$43-AD7-CR7</f>
        <v>0</v>
      </c>
      <c r="DD7" s="21">
        <f>TEA!I$10-TEA!I$43-AE7-CS7</f>
        <v>-6764870.9789499333</v>
      </c>
      <c r="DE7" s="21">
        <f>TEA!J$10-TEA!J$43-AF7-CT7</f>
        <v>0</v>
      </c>
      <c r="DF7" s="21">
        <f>TEA!K$10-TEA!K$43-AG7-CU7</f>
        <v>0</v>
      </c>
      <c r="DG7" s="21">
        <f>TEA!L$10-TEA!L$43-AH7-CV7</f>
        <v>0</v>
      </c>
      <c r="DH7" s="21">
        <f>CW7/(1+TEA!B$16)^$A7</f>
        <v>-120181.36664397885</v>
      </c>
      <c r="DI7" s="21">
        <f>CX7/(1+TEA!C$16)^$A7</f>
        <v>-121377.17263761563</v>
      </c>
      <c r="DJ7" s="21" t="e">
        <f>CY7/(1+TEA!D$16)^$A7</f>
        <v>#VALUE!</v>
      </c>
      <c r="DK7" s="21" t="e">
        <f>CZ7/(1+TEA!E$16)^$A7</f>
        <v>#VALUE!</v>
      </c>
      <c r="DL7" s="21"/>
      <c r="DM7" s="21">
        <f>DB7/(1+TEA!G$16)^$A7</f>
        <v>0</v>
      </c>
      <c r="DN7" s="21">
        <f>DC7/(1+TEA!H$16)^$A7</f>
        <v>0</v>
      </c>
      <c r="DO7" s="21">
        <f>DD7/(1+TEA!I$16)^$A7</f>
        <v>-4620497.9024314815</v>
      </c>
      <c r="DP7" s="21">
        <f>DE7/(1+TEA!J$16)^$A7</f>
        <v>0</v>
      </c>
      <c r="DQ7" s="21">
        <f>DF7/(1+TEA!K$16)^$A7</f>
        <v>0</v>
      </c>
      <c r="DR7" s="21">
        <f>DG7/(1+TEA!L$16)^$A7</f>
        <v>0</v>
      </c>
    </row>
    <row r="8" spans="1:122" x14ac:dyDescent="0.25">
      <c r="A8" s="4">
        <f t="shared" si="1"/>
        <v>5</v>
      </c>
      <c r="B8" s="21">
        <f t="shared" si="2"/>
        <v>-1685921.636152619</v>
      </c>
      <c r="C8" s="21">
        <f t="shared" si="3"/>
        <v>-1682786.4576519174</v>
      </c>
      <c r="D8" s="21" t="e">
        <f t="shared" si="4"/>
        <v>#VALUE!</v>
      </c>
      <c r="E8" s="21" t="e">
        <f t="shared" si="5"/>
        <v>#VALUE!</v>
      </c>
      <c r="F8" s="21"/>
      <c r="G8" s="21">
        <f t="shared" si="6"/>
        <v>0</v>
      </c>
      <c r="H8" s="21">
        <f t="shared" si="7"/>
        <v>0</v>
      </c>
      <c r="I8" s="21">
        <f t="shared" si="8"/>
        <v>-43366050.023300573</v>
      </c>
      <c r="J8" s="21">
        <f t="shared" si="9"/>
        <v>0</v>
      </c>
      <c r="K8" s="21">
        <f t="shared" si="10"/>
        <v>0</v>
      </c>
      <c r="L8" s="21">
        <f t="shared" si="11"/>
        <v>0</v>
      </c>
      <c r="M8" s="31">
        <f>TEA!B$37*TEA!B32</f>
        <v>71478.06117137504</v>
      </c>
      <c r="N8" s="31">
        <f>TEA!C$37*TEA!C32</f>
        <v>69521.216073751915</v>
      </c>
      <c r="O8" s="31">
        <f>TEA!D$37*TEA!D32</f>
        <v>282488.71805999998</v>
      </c>
      <c r="P8" s="31">
        <f>TEA!E$37*TEA!E32</f>
        <v>47878.973999999995</v>
      </c>
      <c r="Q8" s="31"/>
      <c r="R8" s="31">
        <f>TEA!G$37*TEA!G32</f>
        <v>0</v>
      </c>
      <c r="S8" s="31">
        <f>TEA!H$37*TEA!H32</f>
        <v>0</v>
      </c>
      <c r="T8" s="31">
        <f>TEA!I$37*TEA!I32</f>
        <v>3508106.6626632852</v>
      </c>
      <c r="U8" s="31">
        <f>TEA!J$37*TEA!J32</f>
        <v>0</v>
      </c>
      <c r="V8" s="31">
        <f>TEA!K$37*TEA!K32</f>
        <v>0</v>
      </c>
      <c r="W8" s="31">
        <f>TEA!L$37*TEA!L32</f>
        <v>0</v>
      </c>
      <c r="X8" s="20">
        <f>TEA!B$39</f>
        <v>227770.14132656169</v>
      </c>
      <c r="Y8" s="20">
        <f>TEA!C$39</f>
        <v>225585.66473960926</v>
      </c>
      <c r="Z8" s="20">
        <f>TEA!D$39</f>
        <v>463326.77283027547</v>
      </c>
      <c r="AA8" s="20">
        <f>TEA!E$39</f>
        <v>201425.87245114797</v>
      </c>
      <c r="AB8" s="20"/>
      <c r="AC8" s="20">
        <f>TEA!G$39</f>
        <v>0</v>
      </c>
      <c r="AD8" s="20">
        <f>TEA!H$39</f>
        <v>0</v>
      </c>
      <c r="AE8" s="20">
        <f>TEA!I$39</f>
        <v>3961621.0816021687</v>
      </c>
      <c r="AF8" s="20">
        <f>TEA!J$39</f>
        <v>0</v>
      </c>
      <c r="AG8" s="20">
        <f>TEA!K$39</f>
        <v>0</v>
      </c>
      <c r="AH8" s="20">
        <f>TEA!L$39</f>
        <v>0</v>
      </c>
      <c r="AI8" s="21">
        <f>AT7*TEA!$B$19</f>
        <v>84236.316351690301</v>
      </c>
      <c r="AJ8" s="21">
        <f>AU7*TEA!$B$19</f>
        <v>83428.430560472552</v>
      </c>
      <c r="AK8" s="21">
        <f>AV7*TEA!$B$19</f>
        <v>171352.31327086777</v>
      </c>
      <c r="AL8" s="21">
        <f>AW7*TEA!$B$19</f>
        <v>74493.405564004206</v>
      </c>
      <c r="AM8" s="21"/>
      <c r="AN8" s="21">
        <f>AY7*TEA!$B$19</f>
        <v>0</v>
      </c>
      <c r="AO8" s="21">
        <f>AZ7*TEA!$B$19</f>
        <v>0</v>
      </c>
      <c r="AP8" s="21">
        <f>BA7*TEA!$B$19</f>
        <v>1465127.8027566886</v>
      </c>
      <c r="AQ8" s="21">
        <f>BB7*TEA!$B$19</f>
        <v>0</v>
      </c>
      <c r="AR8" s="21">
        <f>BC7*TEA!$B$19</f>
        <v>0</v>
      </c>
      <c r="AS8" s="21">
        <f>BD7*TEA!$B$19</f>
        <v>0</v>
      </c>
      <c r="AT8" s="20">
        <f t="shared" si="27"/>
        <v>909420.1294212573</v>
      </c>
      <c r="AU8" s="20">
        <f t="shared" si="28"/>
        <v>900698.1478267702</v>
      </c>
      <c r="AV8" s="20">
        <f t="shared" si="29"/>
        <v>1849929.4563264395</v>
      </c>
      <c r="AW8" s="20">
        <f t="shared" si="30"/>
        <v>804235.10266290873</v>
      </c>
      <c r="AX8" s="20"/>
      <c r="AY8" s="20">
        <f t="shared" si="31"/>
        <v>0</v>
      </c>
      <c r="AZ8" s="20">
        <f t="shared" si="32"/>
        <v>0</v>
      </c>
      <c r="BA8" s="20">
        <f t="shared" si="33"/>
        <v>15817604.255613126</v>
      </c>
      <c r="BB8" s="20">
        <f t="shared" si="34"/>
        <v>0</v>
      </c>
      <c r="BC8" s="20">
        <f t="shared" si="35"/>
        <v>0</v>
      </c>
      <c r="BD8" s="20">
        <f t="shared" si="36"/>
        <v>0</v>
      </c>
      <c r="BE8" s="21">
        <f>TEA!B$10-TEA!B$43-M8-AI8</f>
        <v>-103901.77509995313</v>
      </c>
      <c r="BF8" s="21">
        <f>TEA!C$10-TEA!C$43-N8-AJ8</f>
        <v>-105072.30035334828</v>
      </c>
      <c r="BG8" s="21" t="e">
        <f>TEA!D$10-TEA!D$43-O8-AK8</f>
        <v>#VALUE!</v>
      </c>
      <c r="BH8" s="21" t="e">
        <f>TEA!E$10-TEA!E$43-P8-AL8</f>
        <v>#VALUE!</v>
      </c>
      <c r="BI8" s="21"/>
      <c r="BJ8" s="21">
        <f>TEA!G$10-TEA!G$43-R8-AN8</f>
        <v>0</v>
      </c>
      <c r="BK8" s="21">
        <f>TEA!H$10-TEA!H$43-S8-AO8</f>
        <v>0</v>
      </c>
      <c r="BL8" s="21">
        <f>TEA!I$10-TEA!I$43-T8-AP8</f>
        <v>-7776484.3627677383</v>
      </c>
      <c r="BM8" s="21">
        <f>TEA!J$10-TEA!J$43-U8-AQ8</f>
        <v>0</v>
      </c>
      <c r="BN8" s="21">
        <f>TEA!K$10-TEA!K$43-V8-AR8</f>
        <v>0</v>
      </c>
      <c r="BO8" s="21">
        <f>TEA!L$10-TEA!L$43-W8-AS8</f>
        <v>0</v>
      </c>
      <c r="BP8" s="21">
        <f t="shared" si="12"/>
        <v>-780977.42804351461</v>
      </c>
      <c r="BQ8" s="21">
        <f t="shared" si="13"/>
        <v>-777412.91737162613</v>
      </c>
      <c r="BR8" s="21" t="e">
        <f t="shared" si="14"/>
        <v>#VALUE!</v>
      </c>
      <c r="BS8" s="21" t="e">
        <f t="shared" si="15"/>
        <v>#VALUE!</v>
      </c>
      <c r="BT8" s="21"/>
      <c r="BU8" s="21">
        <f t="shared" si="16"/>
        <v>0</v>
      </c>
      <c r="BV8" s="21">
        <f t="shared" si="16"/>
        <v>0</v>
      </c>
      <c r="BW8" s="21">
        <f t="shared" si="16"/>
        <v>-45909628.531196348</v>
      </c>
      <c r="BX8" s="21">
        <f t="shared" si="16"/>
        <v>0</v>
      </c>
      <c r="BY8" s="21">
        <f t="shared" si="16"/>
        <v>0</v>
      </c>
      <c r="BZ8" s="21">
        <f t="shared" si="16"/>
        <v>0</v>
      </c>
      <c r="CA8" s="21">
        <f t="shared" si="17"/>
        <v>-884879.20314346778</v>
      </c>
      <c r="CB8" s="21">
        <f t="shared" si="18"/>
        <v>-882485.21772497438</v>
      </c>
      <c r="CC8" s="21" t="e">
        <f t="shared" si="19"/>
        <v>#VALUE!</v>
      </c>
      <c r="CD8" s="21" t="e">
        <f t="shared" si="20"/>
        <v>#VALUE!</v>
      </c>
      <c r="CE8" s="21"/>
      <c r="CF8" s="21">
        <f t="shared" si="21"/>
        <v>0</v>
      </c>
      <c r="CG8" s="21">
        <f t="shared" si="22"/>
        <v>0</v>
      </c>
      <c r="CH8" s="21">
        <f t="shared" si="23"/>
        <v>-53686112.893964089</v>
      </c>
      <c r="CI8" s="21">
        <f t="shared" si="24"/>
        <v>0</v>
      </c>
      <c r="CJ8" s="21">
        <f t="shared" si="25"/>
        <v>0</v>
      </c>
      <c r="CK8" s="21">
        <f t="shared" si="26"/>
        <v>0</v>
      </c>
      <c r="CL8" s="21">
        <f>IF(CA8&gt;0,CA8*TEA!B$17-TEA!B$24,0)</f>
        <v>0</v>
      </c>
      <c r="CM8" s="21">
        <f>IF(CB8&gt;0,CB8*TEA!C$17-TEA!C$24,0)</f>
        <v>0</v>
      </c>
      <c r="CN8" s="21" t="e">
        <f>IF(CC8&gt;0,CC8*TEA!D$17-TEA!D$24,0)</f>
        <v>#VALUE!</v>
      </c>
      <c r="CO8" s="21" t="e">
        <f>IF(CD8&gt;0,CD8*TEA!E$17-TEA!E$24,0)</f>
        <v>#VALUE!</v>
      </c>
      <c r="CP8" s="21"/>
      <c r="CQ8" s="21">
        <f>IF(CF8&gt;0,CF8*TEA!G$17-TEA!G$24,0)</f>
        <v>0</v>
      </c>
      <c r="CR8" s="21">
        <f>IF(CG8&gt;0,CG8*TEA!H$17-TEA!H$24,0)</f>
        <v>0</v>
      </c>
      <c r="CS8" s="21">
        <f>IF(CH8&gt;0,CH8*TEA!I$17-TEA!I$24,0)</f>
        <v>0</v>
      </c>
      <c r="CT8" s="21">
        <f>IF(CI8&gt;0,CI8*TEA!J$17-TEA!J$24,0)</f>
        <v>0</v>
      </c>
      <c r="CU8" s="21">
        <f>IF(CJ8&gt;0,CJ8*TEA!K$17-TEA!K$24,0)</f>
        <v>0</v>
      </c>
      <c r="CV8" s="21">
        <f>IF(CK8&gt;0,CK8*TEA!L$17-TEA!L$24,0)</f>
        <v>0</v>
      </c>
      <c r="CW8" s="21">
        <f>TEA!B$10-TEA!B$43-X8-CL8</f>
        <v>-175957.53890344949</v>
      </c>
      <c r="CX8" s="21">
        <f>TEA!C$10-TEA!C$43-Y8-CM8</f>
        <v>-177708.31845873309</v>
      </c>
      <c r="CY8" s="21" t="e">
        <f>TEA!D$10-TEA!D$43-Z8-CN8</f>
        <v>#VALUE!</v>
      </c>
      <c r="CZ8" s="21" t="e">
        <f>TEA!E$10-TEA!E$43-AA8-CO8</f>
        <v>#VALUE!</v>
      </c>
      <c r="DA8" s="21"/>
      <c r="DB8" s="21">
        <f>TEA!G$10-TEA!G$43-AC8-CQ8</f>
        <v>0</v>
      </c>
      <c r="DC8" s="21">
        <f>TEA!H$10-TEA!H$43-AD8-CR8</f>
        <v>0</v>
      </c>
      <c r="DD8" s="21">
        <f>TEA!I$10-TEA!I$43-AE8-CS8</f>
        <v>-6764870.9789499333</v>
      </c>
      <c r="DE8" s="21">
        <f>TEA!J$10-TEA!J$43-AF8-CT8</f>
        <v>0</v>
      </c>
      <c r="DF8" s="21">
        <f>TEA!K$10-TEA!K$43-AG8-CU8</f>
        <v>0</v>
      </c>
      <c r="DG8" s="21">
        <f>TEA!L$10-TEA!L$43-AH8-CV8</f>
        <v>0</v>
      </c>
      <c r="DH8" s="21">
        <f>CW8/(1+TEA!B$16)^$A8</f>
        <v>-109255.78785816258</v>
      </c>
      <c r="DI8" s="21">
        <f>CX8/(1+TEA!C$16)^$A8</f>
        <v>-110342.88421601419</v>
      </c>
      <c r="DJ8" s="21" t="e">
        <f>CY8/(1+TEA!D$16)^$A8</f>
        <v>#VALUE!</v>
      </c>
      <c r="DK8" s="21" t="e">
        <f>CZ8/(1+TEA!E$16)^$A8</f>
        <v>#VALUE!</v>
      </c>
      <c r="DL8" s="21"/>
      <c r="DM8" s="21">
        <f>DB8/(1+TEA!G$16)^$A8</f>
        <v>0</v>
      </c>
      <c r="DN8" s="21">
        <f>DC8/(1+TEA!H$16)^$A8</f>
        <v>0</v>
      </c>
      <c r="DO8" s="21">
        <f>DD8/(1+TEA!I$16)^$A8</f>
        <v>-4200452.6385740731</v>
      </c>
      <c r="DP8" s="21">
        <f>DE8/(1+TEA!J$16)^$A8</f>
        <v>0</v>
      </c>
      <c r="DQ8" s="21">
        <f>DF8/(1+TEA!K$16)^$A8</f>
        <v>0</v>
      </c>
      <c r="DR8" s="21">
        <f>DG8/(1+TEA!L$16)^$A8</f>
        <v>0</v>
      </c>
    </row>
    <row r="9" spans="1:122" x14ac:dyDescent="0.25">
      <c r="A9" s="4">
        <f t="shared" si="1"/>
        <v>6</v>
      </c>
      <c r="B9" s="21">
        <f t="shared" si="2"/>
        <v>-1785245.0796600396</v>
      </c>
      <c r="C9" s="21">
        <f t="shared" si="3"/>
        <v>-1783098.1705755666</v>
      </c>
      <c r="D9" s="21" t="e">
        <f t="shared" si="4"/>
        <v>#VALUE!</v>
      </c>
      <c r="E9" s="21" t="e">
        <f t="shared" si="5"/>
        <v>#VALUE!</v>
      </c>
      <c r="F9" s="21"/>
      <c r="G9" s="21">
        <f t="shared" si="6"/>
        <v>0</v>
      </c>
      <c r="H9" s="21">
        <f t="shared" si="7"/>
        <v>0</v>
      </c>
      <c r="I9" s="21">
        <f t="shared" si="8"/>
        <v>-47184643.331095189</v>
      </c>
      <c r="J9" s="21">
        <f t="shared" si="9"/>
        <v>0</v>
      </c>
      <c r="K9" s="21">
        <f t="shared" si="10"/>
        <v>0</v>
      </c>
      <c r="L9" s="21">
        <f t="shared" si="11"/>
        <v>0</v>
      </c>
      <c r="M9" s="31">
        <f>TEA!B$37*TEA!B33</f>
        <v>71478.06117137504</v>
      </c>
      <c r="N9" s="31">
        <f>TEA!C$37*TEA!C33</f>
        <v>69521.216073751915</v>
      </c>
      <c r="O9" s="31">
        <f>TEA!D$37*TEA!D33</f>
        <v>282488.71805999998</v>
      </c>
      <c r="P9" s="31">
        <f>TEA!E$37*TEA!E33</f>
        <v>47878.973999999995</v>
      </c>
      <c r="Q9" s="31"/>
      <c r="R9" s="31">
        <f>TEA!G$37*TEA!G33</f>
        <v>0</v>
      </c>
      <c r="S9" s="31">
        <f>TEA!H$37*TEA!H33</f>
        <v>0</v>
      </c>
      <c r="T9" s="31">
        <f>TEA!I$37*TEA!I33</f>
        <v>3508106.6626632852</v>
      </c>
      <c r="U9" s="31">
        <f>TEA!J$37*TEA!J33</f>
        <v>0</v>
      </c>
      <c r="V9" s="31">
        <f>TEA!K$37*TEA!K33</f>
        <v>0</v>
      </c>
      <c r="W9" s="31">
        <f>TEA!L$37*TEA!L33</f>
        <v>0</v>
      </c>
      <c r="X9" s="20">
        <f>TEA!B$39</f>
        <v>227770.14132656169</v>
      </c>
      <c r="Y9" s="20">
        <f>TEA!C$39</f>
        <v>225585.66473960926</v>
      </c>
      <c r="Z9" s="20">
        <f>TEA!D$39</f>
        <v>463326.77283027547</v>
      </c>
      <c r="AA9" s="20">
        <f>TEA!E$39</f>
        <v>201425.87245114797</v>
      </c>
      <c r="AB9" s="20"/>
      <c r="AC9" s="20">
        <f>TEA!G$39</f>
        <v>0</v>
      </c>
      <c r="AD9" s="20">
        <f>TEA!H$39</f>
        <v>0</v>
      </c>
      <c r="AE9" s="20">
        <f>TEA!I$39</f>
        <v>3961621.0816021687</v>
      </c>
      <c r="AF9" s="20">
        <f>TEA!J$39</f>
        <v>0</v>
      </c>
      <c r="AG9" s="20">
        <f>TEA!K$39</f>
        <v>0</v>
      </c>
      <c r="AH9" s="20">
        <f>TEA!L$39</f>
        <v>0</v>
      </c>
      <c r="AI9" s="21">
        <f>AT8*TEA!$B$19</f>
        <v>72753.610353700584</v>
      </c>
      <c r="AJ9" s="21">
        <f>AU8*TEA!$B$19</f>
        <v>72055.851826141617</v>
      </c>
      <c r="AK9" s="21">
        <f>AV8*TEA!$B$19</f>
        <v>147994.35650611517</v>
      </c>
      <c r="AL9" s="21">
        <f>AW8*TEA!$B$19</f>
        <v>64338.808213032702</v>
      </c>
      <c r="AM9" s="21"/>
      <c r="AN9" s="21">
        <f>AY8*TEA!$B$19</f>
        <v>0</v>
      </c>
      <c r="AO9" s="21">
        <f>AZ8*TEA!$B$19</f>
        <v>0</v>
      </c>
      <c r="AP9" s="21">
        <f>BA8*TEA!$B$19</f>
        <v>1265408.3404490501</v>
      </c>
      <c r="AQ9" s="21">
        <f>BB8*TEA!$B$19</f>
        <v>0</v>
      </c>
      <c r="AR9" s="21">
        <f>BC8*TEA!$B$19</f>
        <v>0</v>
      </c>
      <c r="AS9" s="21">
        <f>BD8*TEA!$B$19</f>
        <v>0</v>
      </c>
      <c r="AT9" s="20">
        <f t="shared" si="27"/>
        <v>754403.59844839619</v>
      </c>
      <c r="AU9" s="20">
        <f t="shared" si="28"/>
        <v>747168.33491330256</v>
      </c>
      <c r="AV9" s="20">
        <f t="shared" si="29"/>
        <v>1534597.0400022794</v>
      </c>
      <c r="AW9" s="20">
        <f t="shared" si="30"/>
        <v>667148.0384247934</v>
      </c>
      <c r="AX9" s="20"/>
      <c r="AY9" s="20">
        <f t="shared" si="31"/>
        <v>0</v>
      </c>
      <c r="AZ9" s="20">
        <f t="shared" si="32"/>
        <v>0</v>
      </c>
      <c r="BA9" s="20">
        <f t="shared" si="33"/>
        <v>13121391.514460007</v>
      </c>
      <c r="BB9" s="20">
        <f t="shared" si="34"/>
        <v>0</v>
      </c>
      <c r="BC9" s="20">
        <f t="shared" si="35"/>
        <v>0</v>
      </c>
      <c r="BD9" s="20">
        <f t="shared" si="36"/>
        <v>0</v>
      </c>
      <c r="BE9" s="21">
        <f>TEA!B$10-TEA!B$43-M9-AI9</f>
        <v>-92419.069101963411</v>
      </c>
      <c r="BF9" s="21">
        <f>TEA!C$10-TEA!C$43-N9-AJ9</f>
        <v>-93699.721619017349</v>
      </c>
      <c r="BG9" s="21" t="e">
        <f>TEA!D$10-TEA!D$43-O9-AK9</f>
        <v>#VALUE!</v>
      </c>
      <c r="BH9" s="21" t="e">
        <f>TEA!E$10-TEA!E$43-P9-AL9</f>
        <v>#VALUE!</v>
      </c>
      <c r="BI9" s="21"/>
      <c r="BJ9" s="21">
        <f>TEA!G$10-TEA!G$43-R9-AN9</f>
        <v>0</v>
      </c>
      <c r="BK9" s="21">
        <f>TEA!H$10-TEA!H$43-S9-AO9</f>
        <v>0</v>
      </c>
      <c r="BL9" s="21">
        <f>TEA!I$10-TEA!I$43-T9-AP9</f>
        <v>-7576764.9004600998</v>
      </c>
      <c r="BM9" s="21">
        <f>TEA!J$10-TEA!J$43-U9-AQ9</f>
        <v>0</v>
      </c>
      <c r="BN9" s="21">
        <f>TEA!K$10-TEA!K$43-V9-AR9</f>
        <v>0</v>
      </c>
      <c r="BO9" s="21">
        <f>TEA!L$10-TEA!L$43-W9-AS9</f>
        <v>0</v>
      </c>
      <c r="BP9" s="21">
        <f t="shared" si="12"/>
        <v>-884879.20314346778</v>
      </c>
      <c r="BQ9" s="21">
        <f t="shared" si="13"/>
        <v>-882485.21772497438</v>
      </c>
      <c r="BR9" s="21" t="e">
        <f t="shared" si="14"/>
        <v>#VALUE!</v>
      </c>
      <c r="BS9" s="21" t="e">
        <f t="shared" si="15"/>
        <v>#VALUE!</v>
      </c>
      <c r="BT9" s="21"/>
      <c r="BU9" s="21">
        <f t="shared" si="16"/>
        <v>0</v>
      </c>
      <c r="BV9" s="21">
        <f t="shared" si="16"/>
        <v>0</v>
      </c>
      <c r="BW9" s="21">
        <f t="shared" si="16"/>
        <v>-53686112.893964089</v>
      </c>
      <c r="BX9" s="21">
        <f t="shared" si="16"/>
        <v>0</v>
      </c>
      <c r="BY9" s="21">
        <f t="shared" si="16"/>
        <v>0</v>
      </c>
      <c r="BZ9" s="21">
        <f t="shared" si="16"/>
        <v>0</v>
      </c>
      <c r="CA9" s="21">
        <f t="shared" si="17"/>
        <v>-977298.2722454312</v>
      </c>
      <c r="CB9" s="21">
        <f t="shared" si="18"/>
        <v>-976184.93934399169</v>
      </c>
      <c r="CC9" s="21" t="e">
        <f t="shared" si="19"/>
        <v>#VALUE!</v>
      </c>
      <c r="CD9" s="21" t="e">
        <f t="shared" si="20"/>
        <v>#VALUE!</v>
      </c>
      <c r="CE9" s="21"/>
      <c r="CF9" s="21">
        <f t="shared" si="21"/>
        <v>0</v>
      </c>
      <c r="CG9" s="21">
        <f t="shared" si="22"/>
        <v>0</v>
      </c>
      <c r="CH9" s="21">
        <f t="shared" si="23"/>
        <v>-61262877.794424191</v>
      </c>
      <c r="CI9" s="21">
        <f t="shared" si="24"/>
        <v>0</v>
      </c>
      <c r="CJ9" s="21">
        <f t="shared" si="25"/>
        <v>0</v>
      </c>
      <c r="CK9" s="21">
        <f t="shared" si="26"/>
        <v>0</v>
      </c>
      <c r="CL9" s="21">
        <f>IF(CA9&gt;0,CA9*TEA!B$17-TEA!B$24,0)</f>
        <v>0</v>
      </c>
      <c r="CM9" s="21">
        <f>IF(CB9&gt;0,CB9*TEA!C$17-TEA!C$24,0)</f>
        <v>0</v>
      </c>
      <c r="CN9" s="21" t="e">
        <f>IF(CC9&gt;0,CC9*TEA!D$17-TEA!D$24,0)</f>
        <v>#VALUE!</v>
      </c>
      <c r="CO9" s="21" t="e">
        <f>IF(CD9&gt;0,CD9*TEA!E$17-TEA!E$24,0)</f>
        <v>#VALUE!</v>
      </c>
      <c r="CP9" s="21"/>
      <c r="CQ9" s="21">
        <f>IF(CF9&gt;0,CF9*TEA!G$17-TEA!G$24,0)</f>
        <v>0</v>
      </c>
      <c r="CR9" s="21">
        <f>IF(CG9&gt;0,CG9*TEA!H$17-TEA!H$24,0)</f>
        <v>0</v>
      </c>
      <c r="CS9" s="21">
        <f>IF(CH9&gt;0,CH9*TEA!I$17-TEA!I$24,0)</f>
        <v>0</v>
      </c>
      <c r="CT9" s="21">
        <f>IF(CI9&gt;0,CI9*TEA!J$17-TEA!J$24,0)</f>
        <v>0</v>
      </c>
      <c r="CU9" s="21">
        <f>IF(CJ9&gt;0,CJ9*TEA!K$17-TEA!K$24,0)</f>
        <v>0</v>
      </c>
      <c r="CV9" s="21">
        <f>IF(CK9&gt;0,CK9*TEA!L$17-TEA!L$24,0)</f>
        <v>0</v>
      </c>
      <c r="CW9" s="21">
        <f>TEA!B$10-TEA!B$43-X9-CL9</f>
        <v>-175957.53890344949</v>
      </c>
      <c r="CX9" s="21">
        <f>TEA!C$10-TEA!C$43-Y9-CM9</f>
        <v>-177708.31845873309</v>
      </c>
      <c r="CY9" s="21" t="e">
        <f>TEA!D$10-TEA!D$43-Z9-CN9</f>
        <v>#VALUE!</v>
      </c>
      <c r="CZ9" s="21" t="e">
        <f>TEA!E$10-TEA!E$43-AA9-CO9</f>
        <v>#VALUE!</v>
      </c>
      <c r="DA9" s="21"/>
      <c r="DB9" s="21">
        <f>TEA!G$10-TEA!G$43-AC9-CQ9</f>
        <v>0</v>
      </c>
      <c r="DC9" s="21">
        <f>TEA!H$10-TEA!H$43-AD9-CR9</f>
        <v>0</v>
      </c>
      <c r="DD9" s="21">
        <f>TEA!I$10-TEA!I$43-AE9-CS9</f>
        <v>-6764870.9789499333</v>
      </c>
      <c r="DE9" s="21">
        <f>TEA!J$10-TEA!J$43-AF9-CT9</f>
        <v>0</v>
      </c>
      <c r="DF9" s="21">
        <f>TEA!K$10-TEA!K$43-AG9-CU9</f>
        <v>0</v>
      </c>
      <c r="DG9" s="21">
        <f>TEA!L$10-TEA!L$43-AH9-CV9</f>
        <v>0</v>
      </c>
      <c r="DH9" s="21">
        <f>CW9/(1+TEA!B$16)^$A9</f>
        <v>-99323.443507420525</v>
      </c>
      <c r="DI9" s="21">
        <f>CX9/(1+TEA!C$16)^$A9</f>
        <v>-100311.71292364926</v>
      </c>
      <c r="DJ9" s="21" t="e">
        <f>CY9/(1+TEA!D$16)^$A9</f>
        <v>#VALUE!</v>
      </c>
      <c r="DK9" s="21" t="e">
        <f>CZ9/(1+TEA!E$16)^$A9</f>
        <v>#VALUE!</v>
      </c>
      <c r="DL9" s="21"/>
      <c r="DM9" s="21">
        <f>DB9/(1+TEA!G$16)^$A9</f>
        <v>0</v>
      </c>
      <c r="DN9" s="21">
        <f>DC9/(1+TEA!H$16)^$A9</f>
        <v>0</v>
      </c>
      <c r="DO9" s="21">
        <f>DD9/(1+TEA!I$16)^$A9</f>
        <v>-3818593.3077946119</v>
      </c>
      <c r="DP9" s="21">
        <f>DE9/(1+TEA!J$16)^$A9</f>
        <v>0</v>
      </c>
      <c r="DQ9" s="21">
        <f>DF9/(1+TEA!K$16)^$A9</f>
        <v>0</v>
      </c>
      <c r="DR9" s="21">
        <f>DG9/(1+TEA!L$16)^$A9</f>
        <v>0</v>
      </c>
    </row>
    <row r="10" spans="1:122" x14ac:dyDescent="0.25">
      <c r="A10" s="4">
        <f t="shared" si="1"/>
        <v>7</v>
      </c>
      <c r="B10" s="21">
        <f t="shared" si="2"/>
        <v>-1875539.11921224</v>
      </c>
      <c r="C10" s="21">
        <f t="shared" si="3"/>
        <v>-1874290.6368697933</v>
      </c>
      <c r="D10" s="21" t="e">
        <f t="shared" si="4"/>
        <v>#VALUE!</v>
      </c>
      <c r="E10" s="21" t="e">
        <f t="shared" si="5"/>
        <v>#VALUE!</v>
      </c>
      <c r="F10" s="21"/>
      <c r="G10" s="21">
        <f t="shared" si="6"/>
        <v>0</v>
      </c>
      <c r="H10" s="21">
        <f t="shared" si="7"/>
        <v>0</v>
      </c>
      <c r="I10" s="21">
        <f t="shared" si="8"/>
        <v>-50656091.792726651</v>
      </c>
      <c r="J10" s="21">
        <f t="shared" si="9"/>
        <v>0</v>
      </c>
      <c r="K10" s="21">
        <f t="shared" si="10"/>
        <v>0</v>
      </c>
      <c r="L10" s="21">
        <f t="shared" si="11"/>
        <v>0</v>
      </c>
      <c r="M10" s="31">
        <f>TEA!B$37*TEA!B34</f>
        <v>71478.06117137504</v>
      </c>
      <c r="N10" s="31">
        <f>TEA!C$37*TEA!C34</f>
        <v>69521.216073751915</v>
      </c>
      <c r="O10" s="31">
        <f>TEA!D$37*TEA!D34</f>
        <v>282488.71805999998</v>
      </c>
      <c r="P10" s="31">
        <f>TEA!E$37*TEA!E34</f>
        <v>47878.973999999995</v>
      </c>
      <c r="Q10" s="31"/>
      <c r="R10" s="31">
        <f>TEA!G$37*TEA!G34</f>
        <v>0</v>
      </c>
      <c r="S10" s="31">
        <f>TEA!H$37*TEA!H34</f>
        <v>0</v>
      </c>
      <c r="T10" s="31">
        <f>TEA!I$37*TEA!I34</f>
        <v>3508106.6626632852</v>
      </c>
      <c r="U10" s="31">
        <f>TEA!J$37*TEA!J34</f>
        <v>0</v>
      </c>
      <c r="V10" s="31">
        <f>TEA!K$37*TEA!K34</f>
        <v>0</v>
      </c>
      <c r="W10" s="31">
        <f>TEA!L$37*TEA!L34</f>
        <v>0</v>
      </c>
      <c r="X10" s="20">
        <f>TEA!B$39</f>
        <v>227770.14132656169</v>
      </c>
      <c r="Y10" s="20">
        <f>TEA!C$39</f>
        <v>225585.66473960926</v>
      </c>
      <c r="Z10" s="20">
        <f>TEA!D$39</f>
        <v>463326.77283027547</v>
      </c>
      <c r="AA10" s="20">
        <f>TEA!E$39</f>
        <v>201425.87245114797</v>
      </c>
      <c r="AB10" s="20"/>
      <c r="AC10" s="20">
        <f>TEA!G$39</f>
        <v>0</v>
      </c>
      <c r="AD10" s="20">
        <f>TEA!H$39</f>
        <v>0</v>
      </c>
      <c r="AE10" s="20">
        <f>TEA!I$39</f>
        <v>3961621.0816021687</v>
      </c>
      <c r="AF10" s="20">
        <f>TEA!J$39</f>
        <v>0</v>
      </c>
      <c r="AG10" s="20">
        <f>TEA!K$39</f>
        <v>0</v>
      </c>
      <c r="AH10" s="20">
        <f>TEA!L$39</f>
        <v>0</v>
      </c>
      <c r="AI10" s="21">
        <f>AT9*TEA!$B$19</f>
        <v>60352.287875871698</v>
      </c>
      <c r="AJ10" s="21">
        <f>AU9*TEA!$B$19</f>
        <v>59773.466793064203</v>
      </c>
      <c r="AK10" s="21">
        <f>AV9*TEA!$B$19</f>
        <v>122767.76320018235</v>
      </c>
      <c r="AL10" s="21">
        <f>AW9*TEA!$B$19</f>
        <v>53371.843073983473</v>
      </c>
      <c r="AM10" s="21"/>
      <c r="AN10" s="21">
        <f>AY9*TEA!$B$19</f>
        <v>0</v>
      </c>
      <c r="AO10" s="21">
        <f>AZ9*TEA!$B$19</f>
        <v>0</v>
      </c>
      <c r="AP10" s="21">
        <f>BA9*TEA!$B$19</f>
        <v>1049711.3211568005</v>
      </c>
      <c r="AQ10" s="21">
        <f>BB9*TEA!$B$19</f>
        <v>0</v>
      </c>
      <c r="AR10" s="21">
        <f>BC9*TEA!$B$19</f>
        <v>0</v>
      </c>
      <c r="AS10" s="21">
        <f>BD9*TEA!$B$19</f>
        <v>0</v>
      </c>
      <c r="AT10" s="20">
        <f t="shared" si="27"/>
        <v>586985.74499770626</v>
      </c>
      <c r="AU10" s="20">
        <f t="shared" si="28"/>
        <v>581356.13696675748</v>
      </c>
      <c r="AV10" s="20">
        <f t="shared" si="29"/>
        <v>1194038.0303721866</v>
      </c>
      <c r="AW10" s="20">
        <f t="shared" si="30"/>
        <v>519094.00904762885</v>
      </c>
      <c r="AX10" s="20"/>
      <c r="AY10" s="20">
        <f t="shared" si="31"/>
        <v>0</v>
      </c>
      <c r="AZ10" s="20">
        <f t="shared" si="32"/>
        <v>0</v>
      </c>
      <c r="BA10" s="20">
        <f t="shared" si="33"/>
        <v>10209481.754014637</v>
      </c>
      <c r="BB10" s="20">
        <f t="shared" si="34"/>
        <v>0</v>
      </c>
      <c r="BC10" s="20">
        <f t="shared" si="35"/>
        <v>0</v>
      </c>
      <c r="BD10" s="20">
        <f t="shared" si="36"/>
        <v>0</v>
      </c>
      <c r="BE10" s="21">
        <f>TEA!B$10-TEA!B$43-M10-AI10</f>
        <v>-80017.746624134525</v>
      </c>
      <c r="BF10" s="21">
        <f>TEA!C$10-TEA!C$43-N10-AJ10</f>
        <v>-81417.336585939935</v>
      </c>
      <c r="BG10" s="21" t="e">
        <f>TEA!D$10-TEA!D$43-O10-AK10</f>
        <v>#VALUE!</v>
      </c>
      <c r="BH10" s="21" t="e">
        <f>TEA!E$10-TEA!E$43-P10-AL10</f>
        <v>#VALUE!</v>
      </c>
      <c r="BI10" s="21"/>
      <c r="BJ10" s="21">
        <f>TEA!G$10-TEA!G$43-R10-AN10</f>
        <v>0</v>
      </c>
      <c r="BK10" s="21">
        <f>TEA!H$10-TEA!H$43-S10-AO10</f>
        <v>0</v>
      </c>
      <c r="BL10" s="21">
        <f>TEA!I$10-TEA!I$43-T10-AP10</f>
        <v>-7361067.8811678505</v>
      </c>
      <c r="BM10" s="21">
        <f>TEA!J$10-TEA!J$43-U10-AQ10</f>
        <v>0</v>
      </c>
      <c r="BN10" s="21">
        <f>TEA!K$10-TEA!K$43-V10-AR10</f>
        <v>0</v>
      </c>
      <c r="BO10" s="21">
        <f>TEA!L$10-TEA!L$43-W10-AS10</f>
        <v>0</v>
      </c>
      <c r="BP10" s="21">
        <f t="shared" si="12"/>
        <v>-977298.2722454312</v>
      </c>
      <c r="BQ10" s="21">
        <f t="shared" si="13"/>
        <v>-976184.93934399169</v>
      </c>
      <c r="BR10" s="21" t="e">
        <f t="shared" si="14"/>
        <v>#VALUE!</v>
      </c>
      <c r="BS10" s="21" t="e">
        <f t="shared" si="15"/>
        <v>#VALUE!</v>
      </c>
      <c r="BT10" s="21"/>
      <c r="BU10" s="21">
        <f t="shared" si="16"/>
        <v>0</v>
      </c>
      <c r="BV10" s="21">
        <f t="shared" si="16"/>
        <v>0</v>
      </c>
      <c r="BW10" s="21">
        <f t="shared" si="16"/>
        <v>-61262877.794424191</v>
      </c>
      <c r="BX10" s="21">
        <f t="shared" si="16"/>
        <v>0</v>
      </c>
      <c r="BY10" s="21">
        <f t="shared" si="16"/>
        <v>0</v>
      </c>
      <c r="BZ10" s="21">
        <f t="shared" si="16"/>
        <v>0</v>
      </c>
      <c r="CA10" s="21">
        <f t="shared" si="17"/>
        <v>-1057316.0188695658</v>
      </c>
      <c r="CB10" s="21">
        <f t="shared" si="18"/>
        <v>-1057602.2759299316</v>
      </c>
      <c r="CC10" s="21" t="e">
        <f t="shared" si="19"/>
        <v>#VALUE!</v>
      </c>
      <c r="CD10" s="21" t="e">
        <f t="shared" si="20"/>
        <v>#VALUE!</v>
      </c>
      <c r="CE10" s="21"/>
      <c r="CF10" s="21">
        <f t="shared" si="21"/>
        <v>0</v>
      </c>
      <c r="CG10" s="21">
        <f t="shared" si="22"/>
        <v>0</v>
      </c>
      <c r="CH10" s="21">
        <f t="shared" si="23"/>
        <v>-68623945.675592035</v>
      </c>
      <c r="CI10" s="21">
        <f t="shared" si="24"/>
        <v>0</v>
      </c>
      <c r="CJ10" s="21">
        <f t="shared" si="25"/>
        <v>0</v>
      </c>
      <c r="CK10" s="21">
        <f t="shared" si="26"/>
        <v>0</v>
      </c>
      <c r="CL10" s="21">
        <f>IF(CA10&gt;0,CA10*TEA!B$17-TEA!B$24,0)</f>
        <v>0</v>
      </c>
      <c r="CM10" s="21">
        <f>IF(CB10&gt;0,CB10*TEA!C$17-TEA!C$24,0)</f>
        <v>0</v>
      </c>
      <c r="CN10" s="21" t="e">
        <f>IF(CC10&gt;0,CC10*TEA!D$17-TEA!D$24,0)</f>
        <v>#VALUE!</v>
      </c>
      <c r="CO10" s="21" t="e">
        <f>IF(CD10&gt;0,CD10*TEA!E$17-TEA!E$24,0)</f>
        <v>#VALUE!</v>
      </c>
      <c r="CP10" s="21"/>
      <c r="CQ10" s="21">
        <f>IF(CF10&gt;0,CF10*TEA!G$17-TEA!G$24,0)</f>
        <v>0</v>
      </c>
      <c r="CR10" s="21">
        <f>IF(CG10&gt;0,CG10*TEA!H$17-TEA!H$24,0)</f>
        <v>0</v>
      </c>
      <c r="CS10" s="21">
        <f>IF(CH10&gt;0,CH10*TEA!I$17-TEA!I$24,0)</f>
        <v>0</v>
      </c>
      <c r="CT10" s="21">
        <f>IF(CI10&gt;0,CI10*TEA!J$17-TEA!J$24,0)</f>
        <v>0</v>
      </c>
      <c r="CU10" s="21">
        <f>IF(CJ10&gt;0,CJ10*TEA!K$17-TEA!K$24,0)</f>
        <v>0</v>
      </c>
      <c r="CV10" s="21">
        <f>IF(CK10&gt;0,CK10*TEA!L$17-TEA!L$24,0)</f>
        <v>0</v>
      </c>
      <c r="CW10" s="21">
        <f>TEA!B$10-TEA!B$43-X10-CL10</f>
        <v>-175957.53890344949</v>
      </c>
      <c r="CX10" s="21">
        <f>TEA!C$10-TEA!C$43-Y10-CM10</f>
        <v>-177708.31845873309</v>
      </c>
      <c r="CY10" s="21" t="e">
        <f>TEA!D$10-TEA!D$43-Z10-CN10</f>
        <v>#VALUE!</v>
      </c>
      <c r="CZ10" s="21" t="e">
        <f>TEA!E$10-TEA!E$43-AA10-CO10</f>
        <v>#VALUE!</v>
      </c>
      <c r="DA10" s="21"/>
      <c r="DB10" s="21">
        <f>TEA!G$10-TEA!G$43-AC10-CQ10</f>
        <v>0</v>
      </c>
      <c r="DC10" s="21">
        <f>TEA!H$10-TEA!H$43-AD10-CR10</f>
        <v>0</v>
      </c>
      <c r="DD10" s="21">
        <f>TEA!I$10-TEA!I$43-AE10-CS10</f>
        <v>-6764870.9789499333</v>
      </c>
      <c r="DE10" s="21">
        <f>TEA!J$10-TEA!J$43-AF10-CT10</f>
        <v>0</v>
      </c>
      <c r="DF10" s="21">
        <f>TEA!K$10-TEA!K$43-AG10-CU10</f>
        <v>0</v>
      </c>
      <c r="DG10" s="21">
        <f>TEA!L$10-TEA!L$43-AH10-CV10</f>
        <v>0</v>
      </c>
      <c r="DH10" s="21">
        <f>CW10/(1+TEA!B$16)^$A10</f>
        <v>-90294.039552200455</v>
      </c>
      <c r="DI10" s="21">
        <f>CX10/(1+TEA!C$16)^$A10</f>
        <v>-91192.466294226586</v>
      </c>
      <c r="DJ10" s="21" t="e">
        <f>CY10/(1+TEA!D$16)^$A10</f>
        <v>#VALUE!</v>
      </c>
      <c r="DK10" s="21" t="e">
        <f>CZ10/(1+TEA!E$16)^$A10</f>
        <v>#VALUE!</v>
      </c>
      <c r="DL10" s="21"/>
      <c r="DM10" s="21">
        <f>DB10/(1+TEA!G$16)^$A10</f>
        <v>0</v>
      </c>
      <c r="DN10" s="21">
        <f>DC10/(1+TEA!H$16)^$A10</f>
        <v>0</v>
      </c>
      <c r="DO10" s="21">
        <f>DD10/(1+TEA!I$16)^$A10</f>
        <v>-3471448.4616314648</v>
      </c>
      <c r="DP10" s="21">
        <f>DE10/(1+TEA!J$16)^$A10</f>
        <v>0</v>
      </c>
      <c r="DQ10" s="21">
        <f>DF10/(1+TEA!K$16)^$A10</f>
        <v>0</v>
      </c>
      <c r="DR10" s="21">
        <f>DG10/(1+TEA!L$16)^$A10</f>
        <v>0</v>
      </c>
    </row>
    <row r="11" spans="1:122" x14ac:dyDescent="0.25">
      <c r="A11" s="4">
        <f t="shared" si="1"/>
        <v>8</v>
      </c>
      <c r="B11" s="21">
        <f t="shared" si="2"/>
        <v>-1957624.6097142403</v>
      </c>
      <c r="C11" s="21">
        <f t="shared" si="3"/>
        <v>-1957192.8789554539</v>
      </c>
      <c r="D11" s="21" t="e">
        <f t="shared" si="4"/>
        <v>#VALUE!</v>
      </c>
      <c r="E11" s="21" t="e">
        <f t="shared" si="5"/>
        <v>#VALUE!</v>
      </c>
      <c r="F11" s="21"/>
      <c r="G11" s="21">
        <f t="shared" si="6"/>
        <v>0</v>
      </c>
      <c r="H11" s="21">
        <f t="shared" si="7"/>
        <v>0</v>
      </c>
      <c r="I11" s="21">
        <f t="shared" si="8"/>
        <v>-53811954.030573435</v>
      </c>
      <c r="J11" s="21">
        <f t="shared" si="9"/>
        <v>0</v>
      </c>
      <c r="K11" s="21">
        <f t="shared" si="10"/>
        <v>0</v>
      </c>
      <c r="L11" s="21">
        <f t="shared" si="11"/>
        <v>0</v>
      </c>
      <c r="M11" s="31">
        <f>TEA!B$37*TEA!B35</f>
        <v>36140.592727099742</v>
      </c>
      <c r="N11" s="31">
        <f>TEA!C$37*TEA!C35</f>
        <v>35151.176666503779</v>
      </c>
      <c r="O11" s="31">
        <f>TEA!D$37*TEA!D35</f>
        <v>142831.3743</v>
      </c>
      <c r="P11" s="31">
        <f>TEA!E$37*TEA!E35</f>
        <v>24208.469999999998</v>
      </c>
      <c r="Q11" s="31"/>
      <c r="R11" s="31">
        <f>TEA!G$37*TEA!G35</f>
        <v>0</v>
      </c>
      <c r="S11" s="31">
        <f>TEA!H$37*TEA!H35</f>
        <v>0</v>
      </c>
      <c r="T11" s="31">
        <f>TEA!I$37*TEA!I35</f>
        <v>1773761.7957286274</v>
      </c>
      <c r="U11" s="31">
        <f>TEA!J$37*TEA!J35</f>
        <v>0</v>
      </c>
      <c r="V11" s="31">
        <f>TEA!K$37*TEA!K35</f>
        <v>0</v>
      </c>
      <c r="W11" s="31">
        <f>TEA!L$37*TEA!L35</f>
        <v>0</v>
      </c>
      <c r="X11" s="20">
        <f>TEA!B$39</f>
        <v>227770.14132656169</v>
      </c>
      <c r="Y11" s="20">
        <f>TEA!C$39</f>
        <v>225585.66473960926</v>
      </c>
      <c r="Z11" s="20">
        <f>TEA!D$39</f>
        <v>463326.77283027547</v>
      </c>
      <c r="AA11" s="20">
        <f>TEA!E$39</f>
        <v>201425.87245114797</v>
      </c>
      <c r="AB11" s="20"/>
      <c r="AC11" s="20">
        <f>TEA!G$39</f>
        <v>0</v>
      </c>
      <c r="AD11" s="20">
        <f>TEA!H$39</f>
        <v>0</v>
      </c>
      <c r="AE11" s="20">
        <f>TEA!I$39</f>
        <v>3961621.0816021687</v>
      </c>
      <c r="AF11" s="20">
        <f>TEA!J$39</f>
        <v>0</v>
      </c>
      <c r="AG11" s="20">
        <f>TEA!K$39</f>
        <v>0</v>
      </c>
      <c r="AH11" s="20">
        <f>TEA!L$39</f>
        <v>0</v>
      </c>
      <c r="AI11" s="21">
        <f>AT10*TEA!$B$19</f>
        <v>46958.859599816504</v>
      </c>
      <c r="AJ11" s="21">
        <f>AU10*TEA!$B$19</f>
        <v>46508.490957340597</v>
      </c>
      <c r="AK11" s="21">
        <f>AV10*TEA!$B$19</f>
        <v>95523.042429774927</v>
      </c>
      <c r="AL11" s="21">
        <f>AW10*TEA!$B$19</f>
        <v>41527.52072381031</v>
      </c>
      <c r="AM11" s="21"/>
      <c r="AN11" s="21">
        <f>AY10*TEA!$B$19</f>
        <v>0</v>
      </c>
      <c r="AO11" s="21">
        <f>AZ10*TEA!$B$19</f>
        <v>0</v>
      </c>
      <c r="AP11" s="21">
        <f>BA10*TEA!$B$19</f>
        <v>816758.54032117105</v>
      </c>
      <c r="AQ11" s="21">
        <f>BB10*TEA!$B$19</f>
        <v>0</v>
      </c>
      <c r="AR11" s="21">
        <f>BC10*TEA!$B$19</f>
        <v>0</v>
      </c>
      <c r="AS11" s="21">
        <f>BD10*TEA!$B$19</f>
        <v>0</v>
      </c>
      <c r="AT11" s="20">
        <f t="shared" si="27"/>
        <v>406174.46327096107</v>
      </c>
      <c r="AU11" s="20">
        <f t="shared" si="28"/>
        <v>402278.96318448882</v>
      </c>
      <c r="AV11" s="20">
        <f t="shared" si="29"/>
        <v>826234.29997168598</v>
      </c>
      <c r="AW11" s="20">
        <f t="shared" si="30"/>
        <v>359195.65732029115</v>
      </c>
      <c r="AX11" s="20"/>
      <c r="AY11" s="20">
        <f t="shared" si="31"/>
        <v>0</v>
      </c>
      <c r="AZ11" s="20">
        <f t="shared" si="32"/>
        <v>0</v>
      </c>
      <c r="BA11" s="20">
        <f t="shared" si="33"/>
        <v>7064619.2127336394</v>
      </c>
      <c r="BB11" s="20">
        <f t="shared" si="34"/>
        <v>0</v>
      </c>
      <c r="BC11" s="20">
        <f t="shared" si="35"/>
        <v>0</v>
      </c>
      <c r="BD11" s="20">
        <f t="shared" si="36"/>
        <v>0</v>
      </c>
      <c r="BE11" s="21">
        <f>TEA!B$10-TEA!B$43-M11-AI11</f>
        <v>-31286.849903804032</v>
      </c>
      <c r="BF11" s="21">
        <f>TEA!C$10-TEA!C$43-N11-AJ11</f>
        <v>-33782.321342968193</v>
      </c>
      <c r="BG11" s="21" t="e">
        <f>TEA!D$10-TEA!D$43-O11-AK11</f>
        <v>#VALUE!</v>
      </c>
      <c r="BH11" s="21" t="e">
        <f>TEA!E$10-TEA!E$43-P11-AL11</f>
        <v>#VALUE!</v>
      </c>
      <c r="BI11" s="21"/>
      <c r="BJ11" s="21">
        <f>TEA!G$10-TEA!G$43-R11-AN11</f>
        <v>0</v>
      </c>
      <c r="BK11" s="21">
        <f>TEA!H$10-TEA!H$43-S11-AO11</f>
        <v>0</v>
      </c>
      <c r="BL11" s="21">
        <f>TEA!I$10-TEA!I$43-T11-AP11</f>
        <v>-5393770.233397563</v>
      </c>
      <c r="BM11" s="21">
        <f>TEA!J$10-TEA!J$43-U11-AQ11</f>
        <v>0</v>
      </c>
      <c r="BN11" s="21">
        <f>TEA!K$10-TEA!K$43-V11-AR11</f>
        <v>0</v>
      </c>
      <c r="BO11" s="21">
        <f>TEA!L$10-TEA!L$43-W11-AS11</f>
        <v>0</v>
      </c>
      <c r="BP11" s="21">
        <f t="shared" si="12"/>
        <v>-1057316.0188695658</v>
      </c>
      <c r="BQ11" s="21">
        <f t="shared" si="13"/>
        <v>-1057602.2759299316</v>
      </c>
      <c r="BR11" s="21" t="e">
        <f t="shared" si="14"/>
        <v>#VALUE!</v>
      </c>
      <c r="BS11" s="21" t="e">
        <f t="shared" si="15"/>
        <v>#VALUE!</v>
      </c>
      <c r="BT11" s="21"/>
      <c r="BU11" s="21">
        <f t="shared" si="16"/>
        <v>0</v>
      </c>
      <c r="BV11" s="21">
        <f t="shared" si="16"/>
        <v>0</v>
      </c>
      <c r="BW11" s="21">
        <f t="shared" si="16"/>
        <v>-68623945.675592035</v>
      </c>
      <c r="BX11" s="21">
        <f t="shared" si="16"/>
        <v>0</v>
      </c>
      <c r="BY11" s="21">
        <f t="shared" si="16"/>
        <v>0</v>
      </c>
      <c r="BZ11" s="21">
        <f t="shared" si="16"/>
        <v>0</v>
      </c>
      <c r="CA11" s="21">
        <f t="shared" si="17"/>
        <v>-1088602.8687733698</v>
      </c>
      <c r="CB11" s="21">
        <f t="shared" si="18"/>
        <v>-1091384.5972728997</v>
      </c>
      <c r="CC11" s="21" t="e">
        <f t="shared" si="19"/>
        <v>#VALUE!</v>
      </c>
      <c r="CD11" s="21" t="e">
        <f t="shared" si="20"/>
        <v>#VALUE!</v>
      </c>
      <c r="CE11" s="21"/>
      <c r="CF11" s="21">
        <f t="shared" si="21"/>
        <v>0</v>
      </c>
      <c r="CG11" s="21">
        <f t="shared" si="22"/>
        <v>0</v>
      </c>
      <c r="CH11" s="21">
        <f t="shared" si="23"/>
        <v>-74017715.908989593</v>
      </c>
      <c r="CI11" s="21">
        <f t="shared" si="24"/>
        <v>0</v>
      </c>
      <c r="CJ11" s="21">
        <f t="shared" si="25"/>
        <v>0</v>
      </c>
      <c r="CK11" s="21">
        <f t="shared" si="26"/>
        <v>0</v>
      </c>
      <c r="CL11" s="21">
        <f>IF(CA11&gt;0,CA11*TEA!B$17-TEA!B$24,0)</f>
        <v>0</v>
      </c>
      <c r="CM11" s="21">
        <f>IF(CB11&gt;0,CB11*TEA!C$17-TEA!C$24,0)</f>
        <v>0</v>
      </c>
      <c r="CN11" s="21" t="e">
        <f>IF(CC11&gt;0,CC11*TEA!D$17-TEA!D$24,0)</f>
        <v>#VALUE!</v>
      </c>
      <c r="CO11" s="21" t="e">
        <f>IF(CD11&gt;0,CD11*TEA!E$17-TEA!E$24,0)</f>
        <v>#VALUE!</v>
      </c>
      <c r="CP11" s="21"/>
      <c r="CQ11" s="21">
        <f>IF(CF11&gt;0,CF11*TEA!G$17-TEA!G$24,0)</f>
        <v>0</v>
      </c>
      <c r="CR11" s="21">
        <f>IF(CG11&gt;0,CG11*TEA!H$17-TEA!H$24,0)</f>
        <v>0</v>
      </c>
      <c r="CS11" s="21">
        <f>IF(CH11&gt;0,CH11*TEA!I$17-TEA!I$24,0)</f>
        <v>0</v>
      </c>
      <c r="CT11" s="21">
        <f>IF(CI11&gt;0,CI11*TEA!J$17-TEA!J$24,0)</f>
        <v>0</v>
      </c>
      <c r="CU11" s="21">
        <f>IF(CJ11&gt;0,CJ11*TEA!K$17-TEA!K$24,0)</f>
        <v>0</v>
      </c>
      <c r="CV11" s="21">
        <f>IF(CK11&gt;0,CK11*TEA!L$17-TEA!L$24,0)</f>
        <v>0</v>
      </c>
      <c r="CW11" s="21">
        <f>TEA!B$10-TEA!B$43-X11-CL11</f>
        <v>-175957.53890344949</v>
      </c>
      <c r="CX11" s="21">
        <f>TEA!C$10-TEA!C$43-Y11-CM11</f>
        <v>-177708.31845873309</v>
      </c>
      <c r="CY11" s="21" t="e">
        <f>TEA!D$10-TEA!D$43-Z11-CN11</f>
        <v>#VALUE!</v>
      </c>
      <c r="CZ11" s="21" t="e">
        <f>TEA!E$10-TEA!E$43-AA11-CO11</f>
        <v>#VALUE!</v>
      </c>
      <c r="DA11" s="21"/>
      <c r="DB11" s="21">
        <f>TEA!G$10-TEA!G$43-AC11-CQ11</f>
        <v>0</v>
      </c>
      <c r="DC11" s="21">
        <f>TEA!H$10-TEA!H$43-AD11-CR11</f>
        <v>0</v>
      </c>
      <c r="DD11" s="21">
        <f>TEA!I$10-TEA!I$43-AE11-CS11</f>
        <v>-6764870.9789499333</v>
      </c>
      <c r="DE11" s="21">
        <f>TEA!J$10-TEA!J$43-AF11-CT11</f>
        <v>0</v>
      </c>
      <c r="DF11" s="21">
        <f>TEA!K$10-TEA!K$43-AG11-CU11</f>
        <v>0</v>
      </c>
      <c r="DG11" s="21">
        <f>TEA!L$10-TEA!L$43-AH11-CV11</f>
        <v>0</v>
      </c>
      <c r="DH11" s="21">
        <f>CW11/(1+TEA!B$16)^$A11</f>
        <v>-82085.490502000423</v>
      </c>
      <c r="DI11" s="21">
        <f>CX11/(1+TEA!C$16)^$A11</f>
        <v>-82902.242085660546</v>
      </c>
      <c r="DJ11" s="21" t="e">
        <f>CY11/(1+TEA!D$16)^$A11</f>
        <v>#VALUE!</v>
      </c>
      <c r="DK11" s="21" t="e">
        <f>CZ11/(1+TEA!E$16)^$A11</f>
        <v>#VALUE!</v>
      </c>
      <c r="DL11" s="21"/>
      <c r="DM11" s="21">
        <f>DB11/(1+TEA!G$16)^$A11</f>
        <v>0</v>
      </c>
      <c r="DN11" s="21">
        <f>DC11/(1+TEA!H$16)^$A11</f>
        <v>0</v>
      </c>
      <c r="DO11" s="21">
        <f>DD11/(1+TEA!I$16)^$A11</f>
        <v>-3155862.2378467862</v>
      </c>
      <c r="DP11" s="21">
        <f>DE11/(1+TEA!J$16)^$A11</f>
        <v>0</v>
      </c>
      <c r="DQ11" s="21">
        <f>DF11/(1+TEA!K$16)^$A11</f>
        <v>0</v>
      </c>
      <c r="DR11" s="21">
        <f>DG11/(1+TEA!L$16)^$A11</f>
        <v>0</v>
      </c>
    </row>
    <row r="12" spans="1:122" x14ac:dyDescent="0.25">
      <c r="A12" s="4">
        <f t="shared" si="1"/>
        <v>9</v>
      </c>
      <c r="B12" s="21">
        <f t="shared" si="2"/>
        <v>-2032247.782897877</v>
      </c>
      <c r="C12" s="21">
        <f t="shared" si="3"/>
        <v>-2032558.5535787817</v>
      </c>
      <c r="D12" s="21" t="e">
        <f t="shared" si="4"/>
        <v>#VALUE!</v>
      </c>
      <c r="E12" s="21" t="e">
        <f t="shared" si="5"/>
        <v>#VALUE!</v>
      </c>
      <c r="F12" s="21"/>
      <c r="G12" s="21">
        <f t="shared" si="6"/>
        <v>0</v>
      </c>
      <c r="H12" s="21">
        <f t="shared" si="7"/>
        <v>0</v>
      </c>
      <c r="I12" s="21">
        <f t="shared" si="8"/>
        <v>-56680919.701343238</v>
      </c>
      <c r="J12" s="21">
        <f t="shared" si="9"/>
        <v>0</v>
      </c>
      <c r="K12" s="21">
        <f t="shared" si="10"/>
        <v>0</v>
      </c>
      <c r="L12" s="21">
        <f t="shared" si="11"/>
        <v>0</v>
      </c>
      <c r="M12" s="32"/>
      <c r="X12" s="20">
        <f>TEA!B$39</f>
        <v>227770.14132656169</v>
      </c>
      <c r="Y12" s="20">
        <f>TEA!C$39</f>
        <v>225585.66473960926</v>
      </c>
      <c r="Z12" s="20">
        <f>TEA!D$39</f>
        <v>463326.77283027547</v>
      </c>
      <c r="AA12" s="20">
        <f>TEA!E$39</f>
        <v>201425.87245114797</v>
      </c>
      <c r="AB12" s="20"/>
      <c r="AC12" s="20">
        <f>TEA!G$39</f>
        <v>0</v>
      </c>
      <c r="AD12" s="20">
        <f>TEA!H$39</f>
        <v>0</v>
      </c>
      <c r="AE12" s="20">
        <f>TEA!I$39</f>
        <v>3961621.0816021687</v>
      </c>
      <c r="AF12" s="20">
        <f>TEA!J$39</f>
        <v>0</v>
      </c>
      <c r="AG12" s="20">
        <f>TEA!K$39</f>
        <v>0</v>
      </c>
      <c r="AH12" s="20">
        <f>TEA!L$39</f>
        <v>0</v>
      </c>
      <c r="AI12" s="21">
        <f>AT11*TEA!$B$19</f>
        <v>32493.957061676887</v>
      </c>
      <c r="AJ12" s="21">
        <f>AU11*TEA!$B$19</f>
        <v>32182.317054759107</v>
      </c>
      <c r="AK12" s="21">
        <f>AV11*TEA!$B$19</f>
        <v>66098.743997734884</v>
      </c>
      <c r="AL12" s="21">
        <f>AW11*TEA!$B$19</f>
        <v>28735.652585623291</v>
      </c>
      <c r="AM12" s="21"/>
      <c r="AN12" s="21">
        <f>AY11*TEA!$B$19</f>
        <v>0</v>
      </c>
      <c r="AO12" s="21">
        <f>AZ11*TEA!$B$19</f>
        <v>0</v>
      </c>
      <c r="AP12" s="21">
        <f>BA11*TEA!$B$19</f>
        <v>565169.53701869119</v>
      </c>
      <c r="AQ12" s="21">
        <f>BB11*TEA!$B$19</f>
        <v>0</v>
      </c>
      <c r="AR12" s="21">
        <f>BC11*TEA!$B$19</f>
        <v>0</v>
      </c>
      <c r="AS12" s="21">
        <f>BD11*TEA!$B$19</f>
        <v>0</v>
      </c>
      <c r="AT12" s="20">
        <f t="shared" si="27"/>
        <v>210898.27900607628</v>
      </c>
      <c r="AU12" s="20">
        <f t="shared" si="28"/>
        <v>208875.61549963866</v>
      </c>
      <c r="AV12" s="20">
        <f t="shared" si="29"/>
        <v>429006.27113914536</v>
      </c>
      <c r="AW12" s="20">
        <f t="shared" si="30"/>
        <v>186505.43745476648</v>
      </c>
      <c r="AX12" s="20"/>
      <c r="AY12" s="20">
        <f t="shared" si="31"/>
        <v>0</v>
      </c>
      <c r="AZ12" s="20">
        <f t="shared" si="32"/>
        <v>0</v>
      </c>
      <c r="BA12" s="20">
        <f t="shared" si="33"/>
        <v>3668167.6681501619</v>
      </c>
      <c r="BB12" s="20">
        <f t="shared" si="34"/>
        <v>0</v>
      </c>
      <c r="BC12" s="20">
        <f t="shared" si="35"/>
        <v>0</v>
      </c>
      <c r="BD12" s="20">
        <f t="shared" si="36"/>
        <v>0</v>
      </c>
      <c r="BE12" s="21">
        <f>TEA!B$10-TEA!B$43-M12-AI12</f>
        <v>19318.645361435327</v>
      </c>
      <c r="BF12" s="21">
        <f>TEA!C$10-TEA!C$43-N12-AJ12</f>
        <v>15695.029226117076</v>
      </c>
      <c r="BG12" s="21" t="e">
        <f>TEA!D$10-TEA!D$43-O12-AK12</f>
        <v>#VALUE!</v>
      </c>
      <c r="BH12" s="21" t="e">
        <f>TEA!E$10-TEA!E$43-P12-AL12</f>
        <v>#VALUE!</v>
      </c>
      <c r="BI12" s="21"/>
      <c r="BJ12" s="21">
        <f>TEA!G$10-TEA!G$43-R12-AN12</f>
        <v>0</v>
      </c>
      <c r="BK12" s="21">
        <f>TEA!H$10-TEA!H$43-S12-AO12</f>
        <v>0</v>
      </c>
      <c r="BL12" s="21">
        <f>TEA!I$10-TEA!I$43-T12-AP12</f>
        <v>-3368419.4343664558</v>
      </c>
      <c r="BM12" s="21">
        <f>TEA!J$10-TEA!J$43-U12-AQ12</f>
        <v>0</v>
      </c>
      <c r="BN12" s="21">
        <f>TEA!K$10-TEA!K$43-V12-AR12</f>
        <v>0</v>
      </c>
      <c r="BO12" s="21">
        <f>TEA!L$10-TEA!L$43-W12-AS12</f>
        <v>0</v>
      </c>
      <c r="BP12" s="21">
        <f t="shared" si="12"/>
        <v>-1088602.8687733698</v>
      </c>
      <c r="BQ12" s="21">
        <f t="shared" si="13"/>
        <v>-1091384.5972728997</v>
      </c>
      <c r="BR12" s="21" t="e">
        <f t="shared" si="14"/>
        <v>#VALUE!</v>
      </c>
      <c r="BS12" s="21" t="e">
        <f t="shared" si="15"/>
        <v>#VALUE!</v>
      </c>
      <c r="BT12" s="21"/>
      <c r="BU12" s="21">
        <f t="shared" si="16"/>
        <v>0</v>
      </c>
      <c r="BV12" s="21">
        <f t="shared" si="16"/>
        <v>0</v>
      </c>
      <c r="BW12" s="21">
        <f t="shared" si="16"/>
        <v>-74017715.908989593</v>
      </c>
      <c r="BX12" s="21">
        <f t="shared" si="16"/>
        <v>0</v>
      </c>
      <c r="BY12" s="21">
        <f t="shared" si="16"/>
        <v>0</v>
      </c>
      <c r="BZ12" s="21">
        <f t="shared" si="16"/>
        <v>0</v>
      </c>
      <c r="CA12" s="21">
        <f t="shared" si="17"/>
        <v>-1069284.2234119345</v>
      </c>
      <c r="CB12" s="21">
        <f t="shared" si="18"/>
        <v>-1075689.5680467826</v>
      </c>
      <c r="CC12" s="21" t="e">
        <f t="shared" si="19"/>
        <v>#VALUE!</v>
      </c>
      <c r="CD12" s="21" t="e">
        <f t="shared" si="20"/>
        <v>#VALUE!</v>
      </c>
      <c r="CE12" s="21"/>
      <c r="CF12" s="21">
        <f t="shared" si="21"/>
        <v>0</v>
      </c>
      <c r="CG12" s="21">
        <f t="shared" si="22"/>
        <v>0</v>
      </c>
      <c r="CH12" s="21">
        <f t="shared" si="23"/>
        <v>-77386135.343356043</v>
      </c>
      <c r="CI12" s="21">
        <f t="shared" si="24"/>
        <v>0</v>
      </c>
      <c r="CJ12" s="21">
        <f t="shared" si="25"/>
        <v>0</v>
      </c>
      <c r="CK12" s="21">
        <f t="shared" si="26"/>
        <v>0</v>
      </c>
      <c r="CL12" s="21">
        <f>IF(CA12&gt;0,CA12*TEA!B$17-TEA!B$24,0)</f>
        <v>0</v>
      </c>
      <c r="CM12" s="21">
        <f>IF(CB12&gt;0,CB12*TEA!C$17-TEA!C$24,0)</f>
        <v>0</v>
      </c>
      <c r="CN12" s="21" t="e">
        <f>IF(CC12&gt;0,CC12*TEA!D$17-TEA!D$24,0)</f>
        <v>#VALUE!</v>
      </c>
      <c r="CO12" s="21" t="e">
        <f>IF(CD12&gt;0,CD12*TEA!E$17-TEA!E$24,0)</f>
        <v>#VALUE!</v>
      </c>
      <c r="CP12" s="21"/>
      <c r="CQ12" s="21">
        <f>IF(CF12&gt;0,CF12*TEA!G$17-TEA!G$24,0)</f>
        <v>0</v>
      </c>
      <c r="CR12" s="21">
        <f>IF(CG12&gt;0,CG12*TEA!H$17-TEA!H$24,0)</f>
        <v>0</v>
      </c>
      <c r="CS12" s="21">
        <f>IF(CH12&gt;0,CH12*TEA!I$17-TEA!I$24,0)</f>
        <v>0</v>
      </c>
      <c r="CT12" s="21">
        <f>IF(CI12&gt;0,CI12*TEA!J$17-TEA!J$24,0)</f>
        <v>0</v>
      </c>
      <c r="CU12" s="21">
        <f>IF(CJ12&gt;0,CJ12*TEA!K$17-TEA!K$24,0)</f>
        <v>0</v>
      </c>
      <c r="CV12" s="21">
        <f>IF(CK12&gt;0,CK12*TEA!L$17-TEA!L$24,0)</f>
        <v>0</v>
      </c>
      <c r="CW12" s="21">
        <f>TEA!B$10-TEA!B$43-X12-CL12</f>
        <v>-175957.53890344949</v>
      </c>
      <c r="CX12" s="21">
        <f>TEA!C$10-TEA!C$43-Y12-CM12</f>
        <v>-177708.31845873309</v>
      </c>
      <c r="CY12" s="21" t="e">
        <f>TEA!D$10-TEA!D$43-Z12-CN12</f>
        <v>#VALUE!</v>
      </c>
      <c r="CZ12" s="21" t="e">
        <f>TEA!E$10-TEA!E$43-AA12-CO12</f>
        <v>#VALUE!</v>
      </c>
      <c r="DA12" s="21"/>
      <c r="DB12" s="21">
        <f>TEA!G$10-TEA!G$43-AC12-CQ12</f>
        <v>0</v>
      </c>
      <c r="DC12" s="21">
        <f>TEA!H$10-TEA!H$43-AD12-CR12</f>
        <v>0</v>
      </c>
      <c r="DD12" s="21">
        <f>TEA!I$10-TEA!I$43-AE12-CS12</f>
        <v>-6764870.9789499333</v>
      </c>
      <c r="DE12" s="21">
        <f>TEA!J$10-TEA!J$43-AF12-CT12</f>
        <v>0</v>
      </c>
      <c r="DF12" s="21">
        <f>TEA!K$10-TEA!K$43-AG12-CU12</f>
        <v>0</v>
      </c>
      <c r="DG12" s="21">
        <f>TEA!L$10-TEA!L$43-AH12-CV12</f>
        <v>0</v>
      </c>
      <c r="DH12" s="21">
        <f>CW12/(1+TEA!B$16)^$A12</f>
        <v>-74623.17318363674</v>
      </c>
      <c r="DI12" s="21">
        <f>CX12/(1+TEA!C$16)^$A12</f>
        <v>-75365.674623327752</v>
      </c>
      <c r="DJ12" s="21" t="e">
        <f>CY12/(1+TEA!D$16)^$A12</f>
        <v>#VALUE!</v>
      </c>
      <c r="DK12" s="21" t="e">
        <f>CZ12/(1+TEA!E$16)^$A12</f>
        <v>#VALUE!</v>
      </c>
      <c r="DL12" s="21"/>
      <c r="DM12" s="21">
        <f>DB12/(1+TEA!G$16)^$A12</f>
        <v>0</v>
      </c>
      <c r="DN12" s="21">
        <f>DC12/(1+TEA!H$16)^$A12</f>
        <v>0</v>
      </c>
      <c r="DO12" s="21">
        <f>DD12/(1+TEA!I$16)^$A12</f>
        <v>-2868965.6707698056</v>
      </c>
      <c r="DP12" s="21">
        <f>DE12/(1+TEA!J$16)^$A12</f>
        <v>0</v>
      </c>
      <c r="DQ12" s="21">
        <f>DF12/(1+TEA!K$16)^$A12</f>
        <v>0</v>
      </c>
      <c r="DR12" s="21">
        <f>DG12/(1+TEA!L$16)^$A12</f>
        <v>0</v>
      </c>
    </row>
    <row r="13" spans="1:122" x14ac:dyDescent="0.25">
      <c r="A13" s="4">
        <f t="shared" si="1"/>
        <v>10</v>
      </c>
      <c r="B13" s="21">
        <f t="shared" si="2"/>
        <v>-2100087.0312466379</v>
      </c>
      <c r="C13" s="21">
        <f t="shared" si="3"/>
        <v>-2101072.8032363523</v>
      </c>
      <c r="D13" s="21" t="e">
        <f t="shared" si="4"/>
        <v>#VALUE!</v>
      </c>
      <c r="E13" s="21" t="e">
        <f t="shared" si="5"/>
        <v>#VALUE!</v>
      </c>
      <c r="F13" s="21"/>
      <c r="G13" s="21">
        <f t="shared" si="6"/>
        <v>0</v>
      </c>
      <c r="H13" s="21">
        <f t="shared" si="7"/>
        <v>0</v>
      </c>
      <c r="I13" s="21">
        <f t="shared" si="8"/>
        <v>-59289070.311133973</v>
      </c>
      <c r="J13" s="21">
        <f t="shared" si="9"/>
        <v>0</v>
      </c>
      <c r="K13" s="21">
        <f t="shared" si="10"/>
        <v>0</v>
      </c>
      <c r="L13" s="21">
        <f t="shared" si="11"/>
        <v>0</v>
      </c>
      <c r="M13" s="21"/>
      <c r="X13" s="20">
        <f>TEA!B$39</f>
        <v>227770.14132656169</v>
      </c>
      <c r="Y13" s="20">
        <f>TEA!C$39</f>
        <v>225585.66473960926</v>
      </c>
      <c r="Z13" s="20">
        <f>TEA!D$39</f>
        <v>463326.77283027547</v>
      </c>
      <c r="AA13" s="20">
        <f>TEA!E$39</f>
        <v>201425.87245114797</v>
      </c>
      <c r="AB13" s="20"/>
      <c r="AC13" s="20">
        <f>TEA!G$39</f>
        <v>0</v>
      </c>
      <c r="AD13" s="20">
        <f>TEA!H$39</f>
        <v>0</v>
      </c>
      <c r="AE13" s="20">
        <f>TEA!I$39</f>
        <v>3961621.0816021687</v>
      </c>
      <c r="AF13" s="20">
        <f>TEA!J$39</f>
        <v>0</v>
      </c>
      <c r="AG13" s="20">
        <f>TEA!K$39</f>
        <v>0</v>
      </c>
      <c r="AH13" s="20">
        <f>TEA!L$39</f>
        <v>0</v>
      </c>
      <c r="AI13" s="21">
        <f>AT12*TEA!$B$19</f>
        <v>16871.862320486103</v>
      </c>
      <c r="AJ13" s="21">
        <f>AU12*TEA!$B$19</f>
        <v>16710.049239971093</v>
      </c>
      <c r="AK13" s="21">
        <f>AV12*TEA!$B$19</f>
        <v>34320.501691131627</v>
      </c>
      <c r="AL13" s="21">
        <f>AW12*TEA!$B$19</f>
        <v>14920.434996381318</v>
      </c>
      <c r="AM13" s="21"/>
      <c r="AN13" s="21">
        <f>AY12*TEA!$B$19</f>
        <v>0</v>
      </c>
      <c r="AO13" s="21">
        <f>AZ12*TEA!$B$19</f>
        <v>0</v>
      </c>
      <c r="AP13" s="21">
        <f>BA12*TEA!$B$19</f>
        <v>293453.41345201293</v>
      </c>
      <c r="AQ13" s="21">
        <f>BB12*TEA!$B$19</f>
        <v>0</v>
      </c>
      <c r="AR13" s="21">
        <f>BC12*TEA!$B$19</f>
        <v>0</v>
      </c>
      <c r="AS13" s="21">
        <f>BD12*TEA!$B$19</f>
        <v>0</v>
      </c>
      <c r="AT13" s="20">
        <f t="shared" si="27"/>
        <v>6.9485395215451717E-10</v>
      </c>
      <c r="AU13" s="20">
        <f t="shared" si="28"/>
        <v>4.9476511776447296E-10</v>
      </c>
      <c r="AV13" s="20">
        <f t="shared" si="29"/>
        <v>1.520675141364336E-9</v>
      </c>
      <c r="AW13" s="20">
        <f t="shared" si="30"/>
        <v>-1.7098500393331051E-10</v>
      </c>
      <c r="AX13" s="20"/>
      <c r="AY13" s="20">
        <f t="shared" si="31"/>
        <v>0</v>
      </c>
      <c r="AZ13" s="20">
        <f t="shared" si="32"/>
        <v>0</v>
      </c>
      <c r="BA13" s="20">
        <f t="shared" si="33"/>
        <v>6.0535967350006104E-9</v>
      </c>
      <c r="BB13" s="20">
        <f t="shared" si="34"/>
        <v>0</v>
      </c>
      <c r="BC13" s="20">
        <f t="shared" si="35"/>
        <v>0</v>
      </c>
      <c r="BD13" s="20">
        <f t="shared" si="36"/>
        <v>0</v>
      </c>
      <c r="BE13" s="21">
        <f>TEA!B$10-TEA!B$43-M13-AI13</f>
        <v>34940.740102626107</v>
      </c>
      <c r="BF13" s="21">
        <f>TEA!C$10-TEA!C$43-N13-AJ13</f>
        <v>31167.29704090509</v>
      </c>
      <c r="BG13" s="21" t="e">
        <f>TEA!D$10-TEA!D$43-O13-AK13</f>
        <v>#VALUE!</v>
      </c>
      <c r="BH13" s="21" t="e">
        <f>TEA!E$10-TEA!E$43-P13-AL13</f>
        <v>#VALUE!</v>
      </c>
      <c r="BI13" s="21"/>
      <c r="BJ13" s="21">
        <f>TEA!G$10-TEA!G$43-R13-AN13</f>
        <v>0</v>
      </c>
      <c r="BK13" s="21">
        <f>TEA!H$10-TEA!H$43-S13-AO13</f>
        <v>0</v>
      </c>
      <c r="BL13" s="21">
        <f>TEA!I$10-TEA!I$43-T13-AP13</f>
        <v>-3096703.3107997775</v>
      </c>
      <c r="BM13" s="21">
        <f>TEA!J$10-TEA!J$43-U13-AQ13</f>
        <v>0</v>
      </c>
      <c r="BN13" s="21">
        <f>TEA!K$10-TEA!K$43-V13-AR13</f>
        <v>0</v>
      </c>
      <c r="BO13" s="21">
        <f>TEA!L$10-TEA!L$43-W13-AS13</f>
        <v>0</v>
      </c>
      <c r="BP13" s="21">
        <f t="shared" si="12"/>
        <v>-1069284.2234119345</v>
      </c>
      <c r="BQ13" s="21">
        <f t="shared" si="13"/>
        <v>-1075689.5680467826</v>
      </c>
      <c r="BR13" s="21" t="e">
        <f t="shared" si="14"/>
        <v>#VALUE!</v>
      </c>
      <c r="BS13" s="21" t="e">
        <f t="shared" si="15"/>
        <v>#VALUE!</v>
      </c>
      <c r="BT13" s="21"/>
      <c r="BU13" s="21">
        <f t="shared" si="16"/>
        <v>0</v>
      </c>
      <c r="BV13" s="21">
        <f t="shared" si="16"/>
        <v>0</v>
      </c>
      <c r="BW13" s="21">
        <f t="shared" si="16"/>
        <v>-77386135.343356043</v>
      </c>
      <c r="BX13" s="21">
        <f t="shared" si="16"/>
        <v>0</v>
      </c>
      <c r="BY13" s="21">
        <f t="shared" si="16"/>
        <v>0</v>
      </c>
      <c r="BZ13" s="21">
        <f t="shared" si="16"/>
        <v>0</v>
      </c>
      <c r="CA13" s="21">
        <f t="shared" si="17"/>
        <v>-1034343.4833093083</v>
      </c>
      <c r="CB13" s="21">
        <f t="shared" si="18"/>
        <v>-1044522.2710058775</v>
      </c>
      <c r="CC13" s="21" t="e">
        <f t="shared" si="19"/>
        <v>#VALUE!</v>
      </c>
      <c r="CD13" s="21" t="e">
        <f t="shared" si="20"/>
        <v>#VALUE!</v>
      </c>
      <c r="CE13" s="21"/>
      <c r="CF13" s="21">
        <f t="shared" si="21"/>
        <v>0</v>
      </c>
      <c r="CG13" s="21">
        <f t="shared" si="22"/>
        <v>0</v>
      </c>
      <c r="CH13" s="21">
        <f t="shared" si="23"/>
        <v>-80482838.654155821</v>
      </c>
      <c r="CI13" s="21">
        <f t="shared" si="24"/>
        <v>0</v>
      </c>
      <c r="CJ13" s="21">
        <f t="shared" si="25"/>
        <v>0</v>
      </c>
      <c r="CK13" s="21">
        <f t="shared" si="26"/>
        <v>0</v>
      </c>
      <c r="CL13" s="21">
        <f>IF(CA13&gt;0,CA13*TEA!B$17-TEA!B$24,0)</f>
        <v>0</v>
      </c>
      <c r="CM13" s="21">
        <f>IF(CB13&gt;0,CB13*TEA!C$17-TEA!C$24,0)</f>
        <v>0</v>
      </c>
      <c r="CN13" s="21" t="e">
        <f>IF(CC13&gt;0,CC13*TEA!D$17-TEA!D$24,0)</f>
        <v>#VALUE!</v>
      </c>
      <c r="CO13" s="21" t="e">
        <f>IF(CD13&gt;0,CD13*TEA!E$17-TEA!E$24,0)</f>
        <v>#VALUE!</v>
      </c>
      <c r="CP13" s="21"/>
      <c r="CQ13" s="21">
        <f>IF(CF13&gt;0,CF13*TEA!G$17-TEA!G$24,0)</f>
        <v>0</v>
      </c>
      <c r="CR13" s="21">
        <f>IF(CG13&gt;0,CG13*TEA!H$17-TEA!H$24,0)</f>
        <v>0</v>
      </c>
      <c r="CS13" s="21">
        <f>IF(CH13&gt;0,CH13*TEA!I$17-TEA!I$24,0)</f>
        <v>0</v>
      </c>
      <c r="CT13" s="21">
        <f>IF(CI13&gt;0,CI13*TEA!J$17-TEA!J$24,0)</f>
        <v>0</v>
      </c>
      <c r="CU13" s="21">
        <f>IF(CJ13&gt;0,CJ13*TEA!K$17-TEA!K$24,0)</f>
        <v>0</v>
      </c>
      <c r="CV13" s="21">
        <f>IF(CK13&gt;0,CK13*TEA!L$17-TEA!L$24,0)</f>
        <v>0</v>
      </c>
      <c r="CW13" s="21">
        <f>TEA!B$10-TEA!B$43-X13-CL13</f>
        <v>-175957.53890344949</v>
      </c>
      <c r="CX13" s="21">
        <f>TEA!C$10-TEA!C$43-Y13-CM13</f>
        <v>-177708.31845873309</v>
      </c>
      <c r="CY13" s="21" t="e">
        <f>TEA!D$10-TEA!D$43-Z13-CN13</f>
        <v>#VALUE!</v>
      </c>
      <c r="CZ13" s="21" t="e">
        <f>TEA!E$10-TEA!E$43-AA13-CO13</f>
        <v>#VALUE!</v>
      </c>
      <c r="DA13" s="21"/>
      <c r="DB13" s="21">
        <f>TEA!G$10-TEA!G$43-AC13-CQ13</f>
        <v>0</v>
      </c>
      <c r="DC13" s="21">
        <f>TEA!H$10-TEA!H$43-AD13-CR13</f>
        <v>0</v>
      </c>
      <c r="DD13" s="21">
        <f>TEA!I$10-TEA!I$43-AE13-CS13</f>
        <v>-6764870.9789499333</v>
      </c>
      <c r="DE13" s="21">
        <f>TEA!J$10-TEA!J$43-AF13-CT13</f>
        <v>0</v>
      </c>
      <c r="DF13" s="21">
        <f>TEA!K$10-TEA!K$43-AG13-CU13</f>
        <v>0</v>
      </c>
      <c r="DG13" s="21">
        <f>TEA!L$10-TEA!L$43-AH13-CV13</f>
        <v>0</v>
      </c>
      <c r="DH13" s="21">
        <f>CW13/(1+TEA!B$16)^$A13</f>
        <v>-67839.248348760666</v>
      </c>
      <c r="DI13" s="21">
        <f>CX13/(1+TEA!C$16)^$A13</f>
        <v>-68514.249657570675</v>
      </c>
      <c r="DJ13" s="21" t="e">
        <f>CY13/(1+TEA!D$16)^$A13</f>
        <v>#VALUE!</v>
      </c>
      <c r="DK13" s="21" t="e">
        <f>CZ13/(1+TEA!E$16)^$A13</f>
        <v>#VALUE!</v>
      </c>
      <c r="DL13" s="21"/>
      <c r="DM13" s="21">
        <f>DB13/(1+TEA!G$16)^$A13</f>
        <v>0</v>
      </c>
      <c r="DN13" s="21">
        <f>DC13/(1+TEA!H$16)^$A13</f>
        <v>0</v>
      </c>
      <c r="DO13" s="21">
        <f>DD13/(1+TEA!I$16)^$A13</f>
        <v>-2608150.6097907322</v>
      </c>
      <c r="DP13" s="21">
        <f>DE13/(1+TEA!J$16)^$A13</f>
        <v>0</v>
      </c>
      <c r="DQ13" s="21">
        <f>DF13/(1+TEA!K$16)^$A13</f>
        <v>0</v>
      </c>
      <c r="DR13" s="21">
        <f>DG13/(1+TEA!L$16)^$A13</f>
        <v>0</v>
      </c>
    </row>
    <row r="14" spans="1:122" x14ac:dyDescent="0.25">
      <c r="A14" s="4">
        <f t="shared" si="1"/>
        <v>11</v>
      </c>
      <c r="B14" s="21">
        <f t="shared" si="2"/>
        <v>-2081927.0301810822</v>
      </c>
      <c r="C14" s="21">
        <f t="shared" si="3"/>
        <v>-2084292.085441547</v>
      </c>
      <c r="D14" s="21" t="e">
        <f t="shared" si="4"/>
        <v>#VALUE!</v>
      </c>
      <c r="E14" s="21" t="e">
        <f t="shared" si="5"/>
        <v>#VALUE!</v>
      </c>
      <c r="F14" s="21"/>
      <c r="G14" s="21">
        <f t="shared" si="6"/>
        <v>0</v>
      </c>
      <c r="H14" s="21">
        <f t="shared" si="7"/>
        <v>0</v>
      </c>
      <c r="I14" s="21">
        <f t="shared" si="8"/>
        <v>-60271592.298876204</v>
      </c>
      <c r="J14" s="21">
        <f t="shared" si="9"/>
        <v>0</v>
      </c>
      <c r="K14" s="21">
        <f t="shared" si="10"/>
        <v>0</v>
      </c>
      <c r="L14" s="21">
        <f t="shared" si="11"/>
        <v>0</v>
      </c>
      <c r="M14" s="21"/>
      <c r="X14" s="21"/>
      <c r="AI14" s="21">
        <f>AT13*TEA!$B$19</f>
        <v>5.5588316172361378E-11</v>
      </c>
      <c r="AJ14" s="21">
        <f>AU13*TEA!$B$19</f>
        <v>3.958120942115784E-11</v>
      </c>
      <c r="AK14" s="21">
        <f>AV13*TEA!$B$19</f>
        <v>1.2165401130914687E-10</v>
      </c>
      <c r="AL14" s="21">
        <f>AW13*TEA!$B$19</f>
        <v>-1.3678800314664842E-11</v>
      </c>
      <c r="AM14" s="21"/>
      <c r="AN14" s="21">
        <f>AY13*TEA!$B$19</f>
        <v>0</v>
      </c>
      <c r="AO14" s="21">
        <f>AZ13*TEA!$B$19</f>
        <v>0</v>
      </c>
      <c r="AP14" s="21">
        <f>BA13*TEA!$B$19</f>
        <v>4.8428773880004884E-10</v>
      </c>
      <c r="AQ14" s="21">
        <f>BB13*TEA!$B$19</f>
        <v>0</v>
      </c>
      <c r="AR14" s="21">
        <f>BC13*TEA!$B$19</f>
        <v>0</v>
      </c>
      <c r="AS14" s="21">
        <f>BD13*TEA!$B$19</f>
        <v>0</v>
      </c>
      <c r="AT14" s="20">
        <f t="shared" si="27"/>
        <v>7.5044226832687855E-10</v>
      </c>
      <c r="AU14" s="20">
        <f t="shared" si="28"/>
        <v>5.3434632718563078E-10</v>
      </c>
      <c r="AV14" s="20">
        <f t="shared" si="29"/>
        <v>1.6423291526734829E-9</v>
      </c>
      <c r="AW14" s="20">
        <f t="shared" si="30"/>
        <v>-1.8466380424797534E-10</v>
      </c>
      <c r="AX14" s="20"/>
      <c r="AY14" s="20">
        <f t="shared" si="31"/>
        <v>0</v>
      </c>
      <c r="AZ14" s="20">
        <f t="shared" si="32"/>
        <v>0</v>
      </c>
      <c r="BA14" s="20">
        <f t="shared" si="33"/>
        <v>6.5378844738006588E-9</v>
      </c>
      <c r="BB14" s="20">
        <f t="shared" si="34"/>
        <v>0</v>
      </c>
      <c r="BC14" s="20">
        <f t="shared" si="35"/>
        <v>0</v>
      </c>
      <c r="BD14" s="20">
        <f t="shared" si="36"/>
        <v>0</v>
      </c>
      <c r="BE14" s="21">
        <f>TEA!B$10-TEA!B$43-M14-AI14</f>
        <v>51812.602423112156</v>
      </c>
      <c r="BF14" s="21">
        <f>TEA!C$10-TEA!C$43-N14-AJ14</f>
        <v>47877.346280876147</v>
      </c>
      <c r="BG14" s="21" t="e">
        <f>TEA!D$10-TEA!D$43-O14-AK14</f>
        <v>#VALUE!</v>
      </c>
      <c r="BH14" s="21" t="e">
        <f>TEA!E$10-TEA!E$43-P14-AL14</f>
        <v>#VALUE!</v>
      </c>
      <c r="BI14" s="21"/>
      <c r="BJ14" s="21">
        <f>TEA!G$10-TEA!G$43-R14-AN14</f>
        <v>0</v>
      </c>
      <c r="BK14" s="21">
        <f>TEA!H$10-TEA!H$43-S14-AO14</f>
        <v>0</v>
      </c>
      <c r="BL14" s="21">
        <f>TEA!I$10-TEA!I$43-T14-AP14</f>
        <v>-2803249.897347765</v>
      </c>
      <c r="BM14" s="21">
        <f>TEA!J$10-TEA!J$43-U14-AQ14</f>
        <v>0</v>
      </c>
      <c r="BN14" s="21">
        <f>TEA!K$10-TEA!K$43-V14-AR14</f>
        <v>0</v>
      </c>
      <c r="BO14" s="21">
        <f>TEA!L$10-TEA!L$43-W14-AS14</f>
        <v>0</v>
      </c>
      <c r="BP14" s="21">
        <f t="shared" si="12"/>
        <v>-1034343.4833093083</v>
      </c>
      <c r="BQ14" s="21">
        <f t="shared" si="13"/>
        <v>-1044522.2710058775</v>
      </c>
      <c r="BR14" s="21" t="e">
        <f t="shared" si="14"/>
        <v>#VALUE!</v>
      </c>
      <c r="BS14" s="21" t="e">
        <f t="shared" si="15"/>
        <v>#VALUE!</v>
      </c>
      <c r="BT14" s="21"/>
      <c r="BU14" s="21">
        <f t="shared" si="16"/>
        <v>0</v>
      </c>
      <c r="BV14" s="21">
        <f t="shared" si="16"/>
        <v>0</v>
      </c>
      <c r="BW14" s="21">
        <f t="shared" si="16"/>
        <v>-80482838.654155821</v>
      </c>
      <c r="BX14" s="21">
        <f t="shared" si="16"/>
        <v>0</v>
      </c>
      <c r="BY14" s="21">
        <f t="shared" si="16"/>
        <v>0</v>
      </c>
      <c r="BZ14" s="21">
        <f t="shared" si="16"/>
        <v>0</v>
      </c>
      <c r="CA14" s="21">
        <f t="shared" si="17"/>
        <v>-982530.88088619616</v>
      </c>
      <c r="CB14" s="21">
        <f t="shared" si="18"/>
        <v>-996644.92472500133</v>
      </c>
      <c r="CC14" s="21" t="e">
        <f t="shared" si="19"/>
        <v>#VALUE!</v>
      </c>
      <c r="CD14" s="21" t="e">
        <f t="shared" si="20"/>
        <v>#VALUE!</v>
      </c>
      <c r="CE14" s="21"/>
      <c r="CF14" s="21">
        <f t="shared" si="21"/>
        <v>0</v>
      </c>
      <c r="CG14" s="21">
        <f t="shared" si="22"/>
        <v>0</v>
      </c>
      <c r="CH14" s="21">
        <f t="shared" si="23"/>
        <v>-83286088.551503584</v>
      </c>
      <c r="CI14" s="21">
        <f t="shared" si="24"/>
        <v>0</v>
      </c>
      <c r="CJ14" s="21">
        <f t="shared" si="25"/>
        <v>0</v>
      </c>
      <c r="CK14" s="21">
        <f t="shared" si="26"/>
        <v>0</v>
      </c>
      <c r="CL14" s="21">
        <f>IF(CA14&gt;0,CA14*TEA!B$17-TEA!B$24,0)</f>
        <v>0</v>
      </c>
      <c r="CM14" s="21">
        <f>IF(CB14&gt;0,CB14*TEA!C$17-TEA!C$24,0)</f>
        <v>0</v>
      </c>
      <c r="CN14" s="21" t="e">
        <f>IF(CC14&gt;0,CC14*TEA!D$17-TEA!D$24,0)</f>
        <v>#VALUE!</v>
      </c>
      <c r="CO14" s="21" t="e">
        <f>IF(CD14&gt;0,CD14*TEA!E$17-TEA!E$24,0)</f>
        <v>#VALUE!</v>
      </c>
      <c r="CP14" s="21"/>
      <c r="CQ14" s="21">
        <f>IF(CF14&gt;0,CF14*TEA!G$17-TEA!G$24,0)</f>
        <v>0</v>
      </c>
      <c r="CR14" s="21">
        <f>IF(CG14&gt;0,CG14*TEA!H$17-TEA!H$24,0)</f>
        <v>0</v>
      </c>
      <c r="CS14" s="21">
        <f>IF(CH14&gt;0,CH14*TEA!I$17-TEA!I$24,0)</f>
        <v>0</v>
      </c>
      <c r="CT14" s="21">
        <f>IF(CI14&gt;0,CI14*TEA!J$17-TEA!J$24,0)</f>
        <v>0</v>
      </c>
      <c r="CU14" s="21">
        <f>IF(CJ14&gt;0,CJ14*TEA!K$17-TEA!K$24,0)</f>
        <v>0</v>
      </c>
      <c r="CV14" s="21">
        <f>IF(CK14&gt;0,CK14*TEA!L$17-TEA!L$24,0)</f>
        <v>0</v>
      </c>
      <c r="CW14" s="21">
        <f>TEA!B$10-TEA!B$43-X14-CL14</f>
        <v>51812.602423112214</v>
      </c>
      <c r="CX14" s="21">
        <f>TEA!C$10-TEA!C$43-Y14-CM14</f>
        <v>47877.346280876183</v>
      </c>
      <c r="CY14" s="21" t="e">
        <f>TEA!D$10-TEA!D$43-Z14-CN14</f>
        <v>#VALUE!</v>
      </c>
      <c r="CZ14" s="21" t="e">
        <f>TEA!E$10-TEA!E$43-AA14-CO14</f>
        <v>#VALUE!</v>
      </c>
      <c r="DA14" s="21"/>
      <c r="DB14" s="21">
        <f>TEA!G$10-TEA!G$43-AC14-CQ14</f>
        <v>0</v>
      </c>
      <c r="DC14" s="21">
        <f>TEA!H$10-TEA!H$43-AD14-CR14</f>
        <v>0</v>
      </c>
      <c r="DD14" s="21">
        <f>TEA!I$10-TEA!I$43-AE14-CS14</f>
        <v>-2803249.8973477646</v>
      </c>
      <c r="DE14" s="21">
        <f>TEA!J$10-TEA!J$43-AF14-CT14</f>
        <v>0</v>
      </c>
      <c r="DF14" s="21">
        <f>TEA!K$10-TEA!K$43-AG14-CU14</f>
        <v>0</v>
      </c>
      <c r="DG14" s="21">
        <f>TEA!L$10-TEA!L$43-AH14-CV14</f>
        <v>0</v>
      </c>
      <c r="DH14" s="21">
        <f>CW14/(1+TEA!B$16)^$A14</f>
        <v>18160.001065555629</v>
      </c>
      <c r="DI14" s="21">
        <f>CX14/(1+TEA!C$16)^$A14</f>
        <v>16780.717794805223</v>
      </c>
      <c r="DJ14" s="21" t="e">
        <f>CY14/(1+TEA!D$16)^$A14</f>
        <v>#VALUE!</v>
      </c>
      <c r="DK14" s="21" t="e">
        <f>CZ14/(1+TEA!E$16)^$A14</f>
        <v>#VALUE!</v>
      </c>
      <c r="DL14" s="21"/>
      <c r="DM14" s="21">
        <f>DB14/(1+TEA!G$16)^$A14</f>
        <v>0</v>
      </c>
      <c r="DN14" s="21">
        <f>DC14/(1+TEA!H$16)^$A14</f>
        <v>0</v>
      </c>
      <c r="DO14" s="21">
        <f>DD14/(1+TEA!I$16)^$A14</f>
        <v>-982521.98774223041</v>
      </c>
      <c r="DP14" s="21">
        <f>DE14/(1+TEA!J$16)^$A14</f>
        <v>0</v>
      </c>
      <c r="DQ14" s="21">
        <f>DF14/(1+TEA!K$16)^$A14</f>
        <v>0</v>
      </c>
      <c r="DR14" s="21">
        <f>DG14/(1+TEA!L$16)^$A14</f>
        <v>0</v>
      </c>
    </row>
    <row r="15" spans="1:122" x14ac:dyDescent="0.25">
      <c r="A15" s="4">
        <f t="shared" si="1"/>
        <v>12</v>
      </c>
      <c r="B15" s="21">
        <f t="shared" si="2"/>
        <v>-2065417.9383033044</v>
      </c>
      <c r="C15" s="21">
        <f t="shared" si="3"/>
        <v>-2069036.8874462694</v>
      </c>
      <c r="D15" s="21" t="e">
        <f t="shared" si="4"/>
        <v>#VALUE!</v>
      </c>
      <c r="E15" s="21" t="e">
        <f t="shared" si="5"/>
        <v>#VALUE!</v>
      </c>
      <c r="F15" s="21"/>
      <c r="G15" s="21">
        <f t="shared" si="6"/>
        <v>0</v>
      </c>
      <c r="H15" s="21">
        <f t="shared" si="7"/>
        <v>0</v>
      </c>
      <c r="I15" s="21">
        <f t="shared" si="8"/>
        <v>-61164794.105914593</v>
      </c>
      <c r="J15" s="21">
        <f t="shared" si="9"/>
        <v>0</v>
      </c>
      <c r="K15" s="21">
        <f t="shared" si="10"/>
        <v>0</v>
      </c>
      <c r="L15" s="21">
        <f t="shared" si="11"/>
        <v>0</v>
      </c>
      <c r="M15" s="21"/>
      <c r="X15" s="20"/>
      <c r="AI15" s="21">
        <f>AT14*TEA!$B$19</f>
        <v>6.0035381466150289E-11</v>
      </c>
      <c r="AJ15" s="21">
        <f>AU14*TEA!$B$19</f>
        <v>4.274770617485046E-11</v>
      </c>
      <c r="AK15" s="21">
        <f>AV14*TEA!$B$19</f>
        <v>1.3138633221387864E-10</v>
      </c>
      <c r="AL15" s="21">
        <f>AW14*TEA!$B$19</f>
        <v>-1.4773104339838026E-11</v>
      </c>
      <c r="AM15" s="21"/>
      <c r="AN15" s="21">
        <f>AY14*TEA!$B$19</f>
        <v>0</v>
      </c>
      <c r="AO15" s="21">
        <f>AZ14*TEA!$B$19</f>
        <v>0</v>
      </c>
      <c r="AP15" s="21">
        <f>BA14*TEA!$B$19</f>
        <v>5.2303075790405272E-10</v>
      </c>
      <c r="AQ15" s="21">
        <f>BB14*TEA!$B$19</f>
        <v>0</v>
      </c>
      <c r="AR15" s="21">
        <f>BC14*TEA!$B$19</f>
        <v>0</v>
      </c>
      <c r="AS15" s="21">
        <f>BD14*TEA!$B$19</f>
        <v>0</v>
      </c>
      <c r="AT15" s="20">
        <f t="shared" si="27"/>
        <v>8.1047764979302882E-10</v>
      </c>
      <c r="AU15" s="20">
        <f t="shared" si="28"/>
        <v>5.7709403336048129E-10</v>
      </c>
      <c r="AV15" s="20">
        <f t="shared" si="29"/>
        <v>1.7737154848873616E-9</v>
      </c>
      <c r="AW15" s="20">
        <f t="shared" si="30"/>
        <v>-1.9943690858781337E-10</v>
      </c>
      <c r="AX15" s="20"/>
      <c r="AY15" s="20">
        <f t="shared" si="31"/>
        <v>0</v>
      </c>
      <c r="AZ15" s="20">
        <f t="shared" si="32"/>
        <v>0</v>
      </c>
      <c r="BA15" s="20">
        <f t="shared" si="33"/>
        <v>7.0609152317047118E-9</v>
      </c>
      <c r="BB15" s="20">
        <f t="shared" si="34"/>
        <v>0</v>
      </c>
      <c r="BC15" s="20">
        <f t="shared" si="35"/>
        <v>0</v>
      </c>
      <c r="BD15" s="20">
        <f t="shared" si="36"/>
        <v>0</v>
      </c>
      <c r="BE15" s="21">
        <f>TEA!B$10-TEA!B$43-M15-AI15</f>
        <v>51812.602423112156</v>
      </c>
      <c r="BF15" s="21">
        <f>TEA!C$10-TEA!C$43-N15-AJ15</f>
        <v>47877.34628087614</v>
      </c>
      <c r="BG15" s="21" t="e">
        <f>TEA!D$10-TEA!D$43-O15-AK15</f>
        <v>#VALUE!</v>
      </c>
      <c r="BH15" s="21" t="e">
        <f>TEA!E$10-TEA!E$43-P15-AL15</f>
        <v>#VALUE!</v>
      </c>
      <c r="BI15" s="21"/>
      <c r="BJ15" s="21">
        <f>TEA!G$10-TEA!G$43-R15-AN15</f>
        <v>0</v>
      </c>
      <c r="BK15" s="21">
        <f>TEA!H$10-TEA!H$43-S15-AO15</f>
        <v>0</v>
      </c>
      <c r="BL15" s="21">
        <f>TEA!I$10-TEA!I$43-T15-AP15</f>
        <v>-2803249.897347765</v>
      </c>
      <c r="BM15" s="21">
        <f>TEA!J$10-TEA!J$43-U15-AQ15</f>
        <v>0</v>
      </c>
      <c r="BN15" s="21">
        <f>TEA!K$10-TEA!K$43-V15-AR15</f>
        <v>0</v>
      </c>
      <c r="BO15" s="21">
        <f>TEA!L$10-TEA!L$43-W15-AS15</f>
        <v>0</v>
      </c>
      <c r="BP15" s="21">
        <f t="shared" si="12"/>
        <v>-982530.88088619616</v>
      </c>
      <c r="BQ15" s="21">
        <f t="shared" si="13"/>
        <v>-996644.92472500133</v>
      </c>
      <c r="BR15" s="21" t="e">
        <f t="shared" si="14"/>
        <v>#VALUE!</v>
      </c>
      <c r="BS15" s="21" t="e">
        <f t="shared" si="15"/>
        <v>#VALUE!</v>
      </c>
      <c r="BT15" s="21"/>
      <c r="BU15" s="21">
        <f t="shared" si="16"/>
        <v>0</v>
      </c>
      <c r="BV15" s="21">
        <f t="shared" si="16"/>
        <v>0</v>
      </c>
      <c r="BW15" s="21">
        <f t="shared" si="16"/>
        <v>-83286088.551503584</v>
      </c>
      <c r="BX15" s="21">
        <f t="shared" si="16"/>
        <v>0</v>
      </c>
      <c r="BY15" s="21">
        <f t="shared" si="16"/>
        <v>0</v>
      </c>
      <c r="BZ15" s="21">
        <f t="shared" si="16"/>
        <v>0</v>
      </c>
      <c r="CA15" s="21">
        <f t="shared" si="17"/>
        <v>-930718.27846308402</v>
      </c>
      <c r="CB15" s="21">
        <f t="shared" si="18"/>
        <v>-948767.57844412513</v>
      </c>
      <c r="CC15" s="21" t="e">
        <f t="shared" si="19"/>
        <v>#VALUE!</v>
      </c>
      <c r="CD15" s="21" t="e">
        <f t="shared" si="20"/>
        <v>#VALUE!</v>
      </c>
      <c r="CE15" s="21"/>
      <c r="CF15" s="21">
        <f t="shared" si="21"/>
        <v>0</v>
      </c>
      <c r="CG15" s="21">
        <f t="shared" si="22"/>
        <v>0</v>
      </c>
      <c r="CH15" s="21">
        <f t="shared" si="23"/>
        <v>-86089338.448851347</v>
      </c>
      <c r="CI15" s="21">
        <f t="shared" si="24"/>
        <v>0</v>
      </c>
      <c r="CJ15" s="21">
        <f t="shared" si="25"/>
        <v>0</v>
      </c>
      <c r="CK15" s="21">
        <f t="shared" si="26"/>
        <v>0</v>
      </c>
      <c r="CL15" s="21">
        <f>IF(CA15&gt;0,CA15*TEA!B$17-TEA!B$24,0)</f>
        <v>0</v>
      </c>
      <c r="CM15" s="21">
        <f>IF(CB15&gt;0,CB15*TEA!C$17-TEA!C$24,0)</f>
        <v>0</v>
      </c>
      <c r="CN15" s="21" t="e">
        <f>IF(CC15&gt;0,CC15*TEA!D$17-TEA!D$24,0)</f>
        <v>#VALUE!</v>
      </c>
      <c r="CO15" s="21" t="e">
        <f>IF(CD15&gt;0,CD15*TEA!E$17-TEA!E$24,0)</f>
        <v>#VALUE!</v>
      </c>
      <c r="CP15" s="21"/>
      <c r="CQ15" s="21">
        <f>IF(CF15&gt;0,CF15*TEA!G$17-TEA!G$24,0)</f>
        <v>0</v>
      </c>
      <c r="CR15" s="21">
        <f>IF(CG15&gt;0,CG15*TEA!H$17-TEA!H$24,0)</f>
        <v>0</v>
      </c>
      <c r="CS15" s="21">
        <f>IF(CH15&gt;0,CH15*TEA!I$17-TEA!I$24,0)</f>
        <v>0</v>
      </c>
      <c r="CT15" s="21">
        <f>IF(CI15&gt;0,CI15*TEA!J$17-TEA!J$24,0)</f>
        <v>0</v>
      </c>
      <c r="CU15" s="21">
        <f>IF(CJ15&gt;0,CJ15*TEA!K$17-TEA!K$24,0)</f>
        <v>0</v>
      </c>
      <c r="CV15" s="21">
        <f>IF(CK15&gt;0,CK15*TEA!L$17-TEA!L$24,0)</f>
        <v>0</v>
      </c>
      <c r="CW15" s="21">
        <f>TEA!B$10-TEA!B$43-X15-CL15</f>
        <v>51812.602423112214</v>
      </c>
      <c r="CX15" s="21">
        <f>TEA!C$10-TEA!C$43-Y15-CM15</f>
        <v>47877.346280876183</v>
      </c>
      <c r="CY15" s="21" t="e">
        <f>TEA!D$10-TEA!D$43-Z15-CN15</f>
        <v>#VALUE!</v>
      </c>
      <c r="CZ15" s="21" t="e">
        <f>TEA!E$10-TEA!E$43-AA15-CO15</f>
        <v>#VALUE!</v>
      </c>
      <c r="DA15" s="21"/>
      <c r="DB15" s="21">
        <f>TEA!G$10-TEA!G$43-AC15-CQ15</f>
        <v>0</v>
      </c>
      <c r="DC15" s="21">
        <f>TEA!H$10-TEA!H$43-AD15-CR15</f>
        <v>0</v>
      </c>
      <c r="DD15" s="21">
        <f>TEA!I$10-TEA!I$43-AE15-CS15</f>
        <v>-2803249.8973477646</v>
      </c>
      <c r="DE15" s="21">
        <f>TEA!J$10-TEA!J$43-AF15-CT15</f>
        <v>0</v>
      </c>
      <c r="DF15" s="21">
        <f>TEA!K$10-TEA!K$43-AG15-CU15</f>
        <v>0</v>
      </c>
      <c r="DG15" s="21">
        <f>TEA!L$10-TEA!L$43-AH15-CV15</f>
        <v>0</v>
      </c>
      <c r="DH15" s="21">
        <f>CW15/(1+TEA!B$16)^$A15</f>
        <v>16509.091877777846</v>
      </c>
      <c r="DI15" s="21">
        <f>CX15/(1+TEA!C$16)^$A15</f>
        <v>15255.197995277476</v>
      </c>
      <c r="DJ15" s="21" t="e">
        <f>CY15/(1+TEA!D$16)^$A15</f>
        <v>#VALUE!</v>
      </c>
      <c r="DK15" s="21" t="e">
        <f>CZ15/(1+TEA!E$16)^$A15</f>
        <v>#VALUE!</v>
      </c>
      <c r="DL15" s="21"/>
      <c r="DM15" s="21">
        <f>DB15/(1+TEA!G$16)^$A15</f>
        <v>0</v>
      </c>
      <c r="DN15" s="21">
        <f>DC15/(1+TEA!H$16)^$A15</f>
        <v>0</v>
      </c>
      <c r="DO15" s="21">
        <f>DD15/(1+TEA!I$16)^$A15</f>
        <v>-893201.80703839124</v>
      </c>
      <c r="DP15" s="21">
        <f>DE15/(1+TEA!J$16)^$A15</f>
        <v>0</v>
      </c>
      <c r="DQ15" s="21">
        <f>DF15/(1+TEA!K$16)^$A15</f>
        <v>0</v>
      </c>
      <c r="DR15" s="21">
        <f>DG15/(1+TEA!L$16)^$A15</f>
        <v>0</v>
      </c>
    </row>
    <row r="16" spans="1:122" x14ac:dyDescent="0.25">
      <c r="A16" s="4">
        <f t="shared" si="1"/>
        <v>13</v>
      </c>
      <c r="B16" s="21">
        <f t="shared" si="2"/>
        <v>-2050409.67295987</v>
      </c>
      <c r="C16" s="21">
        <f t="shared" si="3"/>
        <v>-2055168.5256323807</v>
      </c>
      <c r="D16" s="21" t="e">
        <f t="shared" si="4"/>
        <v>#VALUE!</v>
      </c>
      <c r="E16" s="21" t="e">
        <f t="shared" si="5"/>
        <v>#VALUE!</v>
      </c>
      <c r="F16" s="21"/>
      <c r="G16" s="21">
        <f t="shared" si="6"/>
        <v>0</v>
      </c>
      <c r="H16" s="21">
        <f t="shared" si="7"/>
        <v>0</v>
      </c>
      <c r="I16" s="21">
        <f t="shared" si="8"/>
        <v>-61976795.748676769</v>
      </c>
      <c r="J16" s="21">
        <f t="shared" si="9"/>
        <v>0</v>
      </c>
      <c r="K16" s="21">
        <f t="shared" si="10"/>
        <v>0</v>
      </c>
      <c r="L16" s="21">
        <f t="shared" si="11"/>
        <v>0</v>
      </c>
      <c r="M16" s="21"/>
      <c r="X16" s="20"/>
      <c r="AI16" s="21">
        <f>AT15*TEA!$B$19</f>
        <v>6.4838211983442307E-11</v>
      </c>
      <c r="AJ16" s="21">
        <f>AU15*TEA!$B$19</f>
        <v>4.6167522668838506E-11</v>
      </c>
      <c r="AK16" s="21">
        <f>AV15*TEA!$B$19</f>
        <v>1.4189723879098892E-10</v>
      </c>
      <c r="AL16" s="21">
        <f>AW15*TEA!$B$19</f>
        <v>-1.5954952687025071E-11</v>
      </c>
      <c r="AM16" s="21"/>
      <c r="AN16" s="21">
        <f>AY15*TEA!$B$19</f>
        <v>0</v>
      </c>
      <c r="AO16" s="21">
        <f>AZ15*TEA!$B$19</f>
        <v>0</v>
      </c>
      <c r="AP16" s="21">
        <f>BA15*TEA!$B$19</f>
        <v>5.6487321853637691E-10</v>
      </c>
      <c r="AQ16" s="21">
        <f>BB15*TEA!$B$19</f>
        <v>0</v>
      </c>
      <c r="AR16" s="21">
        <f>BC15*TEA!$B$19</f>
        <v>0</v>
      </c>
      <c r="AS16" s="21">
        <f>BD15*TEA!$B$19</f>
        <v>0</v>
      </c>
      <c r="AT16" s="20">
        <f t="shared" si="27"/>
        <v>8.7531586177647107E-10</v>
      </c>
      <c r="AU16" s="20">
        <f t="shared" si="28"/>
        <v>6.2326155602931975E-10</v>
      </c>
      <c r="AV16" s="20">
        <f t="shared" si="29"/>
        <v>1.9156127236783505E-9</v>
      </c>
      <c r="AW16" s="20">
        <f t="shared" si="30"/>
        <v>-2.1539186127483844E-10</v>
      </c>
      <c r="AX16" s="20"/>
      <c r="AY16" s="20">
        <f t="shared" si="31"/>
        <v>0</v>
      </c>
      <c r="AZ16" s="20">
        <f t="shared" si="32"/>
        <v>0</v>
      </c>
      <c r="BA16" s="20">
        <f t="shared" si="33"/>
        <v>7.6257884502410879E-9</v>
      </c>
      <c r="BB16" s="20">
        <f t="shared" si="34"/>
        <v>0</v>
      </c>
      <c r="BC16" s="20">
        <f t="shared" si="35"/>
        <v>0</v>
      </c>
      <c r="BD16" s="20">
        <f t="shared" si="36"/>
        <v>0</v>
      </c>
      <c r="BE16" s="21">
        <f>TEA!B$10-TEA!B$43-M16-AI16</f>
        <v>51812.602423112148</v>
      </c>
      <c r="BF16" s="21">
        <f>TEA!C$10-TEA!C$43-N16-AJ16</f>
        <v>47877.34628087614</v>
      </c>
      <c r="BG16" s="21" t="e">
        <f>TEA!D$10-TEA!D$43-O16-AK16</f>
        <v>#VALUE!</v>
      </c>
      <c r="BH16" s="21" t="e">
        <f>TEA!E$10-TEA!E$43-P16-AL16</f>
        <v>#VALUE!</v>
      </c>
      <c r="BI16" s="21"/>
      <c r="BJ16" s="21">
        <f>TEA!G$10-TEA!G$43-R16-AN16</f>
        <v>0</v>
      </c>
      <c r="BK16" s="21">
        <f>TEA!H$10-TEA!H$43-S16-AO16</f>
        <v>0</v>
      </c>
      <c r="BL16" s="21">
        <f>TEA!I$10-TEA!I$43-T16-AP16</f>
        <v>-2803249.897347765</v>
      </c>
      <c r="BM16" s="21">
        <f>TEA!J$10-TEA!J$43-U16-AQ16</f>
        <v>0</v>
      </c>
      <c r="BN16" s="21">
        <f>TEA!K$10-TEA!K$43-V16-AR16</f>
        <v>0</v>
      </c>
      <c r="BO16" s="21">
        <f>TEA!L$10-TEA!L$43-W16-AS16</f>
        <v>0</v>
      </c>
      <c r="BP16" s="21">
        <f t="shared" si="12"/>
        <v>-930718.27846308402</v>
      </c>
      <c r="BQ16" s="21">
        <f t="shared" si="13"/>
        <v>-948767.57844412513</v>
      </c>
      <c r="BR16" s="21" t="e">
        <f t="shared" si="14"/>
        <v>#VALUE!</v>
      </c>
      <c r="BS16" s="21" t="e">
        <f t="shared" si="15"/>
        <v>#VALUE!</v>
      </c>
      <c r="BT16" s="21"/>
      <c r="BU16" s="21">
        <f t="shared" si="16"/>
        <v>0</v>
      </c>
      <c r="BV16" s="21">
        <f t="shared" si="16"/>
        <v>0</v>
      </c>
      <c r="BW16" s="21">
        <f t="shared" si="16"/>
        <v>-86089338.448851347</v>
      </c>
      <c r="BX16" s="21">
        <f t="shared" si="16"/>
        <v>0</v>
      </c>
      <c r="BY16" s="21">
        <f t="shared" si="16"/>
        <v>0</v>
      </c>
      <c r="BZ16" s="21">
        <f t="shared" si="16"/>
        <v>0</v>
      </c>
      <c r="CA16" s="21">
        <f t="shared" si="17"/>
        <v>-878905.67603997188</v>
      </c>
      <c r="CB16" s="21">
        <f t="shared" si="18"/>
        <v>-900890.23216324905</v>
      </c>
      <c r="CC16" s="21" t="e">
        <f t="shared" si="19"/>
        <v>#VALUE!</v>
      </c>
      <c r="CD16" s="21" t="e">
        <f t="shared" si="20"/>
        <v>#VALUE!</v>
      </c>
      <c r="CE16" s="21"/>
      <c r="CF16" s="21">
        <f t="shared" si="21"/>
        <v>0</v>
      </c>
      <c r="CG16" s="21">
        <f t="shared" si="22"/>
        <v>0</v>
      </c>
      <c r="CH16" s="21">
        <f t="shared" si="23"/>
        <v>-88892588.34619911</v>
      </c>
      <c r="CI16" s="21">
        <f t="shared" si="24"/>
        <v>0</v>
      </c>
      <c r="CJ16" s="21">
        <f t="shared" si="25"/>
        <v>0</v>
      </c>
      <c r="CK16" s="21">
        <f t="shared" si="26"/>
        <v>0</v>
      </c>
      <c r="CL16" s="21">
        <f>IF(CA16&gt;0,CA16*TEA!B$17-TEA!B$24,0)</f>
        <v>0</v>
      </c>
      <c r="CM16" s="21">
        <f>IF(CB16&gt;0,CB16*TEA!C$17-TEA!C$24,0)</f>
        <v>0</v>
      </c>
      <c r="CN16" s="21" t="e">
        <f>IF(CC16&gt;0,CC16*TEA!D$17-TEA!D$24,0)</f>
        <v>#VALUE!</v>
      </c>
      <c r="CO16" s="21" t="e">
        <f>IF(CD16&gt;0,CD16*TEA!E$17-TEA!E$24,0)</f>
        <v>#VALUE!</v>
      </c>
      <c r="CP16" s="21"/>
      <c r="CQ16" s="21">
        <f>IF(CF16&gt;0,CF16*TEA!G$17-TEA!G$24,0)</f>
        <v>0</v>
      </c>
      <c r="CR16" s="21">
        <f>IF(CG16&gt;0,CG16*TEA!H$17-TEA!H$24,0)</f>
        <v>0</v>
      </c>
      <c r="CS16" s="21">
        <f>IF(CH16&gt;0,CH16*TEA!I$17-TEA!I$24,0)</f>
        <v>0</v>
      </c>
      <c r="CT16" s="21">
        <f>IF(CI16&gt;0,CI16*TEA!J$17-TEA!J$24,0)</f>
        <v>0</v>
      </c>
      <c r="CU16" s="21">
        <f>IF(CJ16&gt;0,CJ16*TEA!K$17-TEA!K$24,0)</f>
        <v>0</v>
      </c>
      <c r="CV16" s="21">
        <f>IF(CK16&gt;0,CK16*TEA!L$17-TEA!L$24,0)</f>
        <v>0</v>
      </c>
      <c r="CW16" s="21">
        <f>TEA!B$10-TEA!B$43-X16-CL16</f>
        <v>51812.602423112214</v>
      </c>
      <c r="CX16" s="21">
        <f>TEA!C$10-TEA!C$43-Y16-CM16</f>
        <v>47877.346280876183</v>
      </c>
      <c r="CY16" s="21" t="e">
        <f>TEA!D$10-TEA!D$43-Z16-CN16</f>
        <v>#VALUE!</v>
      </c>
      <c r="CZ16" s="21" t="e">
        <f>TEA!E$10-TEA!E$43-AA16-CO16</f>
        <v>#VALUE!</v>
      </c>
      <c r="DA16" s="21"/>
      <c r="DB16" s="21">
        <f>TEA!G$10-TEA!G$43-AC16-CQ16</f>
        <v>0</v>
      </c>
      <c r="DC16" s="21">
        <f>TEA!H$10-TEA!H$43-AD16-CR16</f>
        <v>0</v>
      </c>
      <c r="DD16" s="21">
        <f>TEA!I$10-TEA!I$43-AE16-CS16</f>
        <v>-2803249.8973477646</v>
      </c>
      <c r="DE16" s="21">
        <f>TEA!J$10-TEA!J$43-AF16-CT16</f>
        <v>0</v>
      </c>
      <c r="DF16" s="21">
        <f>TEA!K$10-TEA!K$43-AG16-CU16</f>
        <v>0</v>
      </c>
      <c r="DG16" s="21">
        <f>TEA!L$10-TEA!L$43-AH16-CV16</f>
        <v>0</v>
      </c>
      <c r="DH16" s="21">
        <f>CW16/(1+TEA!B$16)^$A16</f>
        <v>15008.265343434405</v>
      </c>
      <c r="DI16" s="21">
        <f>CX16/(1+TEA!C$16)^$A16</f>
        <v>13868.361813888614</v>
      </c>
      <c r="DJ16" s="21" t="e">
        <f>CY16/(1+TEA!D$16)^$A16</f>
        <v>#VALUE!</v>
      </c>
      <c r="DK16" s="21" t="e">
        <f>CZ16/(1+TEA!E$16)^$A16</f>
        <v>#VALUE!</v>
      </c>
      <c r="DL16" s="21"/>
      <c r="DM16" s="21">
        <f>DB16/(1+TEA!G$16)^$A16</f>
        <v>0</v>
      </c>
      <c r="DN16" s="21">
        <f>DC16/(1+TEA!H$16)^$A16</f>
        <v>0</v>
      </c>
      <c r="DO16" s="21">
        <f>DD16/(1+TEA!I$16)^$A16</f>
        <v>-812001.6427621739</v>
      </c>
      <c r="DP16" s="21">
        <f>DE16/(1+TEA!J$16)^$A16</f>
        <v>0</v>
      </c>
      <c r="DQ16" s="21">
        <f>DF16/(1+TEA!K$16)^$A16</f>
        <v>0</v>
      </c>
      <c r="DR16" s="21">
        <f>DG16/(1+TEA!L$16)^$A16</f>
        <v>0</v>
      </c>
    </row>
    <row r="17" spans="1:122" x14ac:dyDescent="0.25">
      <c r="A17" s="4">
        <f t="shared" si="1"/>
        <v>14</v>
      </c>
      <c r="B17" s="21">
        <f t="shared" si="2"/>
        <v>-2036765.7953749297</v>
      </c>
      <c r="C17" s="21">
        <f t="shared" si="3"/>
        <v>-2042560.9239833911</v>
      </c>
      <c r="D17" s="21" t="e">
        <f t="shared" si="4"/>
        <v>#VALUE!</v>
      </c>
      <c r="E17" s="21" t="e">
        <f t="shared" si="5"/>
        <v>#VALUE!</v>
      </c>
      <c r="F17" s="21"/>
      <c r="G17" s="21">
        <f t="shared" si="6"/>
        <v>0</v>
      </c>
      <c r="H17" s="21">
        <f t="shared" si="7"/>
        <v>0</v>
      </c>
      <c r="I17" s="21">
        <f t="shared" si="8"/>
        <v>-62714979.060278744</v>
      </c>
      <c r="J17" s="21">
        <f t="shared" si="9"/>
        <v>0</v>
      </c>
      <c r="K17" s="21">
        <f t="shared" si="10"/>
        <v>0</v>
      </c>
      <c r="L17" s="21">
        <f t="shared" si="11"/>
        <v>0</v>
      </c>
      <c r="M17" s="21"/>
      <c r="X17" s="20"/>
      <c r="AI17" s="21"/>
      <c r="AT17" s="21"/>
      <c r="BE17" s="21">
        <f>TEA!B$10-TEA!B$43-M17-AI17</f>
        <v>51812.602423112214</v>
      </c>
      <c r="BF17" s="21">
        <f>TEA!C$10-TEA!C$43-N17-AJ17</f>
        <v>47877.346280876183</v>
      </c>
      <c r="BG17" s="21" t="e">
        <f>TEA!D$10-TEA!D$43-O17-AK17</f>
        <v>#VALUE!</v>
      </c>
      <c r="BH17" s="21" t="e">
        <f>TEA!E$10-TEA!E$43-P17-AL17</f>
        <v>#VALUE!</v>
      </c>
      <c r="BI17" s="21"/>
      <c r="BJ17" s="21">
        <f>TEA!G$10-TEA!G$43-R17-AN17</f>
        <v>0</v>
      </c>
      <c r="BK17" s="21">
        <f>TEA!H$10-TEA!H$43-S17-AO17</f>
        <v>0</v>
      </c>
      <c r="BL17" s="21">
        <f>TEA!I$10-TEA!I$43-T17-AP17</f>
        <v>-2803249.8973477646</v>
      </c>
      <c r="BM17" s="21">
        <f>TEA!J$10-TEA!J$43-U17-AQ17</f>
        <v>0</v>
      </c>
      <c r="BN17" s="21">
        <f>TEA!K$10-TEA!K$43-V17-AR17</f>
        <v>0</v>
      </c>
      <c r="BO17" s="21">
        <f>TEA!L$10-TEA!L$43-W17-AS17</f>
        <v>0</v>
      </c>
      <c r="BP17" s="21">
        <f t="shared" si="12"/>
        <v>-878905.67603997188</v>
      </c>
      <c r="BQ17" s="21">
        <f t="shared" si="13"/>
        <v>-900890.23216324905</v>
      </c>
      <c r="BR17" s="21" t="e">
        <f t="shared" si="14"/>
        <v>#VALUE!</v>
      </c>
      <c r="BS17" s="21" t="e">
        <f t="shared" si="15"/>
        <v>#VALUE!</v>
      </c>
      <c r="BT17" s="21"/>
      <c r="BU17" s="21">
        <f t="shared" si="16"/>
        <v>0</v>
      </c>
      <c r="BV17" s="21">
        <f t="shared" si="16"/>
        <v>0</v>
      </c>
      <c r="BW17" s="21">
        <f t="shared" si="16"/>
        <v>-88892588.34619911</v>
      </c>
      <c r="BX17" s="21">
        <f t="shared" si="16"/>
        <v>0</v>
      </c>
      <c r="BY17" s="21">
        <f t="shared" si="16"/>
        <v>0</v>
      </c>
      <c r="BZ17" s="21">
        <f t="shared" si="16"/>
        <v>0</v>
      </c>
      <c r="CA17" s="21">
        <f t="shared" si="17"/>
        <v>-827093.07361685962</v>
      </c>
      <c r="CB17" s="21">
        <f t="shared" si="18"/>
        <v>-853012.88588237285</v>
      </c>
      <c r="CC17" s="21" t="e">
        <f t="shared" si="19"/>
        <v>#VALUE!</v>
      </c>
      <c r="CD17" s="21" t="e">
        <f t="shared" si="20"/>
        <v>#VALUE!</v>
      </c>
      <c r="CE17" s="21"/>
      <c r="CF17" s="21">
        <f t="shared" si="21"/>
        <v>0</v>
      </c>
      <c r="CG17" s="21">
        <f t="shared" si="22"/>
        <v>0</v>
      </c>
      <c r="CH17" s="21">
        <f t="shared" si="23"/>
        <v>-91695838.243546873</v>
      </c>
      <c r="CI17" s="21">
        <f t="shared" si="24"/>
        <v>0</v>
      </c>
      <c r="CJ17" s="21">
        <f t="shared" si="25"/>
        <v>0</v>
      </c>
      <c r="CK17" s="21">
        <f t="shared" si="26"/>
        <v>0</v>
      </c>
      <c r="CL17" s="21">
        <f>IF(CA17&gt;0,CA17*TEA!B$17-TEA!B$24,0)</f>
        <v>0</v>
      </c>
      <c r="CM17" s="21">
        <f>IF(CB17&gt;0,CB17*TEA!C$17-TEA!C$24,0)</f>
        <v>0</v>
      </c>
      <c r="CN17" s="21" t="e">
        <f>IF(CC17&gt;0,CC17*TEA!D$17-TEA!D$24,0)</f>
        <v>#VALUE!</v>
      </c>
      <c r="CO17" s="21" t="e">
        <f>IF(CD17&gt;0,CD17*TEA!E$17-TEA!E$24,0)</f>
        <v>#VALUE!</v>
      </c>
      <c r="CP17" s="21"/>
      <c r="CQ17" s="21">
        <f>IF(CF17&gt;0,CF17*TEA!G$17-TEA!G$24,0)</f>
        <v>0</v>
      </c>
      <c r="CR17" s="21">
        <f>IF(CG17&gt;0,CG17*TEA!H$17-TEA!H$24,0)</f>
        <v>0</v>
      </c>
      <c r="CS17" s="21">
        <f>IF(CH17&gt;0,CH17*TEA!I$17-TEA!I$24,0)</f>
        <v>0</v>
      </c>
      <c r="CT17" s="21">
        <f>IF(CI17&gt;0,CI17*TEA!J$17-TEA!J$24,0)</f>
        <v>0</v>
      </c>
      <c r="CU17" s="21">
        <f>IF(CJ17&gt;0,CJ17*TEA!K$17-TEA!K$24,0)</f>
        <v>0</v>
      </c>
      <c r="CV17" s="21">
        <f>IF(CK17&gt;0,CK17*TEA!L$17-TEA!L$24,0)</f>
        <v>0</v>
      </c>
      <c r="CW17" s="21">
        <f>TEA!B$10-TEA!B$43-X17-CL17</f>
        <v>51812.602423112214</v>
      </c>
      <c r="CX17" s="21">
        <f>TEA!C$10-TEA!C$43-Y17-CM17</f>
        <v>47877.346280876183</v>
      </c>
      <c r="CY17" s="21" t="e">
        <f>TEA!D$10-TEA!D$43-Z17-CN17</f>
        <v>#VALUE!</v>
      </c>
      <c r="CZ17" s="21" t="e">
        <f>TEA!E$10-TEA!E$43-AA17-CO17</f>
        <v>#VALUE!</v>
      </c>
      <c r="DA17" s="21"/>
      <c r="DB17" s="21">
        <f>TEA!G$10-TEA!G$43-AC17-CQ17</f>
        <v>0</v>
      </c>
      <c r="DC17" s="21">
        <f>TEA!H$10-TEA!H$43-AD17-CR17</f>
        <v>0</v>
      </c>
      <c r="DD17" s="21">
        <f>TEA!I$10-TEA!I$43-AE17-CS17</f>
        <v>-2803249.8973477646</v>
      </c>
      <c r="DE17" s="21">
        <f>TEA!J$10-TEA!J$43-AF17-CT17</f>
        <v>0</v>
      </c>
      <c r="DF17" s="21">
        <f>TEA!K$10-TEA!K$43-AG17-CU17</f>
        <v>0</v>
      </c>
      <c r="DG17" s="21">
        <f>TEA!L$10-TEA!L$43-AH17-CV17</f>
        <v>0</v>
      </c>
      <c r="DH17" s="21">
        <f>CW17/(1+TEA!B$16)^$A17</f>
        <v>13643.877584940366</v>
      </c>
      <c r="DI17" s="21">
        <f>CX17/(1+TEA!C$16)^$A17</f>
        <v>12607.601648989646</v>
      </c>
      <c r="DJ17" s="21" t="e">
        <f>CY17/(1+TEA!D$16)^$A17</f>
        <v>#VALUE!</v>
      </c>
      <c r="DK17" s="21" t="e">
        <f>CZ17/(1+TEA!E$16)^$A17</f>
        <v>#VALUE!</v>
      </c>
      <c r="DL17" s="21"/>
      <c r="DM17" s="21">
        <f>DB17/(1+TEA!G$16)^$A17</f>
        <v>0</v>
      </c>
      <c r="DN17" s="21">
        <f>DC17/(1+TEA!H$16)^$A17</f>
        <v>0</v>
      </c>
      <c r="DO17" s="21">
        <f>DD17/(1+TEA!I$16)^$A17</f>
        <v>-738183.31160197617</v>
      </c>
      <c r="DP17" s="21">
        <f>DE17/(1+TEA!J$16)^$A17</f>
        <v>0</v>
      </c>
      <c r="DQ17" s="21">
        <f>DF17/(1+TEA!K$16)^$A17</f>
        <v>0</v>
      </c>
      <c r="DR17" s="21">
        <f>DG17/(1+TEA!L$16)^$A17</f>
        <v>0</v>
      </c>
    </row>
    <row r="18" spans="1:122" x14ac:dyDescent="0.25">
      <c r="A18" s="4">
        <f t="shared" si="1"/>
        <v>15</v>
      </c>
      <c r="B18" s="21">
        <f t="shared" si="2"/>
        <v>-2024362.2702977112</v>
      </c>
      <c r="C18" s="21">
        <f t="shared" si="3"/>
        <v>-2031099.4679388551</v>
      </c>
      <c r="D18" s="21" t="e">
        <f t="shared" si="4"/>
        <v>#VALUE!</v>
      </c>
      <c r="E18" s="21" t="e">
        <f t="shared" si="5"/>
        <v>#VALUE!</v>
      </c>
      <c r="F18" s="21"/>
      <c r="G18" s="21">
        <f t="shared" si="6"/>
        <v>0</v>
      </c>
      <c r="H18" s="21">
        <f t="shared" si="7"/>
        <v>0</v>
      </c>
      <c r="I18" s="21">
        <f t="shared" si="8"/>
        <v>-63386054.798098721</v>
      </c>
      <c r="J18" s="21">
        <f t="shared" si="9"/>
        <v>0</v>
      </c>
      <c r="K18" s="21">
        <f t="shared" si="10"/>
        <v>0</v>
      </c>
      <c r="L18" s="21">
        <f t="shared" si="11"/>
        <v>0</v>
      </c>
      <c r="M18" s="21"/>
      <c r="X18" s="20"/>
      <c r="AI18" s="21"/>
      <c r="AT18" s="21"/>
      <c r="BE18" s="21">
        <f>TEA!B$10-TEA!B$43-M18-AI18</f>
        <v>51812.602423112214</v>
      </c>
      <c r="BF18" s="21">
        <f>TEA!C$10-TEA!C$43-N18-AJ18</f>
        <v>47877.346280876183</v>
      </c>
      <c r="BG18" s="21" t="e">
        <f>TEA!D$10-TEA!D$43-O18-AK18</f>
        <v>#VALUE!</v>
      </c>
      <c r="BH18" s="21" t="e">
        <f>TEA!E$10-TEA!E$43-P18-AL18</f>
        <v>#VALUE!</v>
      </c>
      <c r="BI18" s="21"/>
      <c r="BJ18" s="21">
        <f>TEA!G$10-TEA!G$43-R18-AN18</f>
        <v>0</v>
      </c>
      <c r="BK18" s="21">
        <f>TEA!H$10-TEA!H$43-S18-AO18</f>
        <v>0</v>
      </c>
      <c r="BL18" s="21">
        <f>TEA!I$10-TEA!I$43-T18-AP18</f>
        <v>-2803249.8973477646</v>
      </c>
      <c r="BM18" s="21">
        <f>TEA!J$10-TEA!J$43-U18-AQ18</f>
        <v>0</v>
      </c>
      <c r="BN18" s="21">
        <f>TEA!K$10-TEA!K$43-V18-AR18</f>
        <v>0</v>
      </c>
      <c r="BO18" s="21">
        <f>TEA!L$10-TEA!L$43-W18-AS18</f>
        <v>0</v>
      </c>
      <c r="BP18" s="21">
        <f t="shared" si="12"/>
        <v>-827093.07361685962</v>
      </c>
      <c r="BQ18" s="21">
        <f t="shared" si="13"/>
        <v>-853012.88588237285</v>
      </c>
      <c r="BR18" s="21" t="e">
        <f t="shared" si="14"/>
        <v>#VALUE!</v>
      </c>
      <c r="BS18" s="21" t="e">
        <f t="shared" si="15"/>
        <v>#VALUE!</v>
      </c>
      <c r="BT18" s="21"/>
      <c r="BU18" s="21">
        <f t="shared" si="16"/>
        <v>0</v>
      </c>
      <c r="BV18" s="21">
        <f t="shared" si="16"/>
        <v>0</v>
      </c>
      <c r="BW18" s="21">
        <f t="shared" si="16"/>
        <v>-91695838.243546873</v>
      </c>
      <c r="BX18" s="21">
        <f t="shared" si="16"/>
        <v>0</v>
      </c>
      <c r="BY18" s="21">
        <f t="shared" si="16"/>
        <v>0</v>
      </c>
      <c r="BZ18" s="21">
        <f t="shared" si="16"/>
        <v>0</v>
      </c>
      <c r="CA18" s="21">
        <f t="shared" si="17"/>
        <v>-775280.47119374736</v>
      </c>
      <c r="CB18" s="21">
        <f t="shared" si="18"/>
        <v>-805135.53960149665</v>
      </c>
      <c r="CC18" s="21" t="e">
        <f t="shared" si="19"/>
        <v>#VALUE!</v>
      </c>
      <c r="CD18" s="21" t="e">
        <f t="shared" si="20"/>
        <v>#VALUE!</v>
      </c>
      <c r="CE18" s="21"/>
      <c r="CF18" s="21">
        <f t="shared" si="21"/>
        <v>0</v>
      </c>
      <c r="CG18" s="21">
        <f t="shared" si="22"/>
        <v>0</v>
      </c>
      <c r="CH18" s="21">
        <f t="shared" si="23"/>
        <v>-94499088.140894637</v>
      </c>
      <c r="CI18" s="21">
        <f t="shared" si="24"/>
        <v>0</v>
      </c>
      <c r="CJ18" s="21">
        <f t="shared" si="25"/>
        <v>0</v>
      </c>
      <c r="CK18" s="21">
        <f t="shared" si="26"/>
        <v>0</v>
      </c>
      <c r="CL18" s="21">
        <f>IF(CA18&gt;0,CA18*TEA!B$17-TEA!B$24,0)</f>
        <v>0</v>
      </c>
      <c r="CM18" s="21">
        <f>IF(CB18&gt;0,CB18*TEA!C$17-TEA!C$24,0)</f>
        <v>0</v>
      </c>
      <c r="CN18" s="21" t="e">
        <f>IF(CC18&gt;0,CC18*TEA!D$17-TEA!D$24,0)</f>
        <v>#VALUE!</v>
      </c>
      <c r="CO18" s="21" t="e">
        <f>IF(CD18&gt;0,CD18*TEA!E$17-TEA!E$24,0)</f>
        <v>#VALUE!</v>
      </c>
      <c r="CP18" s="21"/>
      <c r="CQ18" s="21">
        <f>IF(CF18&gt;0,CF18*TEA!G$17-TEA!G$24,0)</f>
        <v>0</v>
      </c>
      <c r="CR18" s="21">
        <f>IF(CG18&gt;0,CG18*TEA!H$17-TEA!H$24,0)</f>
        <v>0</v>
      </c>
      <c r="CS18" s="21">
        <f>IF(CH18&gt;0,CH18*TEA!I$17-TEA!I$24,0)</f>
        <v>0</v>
      </c>
      <c r="CT18" s="21">
        <f>IF(CI18&gt;0,CI18*TEA!J$17-TEA!J$24,0)</f>
        <v>0</v>
      </c>
      <c r="CU18" s="21">
        <f>IF(CJ18&gt;0,CJ18*TEA!K$17-TEA!K$24,0)</f>
        <v>0</v>
      </c>
      <c r="CV18" s="21">
        <f>IF(CK18&gt;0,CK18*TEA!L$17-TEA!L$24,0)</f>
        <v>0</v>
      </c>
      <c r="CW18" s="21">
        <f>TEA!B$10-TEA!B$43-X18-CL18</f>
        <v>51812.602423112214</v>
      </c>
      <c r="CX18" s="21">
        <f>TEA!C$10-TEA!C$43-Y18-CM18</f>
        <v>47877.346280876183</v>
      </c>
      <c r="CY18" s="21" t="e">
        <f>TEA!D$10-TEA!D$43-Z18-CN18</f>
        <v>#VALUE!</v>
      </c>
      <c r="CZ18" s="21" t="e">
        <f>TEA!E$10-TEA!E$43-AA18-CO18</f>
        <v>#VALUE!</v>
      </c>
      <c r="DA18" s="21"/>
      <c r="DB18" s="21">
        <f>TEA!G$10-TEA!G$43-AC18-CQ18</f>
        <v>0</v>
      </c>
      <c r="DC18" s="21">
        <f>TEA!H$10-TEA!H$43-AD18-CR18</f>
        <v>0</v>
      </c>
      <c r="DD18" s="21">
        <f>TEA!I$10-TEA!I$43-AE18-CS18</f>
        <v>-2803249.8973477646</v>
      </c>
      <c r="DE18" s="21">
        <f>TEA!J$10-TEA!J$43-AF18-CT18</f>
        <v>0</v>
      </c>
      <c r="DF18" s="21">
        <f>TEA!K$10-TEA!K$43-AG18-CU18</f>
        <v>0</v>
      </c>
      <c r="DG18" s="21">
        <f>TEA!L$10-TEA!L$43-AH18-CV18</f>
        <v>0</v>
      </c>
      <c r="DH18" s="21">
        <f>CW18/(1+TEA!B$16)^$A18</f>
        <v>12403.525077218514</v>
      </c>
      <c r="DI18" s="21">
        <f>CX18/(1+TEA!C$16)^$A18</f>
        <v>11461.456044536042</v>
      </c>
      <c r="DJ18" s="21" t="e">
        <f>CY18/(1+TEA!D$16)^$A18</f>
        <v>#VALUE!</v>
      </c>
      <c r="DK18" s="21" t="e">
        <f>CZ18/(1+TEA!E$16)^$A18</f>
        <v>#VALUE!</v>
      </c>
      <c r="DL18" s="21"/>
      <c r="DM18" s="21">
        <f>DB18/(1+TEA!G$16)^$A18</f>
        <v>0</v>
      </c>
      <c r="DN18" s="21">
        <f>DC18/(1+TEA!H$16)^$A18</f>
        <v>0</v>
      </c>
      <c r="DO18" s="21">
        <f>DD18/(1+TEA!I$16)^$A18</f>
        <v>-671075.73781997827</v>
      </c>
      <c r="DP18" s="21">
        <f>DE18/(1+TEA!J$16)^$A18</f>
        <v>0</v>
      </c>
      <c r="DQ18" s="21">
        <f>DF18/(1+TEA!K$16)^$A18</f>
        <v>0</v>
      </c>
      <c r="DR18" s="21">
        <f>DG18/(1+TEA!L$16)^$A18</f>
        <v>0</v>
      </c>
    </row>
    <row r="19" spans="1:122" x14ac:dyDescent="0.25">
      <c r="A19" s="4">
        <f t="shared" si="1"/>
        <v>16</v>
      </c>
      <c r="B19" s="21">
        <f t="shared" si="2"/>
        <v>-2013086.3384093307</v>
      </c>
      <c r="C19" s="21">
        <f t="shared" si="3"/>
        <v>-2020679.9624438223</v>
      </c>
      <c r="D19" s="21" t="e">
        <f t="shared" si="4"/>
        <v>#VALUE!</v>
      </c>
      <c r="E19" s="21" t="e">
        <f t="shared" si="5"/>
        <v>#VALUE!</v>
      </c>
      <c r="F19" s="21"/>
      <c r="G19" s="21">
        <f t="shared" si="6"/>
        <v>0</v>
      </c>
      <c r="H19" s="21">
        <f t="shared" si="7"/>
        <v>0</v>
      </c>
      <c r="I19" s="21">
        <f t="shared" si="8"/>
        <v>-63996123.65066234</v>
      </c>
      <c r="J19" s="21">
        <f t="shared" si="9"/>
        <v>0</v>
      </c>
      <c r="K19" s="21">
        <f t="shared" si="10"/>
        <v>0</v>
      </c>
      <c r="L19" s="21">
        <f t="shared" si="11"/>
        <v>0</v>
      </c>
      <c r="M19" s="21"/>
      <c r="X19" s="20"/>
      <c r="AI19" s="21"/>
      <c r="AT19" s="21"/>
      <c r="BE19" s="21">
        <f>TEA!B$10-TEA!B$43-M19-AI19</f>
        <v>51812.602423112214</v>
      </c>
      <c r="BF19" s="21">
        <f>TEA!C$10-TEA!C$43-N19-AJ19</f>
        <v>47877.346280876183</v>
      </c>
      <c r="BG19" s="21" t="e">
        <f>TEA!D$10-TEA!D$43-O19-AK19</f>
        <v>#VALUE!</v>
      </c>
      <c r="BH19" s="21" t="e">
        <f>TEA!E$10-TEA!E$43-P19-AL19</f>
        <v>#VALUE!</v>
      </c>
      <c r="BI19" s="21"/>
      <c r="BJ19" s="21">
        <f>TEA!G$10-TEA!G$43-R19-AN19</f>
        <v>0</v>
      </c>
      <c r="BK19" s="21">
        <f>TEA!H$10-TEA!H$43-S19-AO19</f>
        <v>0</v>
      </c>
      <c r="BL19" s="21">
        <f>TEA!I$10-TEA!I$43-T19-AP19</f>
        <v>-2803249.8973477646</v>
      </c>
      <c r="BM19" s="21">
        <f>TEA!J$10-TEA!J$43-U19-AQ19</f>
        <v>0</v>
      </c>
      <c r="BN19" s="21">
        <f>TEA!K$10-TEA!K$43-V19-AR19</f>
        <v>0</v>
      </c>
      <c r="BO19" s="21">
        <f>TEA!L$10-TEA!L$43-W19-AS19</f>
        <v>0</v>
      </c>
      <c r="BP19" s="21">
        <f t="shared" si="12"/>
        <v>-775280.47119374736</v>
      </c>
      <c r="BQ19" s="21">
        <f t="shared" si="13"/>
        <v>-805135.53960149665</v>
      </c>
      <c r="BR19" s="21" t="e">
        <f t="shared" si="14"/>
        <v>#VALUE!</v>
      </c>
      <c r="BS19" s="21" t="e">
        <f t="shared" si="15"/>
        <v>#VALUE!</v>
      </c>
      <c r="BT19" s="21"/>
      <c r="BU19" s="21">
        <f t="shared" si="16"/>
        <v>0</v>
      </c>
      <c r="BV19" s="21">
        <f t="shared" si="16"/>
        <v>0</v>
      </c>
      <c r="BW19" s="21">
        <f t="shared" si="16"/>
        <v>-94499088.140894637</v>
      </c>
      <c r="BX19" s="21">
        <f t="shared" si="16"/>
        <v>0</v>
      </c>
      <c r="BY19" s="21">
        <f t="shared" si="16"/>
        <v>0</v>
      </c>
      <c r="BZ19" s="21">
        <f t="shared" si="16"/>
        <v>0</v>
      </c>
      <c r="CA19" s="21">
        <f t="shared" si="17"/>
        <v>-723467.8687706351</v>
      </c>
      <c r="CB19" s="21">
        <f t="shared" si="18"/>
        <v>-757258.19332062046</v>
      </c>
      <c r="CC19" s="21" t="e">
        <f t="shared" si="19"/>
        <v>#VALUE!</v>
      </c>
      <c r="CD19" s="21" t="e">
        <f t="shared" si="20"/>
        <v>#VALUE!</v>
      </c>
      <c r="CE19" s="21"/>
      <c r="CF19" s="21">
        <f t="shared" si="21"/>
        <v>0</v>
      </c>
      <c r="CG19" s="21">
        <f t="shared" si="22"/>
        <v>0</v>
      </c>
      <c r="CH19" s="21">
        <f t="shared" si="23"/>
        <v>-97302338.0382424</v>
      </c>
      <c r="CI19" s="21">
        <f t="shared" si="24"/>
        <v>0</v>
      </c>
      <c r="CJ19" s="21">
        <f t="shared" si="25"/>
        <v>0</v>
      </c>
      <c r="CK19" s="21">
        <f t="shared" si="26"/>
        <v>0</v>
      </c>
      <c r="CL19" s="21">
        <f>IF(CA19&gt;0,CA19*TEA!B$17-TEA!B$24,0)</f>
        <v>0</v>
      </c>
      <c r="CM19" s="21">
        <f>IF(CB19&gt;0,CB19*TEA!C$17-TEA!C$24,0)</f>
        <v>0</v>
      </c>
      <c r="CN19" s="21" t="e">
        <f>IF(CC19&gt;0,CC19*TEA!D$17-TEA!D$24,0)</f>
        <v>#VALUE!</v>
      </c>
      <c r="CO19" s="21" t="e">
        <f>IF(CD19&gt;0,CD19*TEA!E$17-TEA!E$24,0)</f>
        <v>#VALUE!</v>
      </c>
      <c r="CP19" s="21"/>
      <c r="CQ19" s="21">
        <f>IF(CF19&gt;0,CF19*TEA!G$17-TEA!G$24,0)</f>
        <v>0</v>
      </c>
      <c r="CR19" s="21">
        <f>IF(CG19&gt;0,CG19*TEA!H$17-TEA!H$24,0)</f>
        <v>0</v>
      </c>
      <c r="CS19" s="21">
        <f>IF(CH19&gt;0,CH19*TEA!I$17-TEA!I$24,0)</f>
        <v>0</v>
      </c>
      <c r="CT19" s="21">
        <f>IF(CI19&gt;0,CI19*TEA!J$17-TEA!J$24,0)</f>
        <v>0</v>
      </c>
      <c r="CU19" s="21">
        <f>IF(CJ19&gt;0,CJ19*TEA!K$17-TEA!K$24,0)</f>
        <v>0</v>
      </c>
      <c r="CV19" s="21">
        <f>IF(CK19&gt;0,CK19*TEA!L$17-TEA!L$24,0)</f>
        <v>0</v>
      </c>
      <c r="CW19" s="21">
        <f>TEA!B$10-TEA!B$43-X19-CL19</f>
        <v>51812.602423112214</v>
      </c>
      <c r="CX19" s="21">
        <f>TEA!C$10-TEA!C$43-Y19-CM19</f>
        <v>47877.346280876183</v>
      </c>
      <c r="CY19" s="21" t="e">
        <f>TEA!D$10-TEA!D$43-Z19-CN19</f>
        <v>#VALUE!</v>
      </c>
      <c r="CZ19" s="21" t="e">
        <f>TEA!E$10-TEA!E$43-AA19-CO19</f>
        <v>#VALUE!</v>
      </c>
      <c r="DA19" s="21"/>
      <c r="DB19" s="21">
        <f>TEA!G$10-TEA!G$43-AC19-CQ19</f>
        <v>0</v>
      </c>
      <c r="DC19" s="21">
        <f>TEA!H$10-TEA!H$43-AD19-CR19</f>
        <v>0</v>
      </c>
      <c r="DD19" s="21">
        <f>TEA!I$10-TEA!I$43-AE19-CS19</f>
        <v>-2803249.8973477646</v>
      </c>
      <c r="DE19" s="21">
        <f>TEA!J$10-TEA!J$43-AF19-CT19</f>
        <v>0</v>
      </c>
      <c r="DF19" s="21">
        <f>TEA!K$10-TEA!K$43-AG19-CU19</f>
        <v>0</v>
      </c>
      <c r="DG19" s="21">
        <f>TEA!L$10-TEA!L$43-AH19-CV19</f>
        <v>0</v>
      </c>
      <c r="DH19" s="21">
        <f>CW19/(1+TEA!B$16)^$A19</f>
        <v>11275.931888380466</v>
      </c>
      <c r="DI19" s="21">
        <f>CX19/(1+TEA!C$16)^$A19</f>
        <v>10419.505495032767</v>
      </c>
      <c r="DJ19" s="21" t="e">
        <f>CY19/(1+TEA!D$16)^$A19</f>
        <v>#VALUE!</v>
      </c>
      <c r="DK19" s="21" t="e">
        <f>CZ19/(1+TEA!E$16)^$A19</f>
        <v>#VALUE!</v>
      </c>
      <c r="DL19" s="21"/>
      <c r="DM19" s="21">
        <f>DB19/(1+TEA!G$16)^$A19</f>
        <v>0</v>
      </c>
      <c r="DN19" s="21">
        <f>DC19/(1+TEA!H$16)^$A19</f>
        <v>0</v>
      </c>
      <c r="DO19" s="21">
        <f>DD19/(1+TEA!I$16)^$A19</f>
        <v>-610068.85256361659</v>
      </c>
      <c r="DP19" s="21">
        <f>DE19/(1+TEA!J$16)^$A19</f>
        <v>0</v>
      </c>
      <c r="DQ19" s="21">
        <f>DF19/(1+TEA!K$16)^$A19</f>
        <v>0</v>
      </c>
      <c r="DR19" s="21">
        <f>DG19/(1+TEA!L$16)^$A19</f>
        <v>0</v>
      </c>
    </row>
    <row r="20" spans="1:122" x14ac:dyDescent="0.25">
      <c r="A20" s="4">
        <f t="shared" si="1"/>
        <v>17</v>
      </c>
      <c r="B20" s="21">
        <f t="shared" si="2"/>
        <v>-2002835.4912380758</v>
      </c>
      <c r="C20" s="21">
        <f t="shared" si="3"/>
        <v>-2011207.6847210652</v>
      </c>
      <c r="D20" s="21" t="e">
        <f t="shared" si="4"/>
        <v>#VALUE!</v>
      </c>
      <c r="E20" s="21" t="e">
        <f t="shared" si="5"/>
        <v>#VALUE!</v>
      </c>
      <c r="F20" s="21"/>
      <c r="G20" s="21">
        <f t="shared" si="6"/>
        <v>0</v>
      </c>
      <c r="H20" s="21">
        <f t="shared" si="7"/>
        <v>0</v>
      </c>
      <c r="I20" s="21">
        <f t="shared" si="8"/>
        <v>-64550731.698447444</v>
      </c>
      <c r="J20" s="21">
        <f t="shared" si="9"/>
        <v>0</v>
      </c>
      <c r="K20" s="21">
        <f t="shared" si="10"/>
        <v>0</v>
      </c>
      <c r="L20" s="21">
        <f t="shared" si="11"/>
        <v>0</v>
      </c>
      <c r="M20" s="21"/>
      <c r="X20" s="20"/>
      <c r="AI20" s="21"/>
      <c r="AT20" s="21"/>
      <c r="BE20" s="21">
        <f>TEA!B$10-TEA!B$43-M20-AI20</f>
        <v>51812.602423112214</v>
      </c>
      <c r="BF20" s="21">
        <f>TEA!C$10-TEA!C$43-N20-AJ20</f>
        <v>47877.346280876183</v>
      </c>
      <c r="BG20" s="21" t="e">
        <f>TEA!D$10-TEA!D$43-O20-AK20</f>
        <v>#VALUE!</v>
      </c>
      <c r="BH20" s="21" t="e">
        <f>TEA!E$10-TEA!E$43-P20-AL20</f>
        <v>#VALUE!</v>
      </c>
      <c r="BI20" s="21"/>
      <c r="BJ20" s="21">
        <f>TEA!G$10-TEA!G$43-R20-AN20</f>
        <v>0</v>
      </c>
      <c r="BK20" s="21">
        <f>TEA!H$10-TEA!H$43-S20-AO20</f>
        <v>0</v>
      </c>
      <c r="BL20" s="21">
        <f>TEA!I$10-TEA!I$43-T20-AP20</f>
        <v>-2803249.8973477646</v>
      </c>
      <c r="BM20" s="21">
        <f>TEA!J$10-TEA!J$43-U20-AQ20</f>
        <v>0</v>
      </c>
      <c r="BN20" s="21">
        <f>TEA!K$10-TEA!K$43-V20-AR20</f>
        <v>0</v>
      </c>
      <c r="BO20" s="21">
        <f>TEA!L$10-TEA!L$43-W20-AS20</f>
        <v>0</v>
      </c>
      <c r="BP20" s="21">
        <f t="shared" si="12"/>
        <v>-723467.8687706351</v>
      </c>
      <c r="BQ20" s="21">
        <f t="shared" si="13"/>
        <v>-757258.19332062046</v>
      </c>
      <c r="BR20" s="21" t="e">
        <f t="shared" si="14"/>
        <v>#VALUE!</v>
      </c>
      <c r="BS20" s="21" t="e">
        <f t="shared" si="15"/>
        <v>#VALUE!</v>
      </c>
      <c r="BT20" s="21"/>
      <c r="BU20" s="21">
        <f t="shared" si="16"/>
        <v>0</v>
      </c>
      <c r="BV20" s="21">
        <f t="shared" si="16"/>
        <v>0</v>
      </c>
      <c r="BW20" s="21">
        <f t="shared" si="16"/>
        <v>-97302338.0382424</v>
      </c>
      <c r="BX20" s="21">
        <f t="shared" si="16"/>
        <v>0</v>
      </c>
      <c r="BY20" s="21">
        <f t="shared" si="16"/>
        <v>0</v>
      </c>
      <c r="BZ20" s="21">
        <f t="shared" si="16"/>
        <v>0</v>
      </c>
      <c r="CA20" s="21">
        <f t="shared" si="17"/>
        <v>-671655.26634752285</v>
      </c>
      <c r="CB20" s="21">
        <f t="shared" si="18"/>
        <v>-709380.84703974426</v>
      </c>
      <c r="CC20" s="21" t="e">
        <f t="shared" si="19"/>
        <v>#VALUE!</v>
      </c>
      <c r="CD20" s="21" t="e">
        <f t="shared" si="20"/>
        <v>#VALUE!</v>
      </c>
      <c r="CE20" s="21"/>
      <c r="CF20" s="21">
        <f t="shared" si="21"/>
        <v>0</v>
      </c>
      <c r="CG20" s="21">
        <f t="shared" si="22"/>
        <v>0</v>
      </c>
      <c r="CH20" s="21">
        <f t="shared" si="23"/>
        <v>-100105587.93559016</v>
      </c>
      <c r="CI20" s="21">
        <f t="shared" si="24"/>
        <v>0</v>
      </c>
      <c r="CJ20" s="21">
        <f t="shared" si="25"/>
        <v>0</v>
      </c>
      <c r="CK20" s="21">
        <f t="shared" si="26"/>
        <v>0</v>
      </c>
      <c r="CL20" s="21">
        <f>IF(CA20&gt;0,CA20*TEA!B$17-TEA!B$24,0)</f>
        <v>0</v>
      </c>
      <c r="CM20" s="21">
        <f>IF(CB20&gt;0,CB20*TEA!C$17-TEA!C$24,0)</f>
        <v>0</v>
      </c>
      <c r="CN20" s="21" t="e">
        <f>IF(CC20&gt;0,CC20*TEA!D$17-TEA!D$24,0)</f>
        <v>#VALUE!</v>
      </c>
      <c r="CO20" s="21" t="e">
        <f>IF(CD20&gt;0,CD20*TEA!E$17-TEA!E$24,0)</f>
        <v>#VALUE!</v>
      </c>
      <c r="CP20" s="21"/>
      <c r="CQ20" s="21">
        <f>IF(CF20&gt;0,CF20*TEA!G$17-TEA!G$24,0)</f>
        <v>0</v>
      </c>
      <c r="CR20" s="21">
        <f>IF(CG20&gt;0,CG20*TEA!H$17-TEA!H$24,0)</f>
        <v>0</v>
      </c>
      <c r="CS20" s="21">
        <f>IF(CH20&gt;0,CH20*TEA!I$17-TEA!I$24,0)</f>
        <v>0</v>
      </c>
      <c r="CT20" s="21">
        <f>IF(CI20&gt;0,CI20*TEA!J$17-TEA!J$24,0)</f>
        <v>0</v>
      </c>
      <c r="CU20" s="21">
        <f>IF(CJ20&gt;0,CJ20*TEA!K$17-TEA!K$24,0)</f>
        <v>0</v>
      </c>
      <c r="CV20" s="21">
        <f>IF(CK20&gt;0,CK20*TEA!L$17-TEA!L$24,0)</f>
        <v>0</v>
      </c>
      <c r="CW20" s="21">
        <f>TEA!B$10-TEA!B$43-X20-CL20</f>
        <v>51812.602423112214</v>
      </c>
      <c r="CX20" s="21">
        <f>TEA!C$10-TEA!C$43-Y20-CM20</f>
        <v>47877.346280876183</v>
      </c>
      <c r="CY20" s="21" t="e">
        <f>TEA!D$10-TEA!D$43-Z20-CN20</f>
        <v>#VALUE!</v>
      </c>
      <c r="CZ20" s="21" t="e">
        <f>TEA!E$10-TEA!E$43-AA20-CO20</f>
        <v>#VALUE!</v>
      </c>
      <c r="DA20" s="21"/>
      <c r="DB20" s="21">
        <f>TEA!G$10-TEA!G$43-AC20-CQ20</f>
        <v>0</v>
      </c>
      <c r="DC20" s="21">
        <f>TEA!H$10-TEA!H$43-AD20-CR20</f>
        <v>0</v>
      </c>
      <c r="DD20" s="21">
        <f>TEA!I$10-TEA!I$43-AE20-CS20</f>
        <v>-2803249.8973477646</v>
      </c>
      <c r="DE20" s="21">
        <f>TEA!J$10-TEA!J$43-AF20-CT20</f>
        <v>0</v>
      </c>
      <c r="DF20" s="21">
        <f>TEA!K$10-TEA!K$43-AG20-CU20</f>
        <v>0</v>
      </c>
      <c r="DG20" s="21">
        <f>TEA!L$10-TEA!L$43-AH20-CV20</f>
        <v>0</v>
      </c>
      <c r="DH20" s="21">
        <f>CW20/(1+TEA!B$16)^$A20</f>
        <v>10250.847171254969</v>
      </c>
      <c r="DI20" s="21">
        <f>CX20/(1+TEA!C$16)^$A20</f>
        <v>9472.2777227570605</v>
      </c>
      <c r="DJ20" s="21" t="e">
        <f>CY20/(1+TEA!D$16)^$A20</f>
        <v>#VALUE!</v>
      </c>
      <c r="DK20" s="21" t="e">
        <f>CZ20/(1+TEA!E$16)^$A20</f>
        <v>#VALUE!</v>
      </c>
      <c r="DL20" s="21"/>
      <c r="DM20" s="21">
        <f>DB20/(1+TEA!G$16)^$A20</f>
        <v>0</v>
      </c>
      <c r="DN20" s="21">
        <f>DC20/(1+TEA!H$16)^$A20</f>
        <v>0</v>
      </c>
      <c r="DO20" s="21">
        <f>DD20/(1+TEA!I$16)^$A20</f>
        <v>-554608.047785106</v>
      </c>
      <c r="DP20" s="21">
        <f>DE20/(1+TEA!J$16)^$A20</f>
        <v>0</v>
      </c>
      <c r="DQ20" s="21">
        <f>DF20/(1+TEA!K$16)^$A20</f>
        <v>0</v>
      </c>
      <c r="DR20" s="21">
        <f>DG20/(1+TEA!L$16)^$A20</f>
        <v>0</v>
      </c>
    </row>
    <row r="21" spans="1:122" x14ac:dyDescent="0.25">
      <c r="A21" s="4">
        <f t="shared" si="1"/>
        <v>18</v>
      </c>
      <c r="B21" s="21">
        <f t="shared" si="2"/>
        <v>-1993516.5392642077</v>
      </c>
      <c r="C21" s="21">
        <f t="shared" si="3"/>
        <v>-2002596.5231549225</v>
      </c>
      <c r="D21" s="21" t="e">
        <f t="shared" si="4"/>
        <v>#VALUE!</v>
      </c>
      <c r="E21" s="21" t="e">
        <f t="shared" si="5"/>
        <v>#VALUE!</v>
      </c>
      <c r="F21" s="21"/>
      <c r="G21" s="21">
        <f t="shared" si="6"/>
        <v>0</v>
      </c>
      <c r="H21" s="21">
        <f t="shared" si="7"/>
        <v>0</v>
      </c>
      <c r="I21" s="21">
        <f t="shared" si="8"/>
        <v>-65054920.832797542</v>
      </c>
      <c r="J21" s="21">
        <f t="shared" si="9"/>
        <v>0</v>
      </c>
      <c r="K21" s="21">
        <f t="shared" si="10"/>
        <v>0</v>
      </c>
      <c r="L21" s="21">
        <f t="shared" si="11"/>
        <v>0</v>
      </c>
      <c r="M21" s="21"/>
      <c r="X21" s="20"/>
      <c r="AI21" s="21"/>
      <c r="AT21" s="21"/>
      <c r="BE21" s="21">
        <f>TEA!B$10-TEA!B$43-M21-AI21</f>
        <v>51812.602423112214</v>
      </c>
      <c r="BF21" s="21">
        <f>TEA!C$10-TEA!C$43-N21-AJ21</f>
        <v>47877.346280876183</v>
      </c>
      <c r="BG21" s="21" t="e">
        <f>TEA!D$10-TEA!D$43-O21-AK21</f>
        <v>#VALUE!</v>
      </c>
      <c r="BH21" s="21" t="e">
        <f>TEA!E$10-TEA!E$43-P21-AL21</f>
        <v>#VALUE!</v>
      </c>
      <c r="BI21" s="21"/>
      <c r="BJ21" s="21">
        <f>TEA!G$10-TEA!G$43-R21-AN21</f>
        <v>0</v>
      </c>
      <c r="BK21" s="21">
        <f>TEA!H$10-TEA!H$43-S21-AO21</f>
        <v>0</v>
      </c>
      <c r="BL21" s="21">
        <f>TEA!I$10-TEA!I$43-T21-AP21</f>
        <v>-2803249.8973477646</v>
      </c>
      <c r="BM21" s="21">
        <f>TEA!J$10-TEA!J$43-U21-AQ21</f>
        <v>0</v>
      </c>
      <c r="BN21" s="21">
        <f>TEA!K$10-TEA!K$43-V21-AR21</f>
        <v>0</v>
      </c>
      <c r="BO21" s="21">
        <f>TEA!L$10-TEA!L$43-W21-AS21</f>
        <v>0</v>
      </c>
      <c r="BP21" s="21">
        <f t="shared" si="12"/>
        <v>-671655.26634752285</v>
      </c>
      <c r="BQ21" s="21">
        <f t="shared" si="13"/>
        <v>-709380.84703974426</v>
      </c>
      <c r="BR21" s="21" t="e">
        <f t="shared" si="14"/>
        <v>#VALUE!</v>
      </c>
      <c r="BS21" s="21" t="e">
        <f t="shared" si="15"/>
        <v>#VALUE!</v>
      </c>
      <c r="BT21" s="21"/>
      <c r="BU21" s="21">
        <f t="shared" si="16"/>
        <v>0</v>
      </c>
      <c r="BV21" s="21">
        <f t="shared" si="16"/>
        <v>0</v>
      </c>
      <c r="BW21" s="21">
        <f t="shared" si="16"/>
        <v>-100105587.93559016</v>
      </c>
      <c r="BX21" s="21">
        <f t="shared" si="16"/>
        <v>0</v>
      </c>
      <c r="BY21" s="21">
        <f t="shared" si="16"/>
        <v>0</v>
      </c>
      <c r="BZ21" s="21">
        <f t="shared" si="16"/>
        <v>0</v>
      </c>
      <c r="CA21" s="21">
        <f t="shared" si="17"/>
        <v>-619842.66392441059</v>
      </c>
      <c r="CB21" s="21">
        <f t="shared" si="18"/>
        <v>-661503.50075886806</v>
      </c>
      <c r="CC21" s="21" t="e">
        <f t="shared" si="19"/>
        <v>#VALUE!</v>
      </c>
      <c r="CD21" s="21" t="e">
        <f t="shared" si="20"/>
        <v>#VALUE!</v>
      </c>
      <c r="CE21" s="21"/>
      <c r="CF21" s="21">
        <f t="shared" si="21"/>
        <v>0</v>
      </c>
      <c r="CG21" s="21">
        <f t="shared" si="22"/>
        <v>0</v>
      </c>
      <c r="CH21" s="21">
        <f t="shared" si="23"/>
        <v>-102908837.83293793</v>
      </c>
      <c r="CI21" s="21">
        <f t="shared" si="24"/>
        <v>0</v>
      </c>
      <c r="CJ21" s="21">
        <f t="shared" si="25"/>
        <v>0</v>
      </c>
      <c r="CK21" s="21">
        <f t="shared" si="26"/>
        <v>0</v>
      </c>
      <c r="CL21" s="21">
        <f>IF(CA21&gt;0,CA21*TEA!B$17-TEA!B$24,0)</f>
        <v>0</v>
      </c>
      <c r="CM21" s="21">
        <f>IF(CB21&gt;0,CB21*TEA!C$17-TEA!C$24,0)</f>
        <v>0</v>
      </c>
      <c r="CN21" s="21" t="e">
        <f>IF(CC21&gt;0,CC21*TEA!D$17-TEA!D$24,0)</f>
        <v>#VALUE!</v>
      </c>
      <c r="CO21" s="21" t="e">
        <f>IF(CD21&gt;0,CD21*TEA!E$17-TEA!E$24,0)</f>
        <v>#VALUE!</v>
      </c>
      <c r="CP21" s="21"/>
      <c r="CQ21" s="21">
        <f>IF(CF21&gt;0,CF21*TEA!G$17-TEA!G$24,0)</f>
        <v>0</v>
      </c>
      <c r="CR21" s="21">
        <f>IF(CG21&gt;0,CG21*TEA!H$17-TEA!H$24,0)</f>
        <v>0</v>
      </c>
      <c r="CS21" s="21">
        <f>IF(CH21&gt;0,CH21*TEA!I$17-TEA!I$24,0)</f>
        <v>0</v>
      </c>
      <c r="CT21" s="21">
        <f>IF(CI21&gt;0,CI21*TEA!J$17-TEA!J$24,0)</f>
        <v>0</v>
      </c>
      <c r="CU21" s="21">
        <f>IF(CJ21&gt;0,CJ21*TEA!K$17-TEA!K$24,0)</f>
        <v>0</v>
      </c>
      <c r="CV21" s="21">
        <f>IF(CK21&gt;0,CK21*TEA!L$17-TEA!L$24,0)</f>
        <v>0</v>
      </c>
      <c r="CW21" s="21">
        <f>TEA!B$10-TEA!B$43-X21-CL21</f>
        <v>51812.602423112214</v>
      </c>
      <c r="CX21" s="21">
        <f>TEA!C$10-TEA!C$43-Y21-CM21</f>
        <v>47877.346280876183</v>
      </c>
      <c r="CY21" s="21" t="e">
        <f>TEA!D$10-TEA!D$43-Z21-CN21</f>
        <v>#VALUE!</v>
      </c>
      <c r="CZ21" s="21" t="e">
        <f>TEA!E$10-TEA!E$43-AA21-CO21</f>
        <v>#VALUE!</v>
      </c>
      <c r="DA21" s="21"/>
      <c r="DB21" s="21">
        <f>TEA!G$10-TEA!G$43-AC21-CQ21</f>
        <v>0</v>
      </c>
      <c r="DC21" s="21">
        <f>TEA!H$10-TEA!H$43-AD21-CR21</f>
        <v>0</v>
      </c>
      <c r="DD21" s="21">
        <f>TEA!I$10-TEA!I$43-AE21-CS21</f>
        <v>-2803249.8973477646</v>
      </c>
      <c r="DE21" s="21">
        <f>TEA!J$10-TEA!J$43-AF21-CT21</f>
        <v>0</v>
      </c>
      <c r="DF21" s="21">
        <f>TEA!K$10-TEA!K$43-AG21-CU21</f>
        <v>0</v>
      </c>
      <c r="DG21" s="21">
        <f>TEA!L$10-TEA!L$43-AH21-CV21</f>
        <v>0</v>
      </c>
      <c r="DH21" s="21">
        <f>CW21/(1+TEA!B$16)^$A21</f>
        <v>9318.9519738681538</v>
      </c>
      <c r="DI21" s="21">
        <f>CX21/(1+TEA!C$16)^$A21</f>
        <v>8611.1615661427804</v>
      </c>
      <c r="DJ21" s="21" t="e">
        <f>CY21/(1+TEA!D$16)^$A21</f>
        <v>#VALUE!</v>
      </c>
      <c r="DK21" s="21" t="e">
        <f>CZ21/(1+TEA!E$16)^$A21</f>
        <v>#VALUE!</v>
      </c>
      <c r="DL21" s="21"/>
      <c r="DM21" s="21">
        <f>DB21/(1+TEA!G$16)^$A21</f>
        <v>0</v>
      </c>
      <c r="DN21" s="21">
        <f>DC21/(1+TEA!H$16)^$A21</f>
        <v>0</v>
      </c>
      <c r="DO21" s="21">
        <f>DD21/(1+TEA!I$16)^$A21</f>
        <v>-504189.13435009634</v>
      </c>
      <c r="DP21" s="21">
        <f>DE21/(1+TEA!J$16)^$A21</f>
        <v>0</v>
      </c>
      <c r="DQ21" s="21">
        <f>DF21/(1+TEA!K$16)^$A21</f>
        <v>0</v>
      </c>
      <c r="DR21" s="21">
        <f>DG21/(1+TEA!L$16)^$A21</f>
        <v>0</v>
      </c>
    </row>
    <row r="22" spans="1:122" x14ac:dyDescent="0.25">
      <c r="A22" s="4">
        <f t="shared" si="1"/>
        <v>19</v>
      </c>
      <c r="B22" s="21">
        <f t="shared" si="2"/>
        <v>-1985044.7647425095</v>
      </c>
      <c r="C22" s="21">
        <f t="shared" si="3"/>
        <v>-1994768.194458429</v>
      </c>
      <c r="D22" s="21" t="e">
        <f t="shared" si="4"/>
        <v>#VALUE!</v>
      </c>
      <c r="E22" s="21" t="e">
        <f t="shared" si="5"/>
        <v>#VALUE!</v>
      </c>
      <c r="F22" s="21"/>
      <c r="G22" s="21">
        <f t="shared" si="6"/>
        <v>0</v>
      </c>
      <c r="H22" s="21">
        <f t="shared" si="7"/>
        <v>0</v>
      </c>
      <c r="I22" s="21">
        <f t="shared" si="8"/>
        <v>-65513274.591297626</v>
      </c>
      <c r="J22" s="21">
        <f t="shared" si="9"/>
        <v>0</v>
      </c>
      <c r="K22" s="21">
        <f t="shared" si="10"/>
        <v>0</v>
      </c>
      <c r="L22" s="21">
        <f t="shared" si="11"/>
        <v>0</v>
      </c>
      <c r="M22" s="21"/>
      <c r="X22" s="20"/>
      <c r="AI22" s="21"/>
      <c r="AT22" s="21"/>
      <c r="BE22" s="21">
        <f>TEA!B$10-TEA!B$43-M22-AI22</f>
        <v>51812.602423112214</v>
      </c>
      <c r="BF22" s="21">
        <f>TEA!C$10-TEA!C$43-N22-AJ22</f>
        <v>47877.346280876183</v>
      </c>
      <c r="BG22" s="21" t="e">
        <f>TEA!D$10-TEA!D$43-O22-AK22</f>
        <v>#VALUE!</v>
      </c>
      <c r="BH22" s="21" t="e">
        <f>TEA!E$10-TEA!E$43-P22-AL22</f>
        <v>#VALUE!</v>
      </c>
      <c r="BI22" s="21"/>
      <c r="BJ22" s="21">
        <f>TEA!G$10-TEA!G$43-R22-AN22</f>
        <v>0</v>
      </c>
      <c r="BK22" s="21">
        <f>TEA!H$10-TEA!H$43-S22-AO22</f>
        <v>0</v>
      </c>
      <c r="BL22" s="21">
        <f>TEA!I$10-TEA!I$43-T22-AP22</f>
        <v>-2803249.8973477646</v>
      </c>
      <c r="BM22" s="21">
        <f>TEA!J$10-TEA!J$43-U22-AQ22</f>
        <v>0</v>
      </c>
      <c r="BN22" s="21">
        <f>TEA!K$10-TEA!K$43-V22-AR22</f>
        <v>0</v>
      </c>
      <c r="BO22" s="21">
        <f>TEA!L$10-TEA!L$43-W22-AS22</f>
        <v>0</v>
      </c>
      <c r="BP22" s="21">
        <f t="shared" si="12"/>
        <v>-619842.66392441059</v>
      </c>
      <c r="BQ22" s="21">
        <f t="shared" si="13"/>
        <v>-661503.50075886806</v>
      </c>
      <c r="BR22" s="21" t="e">
        <f t="shared" si="14"/>
        <v>#VALUE!</v>
      </c>
      <c r="BS22" s="21" t="e">
        <f t="shared" si="15"/>
        <v>#VALUE!</v>
      </c>
      <c r="BT22" s="21"/>
      <c r="BU22" s="21">
        <f t="shared" si="16"/>
        <v>0</v>
      </c>
      <c r="BV22" s="21">
        <f t="shared" si="16"/>
        <v>0</v>
      </c>
      <c r="BW22" s="21">
        <f t="shared" si="16"/>
        <v>-102908837.83293793</v>
      </c>
      <c r="BX22" s="21">
        <f t="shared" si="16"/>
        <v>0</v>
      </c>
      <c r="BY22" s="21">
        <f t="shared" si="16"/>
        <v>0</v>
      </c>
      <c r="BZ22" s="21">
        <f t="shared" si="16"/>
        <v>0</v>
      </c>
      <c r="CA22" s="21">
        <f t="shared" si="17"/>
        <v>-568030.06150129833</v>
      </c>
      <c r="CB22" s="21">
        <f t="shared" si="18"/>
        <v>-613626.15447799186</v>
      </c>
      <c r="CC22" s="21" t="e">
        <f t="shared" si="19"/>
        <v>#VALUE!</v>
      </c>
      <c r="CD22" s="21" t="e">
        <f t="shared" si="20"/>
        <v>#VALUE!</v>
      </c>
      <c r="CE22" s="21"/>
      <c r="CF22" s="21">
        <f t="shared" si="21"/>
        <v>0</v>
      </c>
      <c r="CG22" s="21">
        <f t="shared" si="22"/>
        <v>0</v>
      </c>
      <c r="CH22" s="21">
        <f t="shared" si="23"/>
        <v>-105712087.73028569</v>
      </c>
      <c r="CI22" s="21">
        <f t="shared" si="24"/>
        <v>0</v>
      </c>
      <c r="CJ22" s="21">
        <f t="shared" si="25"/>
        <v>0</v>
      </c>
      <c r="CK22" s="21">
        <f t="shared" si="26"/>
        <v>0</v>
      </c>
      <c r="CL22" s="21">
        <f>IF(CA22&gt;0,CA22*TEA!B$17-TEA!B$24,0)</f>
        <v>0</v>
      </c>
      <c r="CM22" s="21">
        <f>IF(CB22&gt;0,CB22*TEA!C$17-TEA!C$24,0)</f>
        <v>0</v>
      </c>
      <c r="CN22" s="21" t="e">
        <f>IF(CC22&gt;0,CC22*TEA!D$17-TEA!D$24,0)</f>
        <v>#VALUE!</v>
      </c>
      <c r="CO22" s="21" t="e">
        <f>IF(CD22&gt;0,CD22*TEA!E$17-TEA!E$24,0)</f>
        <v>#VALUE!</v>
      </c>
      <c r="CP22" s="21"/>
      <c r="CQ22" s="21">
        <f>IF(CF22&gt;0,CF22*TEA!G$17-TEA!G$24,0)</f>
        <v>0</v>
      </c>
      <c r="CR22" s="21">
        <f>IF(CG22&gt;0,CG22*TEA!H$17-TEA!H$24,0)</f>
        <v>0</v>
      </c>
      <c r="CS22" s="21">
        <f>IF(CH22&gt;0,CH22*TEA!I$17-TEA!I$24,0)</f>
        <v>0</v>
      </c>
      <c r="CT22" s="21">
        <f>IF(CI22&gt;0,CI22*TEA!J$17-TEA!J$24,0)</f>
        <v>0</v>
      </c>
      <c r="CU22" s="21">
        <f>IF(CJ22&gt;0,CJ22*TEA!K$17-TEA!K$24,0)</f>
        <v>0</v>
      </c>
      <c r="CV22" s="21">
        <f>IF(CK22&gt;0,CK22*TEA!L$17-TEA!L$24,0)</f>
        <v>0</v>
      </c>
      <c r="CW22" s="21">
        <f>TEA!B$10-TEA!B$43-X22-CL22</f>
        <v>51812.602423112214</v>
      </c>
      <c r="CX22" s="21">
        <f>TEA!C$10-TEA!C$43-Y22-CM22</f>
        <v>47877.346280876183</v>
      </c>
      <c r="CY22" s="21" t="e">
        <f>TEA!D$10-TEA!D$43-Z22-CN22</f>
        <v>#VALUE!</v>
      </c>
      <c r="CZ22" s="21" t="e">
        <f>TEA!E$10-TEA!E$43-AA22-CO22</f>
        <v>#VALUE!</v>
      </c>
      <c r="DA22" s="21"/>
      <c r="DB22" s="21">
        <f>TEA!G$10-TEA!G$43-AC22-CQ22</f>
        <v>0</v>
      </c>
      <c r="DC22" s="21">
        <f>TEA!H$10-TEA!H$43-AD22-CR22</f>
        <v>0</v>
      </c>
      <c r="DD22" s="21">
        <f>TEA!I$10-TEA!I$43-AE22-CS22</f>
        <v>-2803249.8973477646</v>
      </c>
      <c r="DE22" s="21">
        <f>TEA!J$10-TEA!J$43-AF22-CT22</f>
        <v>0</v>
      </c>
      <c r="DF22" s="21">
        <f>TEA!K$10-TEA!K$43-AG22-CU22</f>
        <v>0</v>
      </c>
      <c r="DG22" s="21">
        <f>TEA!L$10-TEA!L$43-AH22-CV22</f>
        <v>0</v>
      </c>
      <c r="DH22" s="21">
        <f>CW22/(1+TEA!B$16)^$A22</f>
        <v>8471.7745216983203</v>
      </c>
      <c r="DI22" s="21">
        <f>CX22/(1+TEA!C$16)^$A22</f>
        <v>7828.328696493435</v>
      </c>
      <c r="DJ22" s="21" t="e">
        <f>CY22/(1+TEA!D$16)^$A22</f>
        <v>#VALUE!</v>
      </c>
      <c r="DK22" s="21" t="e">
        <f>CZ22/(1+TEA!E$16)^$A22</f>
        <v>#VALUE!</v>
      </c>
      <c r="DL22" s="21"/>
      <c r="DM22" s="21">
        <f>DB22/(1+TEA!G$16)^$A22</f>
        <v>0</v>
      </c>
      <c r="DN22" s="21">
        <f>DC22/(1+TEA!H$16)^$A22</f>
        <v>0</v>
      </c>
      <c r="DO22" s="21">
        <f>DD22/(1+TEA!I$16)^$A22</f>
        <v>-458353.75850008748</v>
      </c>
      <c r="DP22" s="21">
        <f>DE22/(1+TEA!J$16)^$A22</f>
        <v>0</v>
      </c>
      <c r="DQ22" s="21">
        <f>DF22/(1+TEA!K$16)^$A22</f>
        <v>0</v>
      </c>
      <c r="DR22" s="21">
        <f>DG22/(1+TEA!L$16)^$A22</f>
        <v>0</v>
      </c>
    </row>
    <row r="23" spans="1:122" x14ac:dyDescent="0.25">
      <c r="A23" s="4">
        <f t="shared" si="1"/>
        <v>20</v>
      </c>
      <c r="B23" s="21">
        <f t="shared" si="2"/>
        <v>-1977343.1515409655</v>
      </c>
      <c r="C23" s="21">
        <f t="shared" si="3"/>
        <v>-1987651.5320070714</v>
      </c>
      <c r="D23" s="21" t="e">
        <f t="shared" si="4"/>
        <v>#VALUE!</v>
      </c>
      <c r="E23" s="21" t="e">
        <f t="shared" si="5"/>
        <v>#VALUE!</v>
      </c>
      <c r="F23" s="21"/>
      <c r="G23" s="21">
        <f t="shared" si="6"/>
        <v>0</v>
      </c>
      <c r="H23" s="21">
        <f t="shared" si="7"/>
        <v>0</v>
      </c>
      <c r="I23" s="21">
        <f t="shared" si="8"/>
        <v>-65929959.826297708</v>
      </c>
      <c r="J23" s="21">
        <f t="shared" si="9"/>
        <v>0</v>
      </c>
      <c r="K23" s="21">
        <f t="shared" si="10"/>
        <v>0</v>
      </c>
      <c r="L23" s="21">
        <f t="shared" si="11"/>
        <v>0</v>
      </c>
      <c r="M23" s="21"/>
      <c r="X23" s="20"/>
      <c r="AI23" s="21"/>
      <c r="AT23" s="21"/>
      <c r="BE23" s="21">
        <f>TEA!B$10-TEA!B$43-M23-AI23</f>
        <v>51812.602423112214</v>
      </c>
      <c r="BF23" s="21">
        <f>TEA!C$10-TEA!C$43-N23-AJ23</f>
        <v>47877.346280876183</v>
      </c>
      <c r="BG23" s="21" t="e">
        <f>TEA!D$10-TEA!D$43-O23-AK23</f>
        <v>#VALUE!</v>
      </c>
      <c r="BH23" s="21" t="e">
        <f>TEA!E$10-TEA!E$43-P23-AL23</f>
        <v>#VALUE!</v>
      </c>
      <c r="BI23" s="21"/>
      <c r="BJ23" s="21">
        <f>TEA!G$10-TEA!G$43-R23-AN23</f>
        <v>0</v>
      </c>
      <c r="BK23" s="21">
        <f>TEA!H$10-TEA!H$43-S23-AO23</f>
        <v>0</v>
      </c>
      <c r="BL23" s="21">
        <f>TEA!I$10-TEA!I$43-T23-AP23</f>
        <v>-2803249.8973477646</v>
      </c>
      <c r="BM23" s="21">
        <f>TEA!J$10-TEA!J$43-U23-AQ23</f>
        <v>0</v>
      </c>
      <c r="BN23" s="21">
        <f>TEA!K$10-TEA!K$43-V23-AR23</f>
        <v>0</v>
      </c>
      <c r="BO23" s="21">
        <f>TEA!L$10-TEA!L$43-W23-AS23</f>
        <v>0</v>
      </c>
      <c r="BP23" s="21">
        <f t="shared" si="12"/>
        <v>-568030.06150129833</v>
      </c>
      <c r="BQ23" s="21">
        <f t="shared" si="13"/>
        <v>-613626.15447799186</v>
      </c>
      <c r="BR23" s="21" t="e">
        <f t="shared" si="14"/>
        <v>#VALUE!</v>
      </c>
      <c r="BS23" s="21" t="e">
        <f t="shared" si="15"/>
        <v>#VALUE!</v>
      </c>
      <c r="BT23" s="21"/>
      <c r="BU23" s="21">
        <f t="shared" si="16"/>
        <v>0</v>
      </c>
      <c r="BV23" s="21">
        <f t="shared" si="16"/>
        <v>0</v>
      </c>
      <c r="BW23" s="21">
        <f t="shared" si="16"/>
        <v>-105712087.73028569</v>
      </c>
      <c r="BX23" s="21">
        <f t="shared" si="16"/>
        <v>0</v>
      </c>
      <c r="BY23" s="21">
        <f t="shared" si="16"/>
        <v>0</v>
      </c>
      <c r="BZ23" s="21">
        <f t="shared" si="16"/>
        <v>0</v>
      </c>
      <c r="CA23" s="21">
        <f t="shared" si="17"/>
        <v>-516217.45907818613</v>
      </c>
      <c r="CB23" s="21">
        <f t="shared" si="18"/>
        <v>-565748.80819711566</v>
      </c>
      <c r="CC23" s="21" t="e">
        <f t="shared" si="19"/>
        <v>#VALUE!</v>
      </c>
      <c r="CD23" s="21" t="e">
        <f t="shared" si="20"/>
        <v>#VALUE!</v>
      </c>
      <c r="CE23" s="21"/>
      <c r="CF23" s="21">
        <f t="shared" si="21"/>
        <v>0</v>
      </c>
      <c r="CG23" s="21">
        <f t="shared" si="22"/>
        <v>0</v>
      </c>
      <c r="CH23" s="21">
        <f t="shared" si="23"/>
        <v>-108515337.62763345</v>
      </c>
      <c r="CI23" s="21">
        <f t="shared" si="24"/>
        <v>0</v>
      </c>
      <c r="CJ23" s="21">
        <f t="shared" si="25"/>
        <v>0</v>
      </c>
      <c r="CK23" s="21">
        <f t="shared" si="26"/>
        <v>0</v>
      </c>
      <c r="CL23" s="21">
        <f>IF(CA23&gt;0,CA23*TEA!B$17-TEA!B$24,0)</f>
        <v>0</v>
      </c>
      <c r="CM23" s="21">
        <f>IF(CB23&gt;0,CB23*TEA!C$17-TEA!C$24,0)</f>
        <v>0</v>
      </c>
      <c r="CN23" s="21" t="e">
        <f>IF(CC23&gt;0,CC23*TEA!D$17-TEA!D$24,0)</f>
        <v>#VALUE!</v>
      </c>
      <c r="CO23" s="21" t="e">
        <f>IF(CD23&gt;0,CD23*TEA!E$17-TEA!E$24,0)</f>
        <v>#VALUE!</v>
      </c>
      <c r="CP23" s="21"/>
      <c r="CQ23" s="21">
        <f>IF(CF23&gt;0,CF23*TEA!G$17-TEA!G$24,0)</f>
        <v>0</v>
      </c>
      <c r="CR23" s="21">
        <f>IF(CG23&gt;0,CG23*TEA!H$17-TEA!H$24,0)</f>
        <v>0</v>
      </c>
      <c r="CS23" s="21">
        <f>IF(CH23&gt;0,CH23*TEA!I$17-TEA!I$24,0)</f>
        <v>0</v>
      </c>
      <c r="CT23" s="21">
        <f>IF(CI23&gt;0,CI23*TEA!J$17-TEA!J$24,0)</f>
        <v>0</v>
      </c>
      <c r="CU23" s="21">
        <f>IF(CJ23&gt;0,CJ23*TEA!K$17-TEA!K$24,0)</f>
        <v>0</v>
      </c>
      <c r="CV23" s="21">
        <f>IF(CK23&gt;0,CK23*TEA!L$17-TEA!L$24,0)</f>
        <v>0</v>
      </c>
      <c r="CW23" s="21">
        <f>TEA!B$10-TEA!B$43-X23-CL23</f>
        <v>51812.602423112214</v>
      </c>
      <c r="CX23" s="21">
        <f>TEA!C$10-TEA!C$43-Y23-CM23</f>
        <v>47877.346280876183</v>
      </c>
      <c r="CY23" s="21" t="e">
        <f>TEA!D$10-TEA!D$43-Z23-CN23</f>
        <v>#VALUE!</v>
      </c>
      <c r="CZ23" s="21" t="e">
        <f>TEA!E$10-TEA!E$43-AA23-CO23</f>
        <v>#VALUE!</v>
      </c>
      <c r="DA23" s="21"/>
      <c r="DB23" s="21">
        <f>TEA!G$10-TEA!G$43-AC23-CQ23</f>
        <v>0</v>
      </c>
      <c r="DC23" s="21">
        <f>TEA!H$10-TEA!H$43-AD23-CR23</f>
        <v>0</v>
      </c>
      <c r="DD23" s="21">
        <f>TEA!I$10-TEA!I$43-AE23-CS23</f>
        <v>-2803249.8973477646</v>
      </c>
      <c r="DE23" s="21">
        <f>TEA!J$10-TEA!J$43-AF23-CT23</f>
        <v>0</v>
      </c>
      <c r="DF23" s="21">
        <f>TEA!K$10-TEA!K$43-AG23-CU23</f>
        <v>0</v>
      </c>
      <c r="DG23" s="21">
        <f>TEA!L$10-TEA!L$43-AH23-CV23</f>
        <v>0</v>
      </c>
      <c r="DH23" s="21">
        <f>CW23/(1+TEA!B$16)^$A23</f>
        <v>7701.6132015439271</v>
      </c>
      <c r="DI23" s="21">
        <f>CX23/(1+TEA!C$16)^$A23</f>
        <v>7116.6624513576689</v>
      </c>
      <c r="DJ23" s="21" t="e">
        <f>CY23/(1+TEA!D$16)^$A23</f>
        <v>#VALUE!</v>
      </c>
      <c r="DK23" s="21" t="e">
        <f>CZ23/(1+TEA!E$16)^$A23</f>
        <v>#VALUE!</v>
      </c>
      <c r="DL23" s="21"/>
      <c r="DM23" s="21">
        <f>DB23/(1+TEA!G$16)^$A23</f>
        <v>0</v>
      </c>
      <c r="DN23" s="21">
        <f>DC23/(1+TEA!H$16)^$A23</f>
        <v>0</v>
      </c>
      <c r="DO23" s="21">
        <f>DD23/(1+TEA!I$16)^$A23</f>
        <v>-416685.23500007956</v>
      </c>
      <c r="DP23" s="21">
        <f>DE23/(1+TEA!J$16)^$A23</f>
        <v>0</v>
      </c>
      <c r="DQ23" s="21">
        <f>DF23/(1+TEA!K$16)^$A23</f>
        <v>0</v>
      </c>
      <c r="DR23" s="21">
        <f>DG23/(1+TEA!L$16)^$A23</f>
        <v>0</v>
      </c>
    </row>
    <row r="24" spans="1:122" x14ac:dyDescent="0.25">
      <c r="A24" s="4">
        <f t="shared" si="1"/>
        <v>21</v>
      </c>
      <c r="B24" s="21">
        <f t="shared" si="2"/>
        <v>-1970341.6849941073</v>
      </c>
      <c r="C24" s="21">
        <f t="shared" si="3"/>
        <v>-1981181.8388694734</v>
      </c>
      <c r="D24" s="21" t="e">
        <f t="shared" si="4"/>
        <v>#VALUE!</v>
      </c>
      <c r="E24" s="21" t="e">
        <f t="shared" si="5"/>
        <v>#VALUE!</v>
      </c>
      <c r="F24" s="21"/>
      <c r="G24" s="21">
        <f t="shared" si="6"/>
        <v>0</v>
      </c>
      <c r="H24" s="21">
        <f t="shared" si="7"/>
        <v>0</v>
      </c>
      <c r="I24" s="21">
        <f t="shared" si="8"/>
        <v>-66308764.58538869</v>
      </c>
      <c r="J24" s="21">
        <f t="shared" si="9"/>
        <v>0</v>
      </c>
      <c r="K24" s="21">
        <f t="shared" si="10"/>
        <v>0</v>
      </c>
      <c r="L24" s="21">
        <f t="shared" si="11"/>
        <v>0</v>
      </c>
      <c r="M24" s="21"/>
      <c r="X24" s="20"/>
      <c r="AI24" s="21"/>
      <c r="AT24" s="21"/>
      <c r="BE24" s="21">
        <f>TEA!B$10-TEA!B$43-M24-AI24</f>
        <v>51812.602423112214</v>
      </c>
      <c r="BF24" s="21">
        <f>TEA!C$10-TEA!C$43-N24-AJ24</f>
        <v>47877.346280876183</v>
      </c>
      <c r="BG24" s="21" t="e">
        <f>TEA!D$10-TEA!D$43-O24-AK24</f>
        <v>#VALUE!</v>
      </c>
      <c r="BH24" s="21" t="e">
        <f>TEA!E$10-TEA!E$43-P24-AL24</f>
        <v>#VALUE!</v>
      </c>
      <c r="BI24" s="21"/>
      <c r="BJ24" s="21">
        <f>TEA!G$10-TEA!G$43-R24-AN24</f>
        <v>0</v>
      </c>
      <c r="BK24" s="21">
        <f>TEA!H$10-TEA!H$43-S24-AO24</f>
        <v>0</v>
      </c>
      <c r="BL24" s="21">
        <f>TEA!I$10-TEA!I$43-T24-AP24</f>
        <v>-2803249.8973477646</v>
      </c>
      <c r="BM24" s="21">
        <f>TEA!J$10-TEA!J$43-U24-AQ24</f>
        <v>0</v>
      </c>
      <c r="BN24" s="21">
        <f>TEA!K$10-TEA!K$43-V24-AR24</f>
        <v>0</v>
      </c>
      <c r="BO24" s="21">
        <f>TEA!L$10-TEA!L$43-W24-AS24</f>
        <v>0</v>
      </c>
      <c r="BP24" s="21">
        <f t="shared" si="12"/>
        <v>-516217.45907818613</v>
      </c>
      <c r="BQ24" s="21">
        <f t="shared" si="13"/>
        <v>-565748.80819711566</v>
      </c>
      <c r="BR24" s="21" t="e">
        <f t="shared" si="14"/>
        <v>#VALUE!</v>
      </c>
      <c r="BS24" s="21" t="e">
        <f t="shared" si="15"/>
        <v>#VALUE!</v>
      </c>
      <c r="BT24" s="21"/>
      <c r="BU24" s="21">
        <f t="shared" si="16"/>
        <v>0</v>
      </c>
      <c r="BV24" s="21">
        <f t="shared" si="16"/>
        <v>0</v>
      </c>
      <c r="BW24" s="21">
        <f t="shared" si="16"/>
        <v>-108515337.62763345</v>
      </c>
      <c r="BX24" s="21">
        <f t="shared" si="16"/>
        <v>0</v>
      </c>
      <c r="BY24" s="21">
        <f t="shared" si="16"/>
        <v>0</v>
      </c>
      <c r="BZ24" s="21">
        <f t="shared" si="16"/>
        <v>0</v>
      </c>
      <c r="CA24" s="21">
        <f t="shared" si="17"/>
        <v>-464404.85665507393</v>
      </c>
      <c r="CB24" s="21">
        <f t="shared" si="18"/>
        <v>-517871.46191623947</v>
      </c>
      <c r="CC24" s="21" t="e">
        <f t="shared" si="19"/>
        <v>#VALUE!</v>
      </c>
      <c r="CD24" s="21" t="e">
        <f t="shared" si="20"/>
        <v>#VALUE!</v>
      </c>
      <c r="CE24" s="21"/>
      <c r="CF24" s="21">
        <f t="shared" si="21"/>
        <v>0</v>
      </c>
      <c r="CG24" s="21">
        <f t="shared" si="22"/>
        <v>0</v>
      </c>
      <c r="CH24" s="21">
        <f t="shared" si="23"/>
        <v>-111318587.52498122</v>
      </c>
      <c r="CI24" s="21">
        <f t="shared" si="24"/>
        <v>0</v>
      </c>
      <c r="CJ24" s="21">
        <f t="shared" si="25"/>
        <v>0</v>
      </c>
      <c r="CK24" s="21">
        <f t="shared" si="26"/>
        <v>0</v>
      </c>
      <c r="CL24" s="21">
        <f>IF(CA24&gt;0,CA24*TEA!B$17-TEA!B$24,0)</f>
        <v>0</v>
      </c>
      <c r="CM24" s="21">
        <f>IF(CB24&gt;0,CB24*TEA!C$17-TEA!C$24,0)</f>
        <v>0</v>
      </c>
      <c r="CN24" s="21" t="e">
        <f>IF(CC24&gt;0,CC24*TEA!D$17-TEA!D$24,0)</f>
        <v>#VALUE!</v>
      </c>
      <c r="CO24" s="21" t="e">
        <f>IF(CD24&gt;0,CD24*TEA!E$17-TEA!E$24,0)</f>
        <v>#VALUE!</v>
      </c>
      <c r="CP24" s="21"/>
      <c r="CQ24" s="21">
        <f>IF(CF24&gt;0,CF24*TEA!G$17-TEA!G$24,0)</f>
        <v>0</v>
      </c>
      <c r="CR24" s="21">
        <f>IF(CG24&gt;0,CG24*TEA!H$17-TEA!H$24,0)</f>
        <v>0</v>
      </c>
      <c r="CS24" s="21">
        <f>IF(CH24&gt;0,CH24*TEA!I$17-TEA!I$24,0)</f>
        <v>0</v>
      </c>
      <c r="CT24" s="21">
        <f>IF(CI24&gt;0,CI24*TEA!J$17-TEA!J$24,0)</f>
        <v>0</v>
      </c>
      <c r="CU24" s="21">
        <f>IF(CJ24&gt;0,CJ24*TEA!K$17-TEA!K$24,0)</f>
        <v>0</v>
      </c>
      <c r="CV24" s="21">
        <f>IF(CK24&gt;0,CK24*TEA!L$17-TEA!L$24,0)</f>
        <v>0</v>
      </c>
      <c r="CW24" s="21">
        <f>TEA!B$10-TEA!B$43-X24-CL24</f>
        <v>51812.602423112214</v>
      </c>
      <c r="CX24" s="21">
        <f>TEA!C$10-TEA!C$43-Y24-CM24</f>
        <v>47877.346280876183</v>
      </c>
      <c r="CY24" s="21" t="e">
        <f>TEA!D$10-TEA!D$43-Z24-CN24</f>
        <v>#VALUE!</v>
      </c>
      <c r="CZ24" s="21" t="e">
        <f>TEA!E$10-TEA!E$43-AA24-CO24</f>
        <v>#VALUE!</v>
      </c>
      <c r="DA24" s="21"/>
      <c r="DB24" s="21">
        <f>TEA!G$10-TEA!G$43-AC24-CQ24</f>
        <v>0</v>
      </c>
      <c r="DC24" s="21">
        <f>TEA!H$10-TEA!H$43-AD24-CR24</f>
        <v>0</v>
      </c>
      <c r="DD24" s="21">
        <f>TEA!I$10-TEA!I$43-AE24-CS24</f>
        <v>-2803249.8973477646</v>
      </c>
      <c r="DE24" s="21">
        <f>TEA!J$10-TEA!J$43-AF24-CT24</f>
        <v>0</v>
      </c>
      <c r="DF24" s="21">
        <f>TEA!K$10-TEA!K$43-AG24-CU24</f>
        <v>0</v>
      </c>
      <c r="DG24" s="21">
        <f>TEA!L$10-TEA!L$43-AH24-CV24</f>
        <v>0</v>
      </c>
      <c r="DH24" s="21">
        <f>CW24/(1+TEA!B$16)^$A24</f>
        <v>7001.4665468581152</v>
      </c>
      <c r="DI24" s="21">
        <f>CX24/(1+TEA!C$16)^$A24</f>
        <v>6469.6931375978802</v>
      </c>
      <c r="DJ24" s="21" t="e">
        <f>CY24/(1+TEA!D$16)^$A24</f>
        <v>#VALUE!</v>
      </c>
      <c r="DK24" s="21" t="e">
        <f>CZ24/(1+TEA!E$16)^$A24</f>
        <v>#VALUE!</v>
      </c>
      <c r="DL24" s="21"/>
      <c r="DM24" s="21">
        <f>DB24/(1+TEA!G$16)^$A24</f>
        <v>0</v>
      </c>
      <c r="DN24" s="21">
        <f>DC24/(1+TEA!H$16)^$A24</f>
        <v>0</v>
      </c>
      <c r="DO24" s="21">
        <f>DD24/(1+TEA!I$16)^$A24</f>
        <v>-378804.75909098133</v>
      </c>
      <c r="DP24" s="21">
        <f>DE24/(1+TEA!J$16)^$A24</f>
        <v>0</v>
      </c>
      <c r="DQ24" s="21">
        <f>DF24/(1+TEA!K$16)^$A24</f>
        <v>0</v>
      </c>
      <c r="DR24" s="21">
        <f>DG24/(1+TEA!L$16)^$A24</f>
        <v>0</v>
      </c>
    </row>
    <row r="25" spans="1:122" x14ac:dyDescent="0.25">
      <c r="A25" s="4">
        <f t="shared" si="1"/>
        <v>22</v>
      </c>
      <c r="B25" s="21">
        <f t="shared" si="2"/>
        <v>-1963976.7154060546</v>
      </c>
      <c r="C25" s="21">
        <f t="shared" si="3"/>
        <v>-1975300.2996534754</v>
      </c>
      <c r="D25" s="21" t="e">
        <f t="shared" si="4"/>
        <v>#VALUE!</v>
      </c>
      <c r="E25" s="21" t="e">
        <f t="shared" si="5"/>
        <v>#VALUE!</v>
      </c>
      <c r="F25" s="21"/>
      <c r="G25" s="21">
        <f t="shared" si="6"/>
        <v>0</v>
      </c>
      <c r="H25" s="21">
        <f t="shared" si="7"/>
        <v>0</v>
      </c>
      <c r="I25" s="21">
        <f t="shared" si="8"/>
        <v>-66653132.54819867</v>
      </c>
      <c r="J25" s="21">
        <f t="shared" si="9"/>
        <v>0</v>
      </c>
      <c r="K25" s="21">
        <f t="shared" si="10"/>
        <v>0</v>
      </c>
      <c r="L25" s="21">
        <f t="shared" si="11"/>
        <v>0</v>
      </c>
      <c r="M25" s="21"/>
      <c r="X25" s="20"/>
      <c r="AI25" s="21"/>
      <c r="AT25" s="21"/>
      <c r="BE25" s="21">
        <f>TEA!B$10-TEA!B$43-M25-AI25</f>
        <v>51812.602423112214</v>
      </c>
      <c r="BF25" s="21">
        <f>TEA!C$10-TEA!C$43-N25-AJ25</f>
        <v>47877.346280876183</v>
      </c>
      <c r="BG25" s="21" t="e">
        <f>TEA!D$10-TEA!D$43-O25-AK25</f>
        <v>#VALUE!</v>
      </c>
      <c r="BH25" s="21" t="e">
        <f>TEA!E$10-TEA!E$43-P25-AL25</f>
        <v>#VALUE!</v>
      </c>
      <c r="BI25" s="21"/>
      <c r="BJ25" s="21">
        <f>TEA!G$10-TEA!G$43-R25-AN25</f>
        <v>0</v>
      </c>
      <c r="BK25" s="21">
        <f>TEA!H$10-TEA!H$43-S25-AO25</f>
        <v>0</v>
      </c>
      <c r="BL25" s="21">
        <f>TEA!I$10-TEA!I$43-T25-AP25</f>
        <v>-2803249.8973477646</v>
      </c>
      <c r="BM25" s="21">
        <f>TEA!J$10-TEA!J$43-U25-AQ25</f>
        <v>0</v>
      </c>
      <c r="BN25" s="21">
        <f>TEA!K$10-TEA!K$43-V25-AR25</f>
        <v>0</v>
      </c>
      <c r="BO25" s="21">
        <f>TEA!L$10-TEA!L$43-W25-AS25</f>
        <v>0</v>
      </c>
      <c r="BP25" s="21">
        <f t="shared" si="12"/>
        <v>-464404.85665507393</v>
      </c>
      <c r="BQ25" s="21">
        <f t="shared" si="13"/>
        <v>-517871.46191623947</v>
      </c>
      <c r="BR25" s="21" t="e">
        <f t="shared" si="14"/>
        <v>#VALUE!</v>
      </c>
      <c r="BS25" s="21" t="e">
        <f t="shared" si="15"/>
        <v>#VALUE!</v>
      </c>
      <c r="BT25" s="21"/>
      <c r="BU25" s="21">
        <f t="shared" si="16"/>
        <v>0</v>
      </c>
      <c r="BV25" s="21">
        <f t="shared" si="16"/>
        <v>0</v>
      </c>
      <c r="BW25" s="21">
        <f t="shared" si="16"/>
        <v>-111318587.52498122</v>
      </c>
      <c r="BX25" s="21">
        <f t="shared" si="16"/>
        <v>0</v>
      </c>
      <c r="BY25" s="21">
        <f t="shared" si="16"/>
        <v>0</v>
      </c>
      <c r="BZ25" s="21">
        <f t="shared" si="16"/>
        <v>0</v>
      </c>
      <c r="CA25" s="21">
        <f t="shared" si="17"/>
        <v>-412592.25423196174</v>
      </c>
      <c r="CB25" s="21">
        <f t="shared" si="18"/>
        <v>-469994.11563536327</v>
      </c>
      <c r="CC25" s="21" t="e">
        <f t="shared" si="19"/>
        <v>#VALUE!</v>
      </c>
      <c r="CD25" s="21" t="e">
        <f t="shared" si="20"/>
        <v>#VALUE!</v>
      </c>
      <c r="CE25" s="21"/>
      <c r="CF25" s="21">
        <f t="shared" si="21"/>
        <v>0</v>
      </c>
      <c r="CG25" s="21">
        <f t="shared" si="22"/>
        <v>0</v>
      </c>
      <c r="CH25" s="21">
        <f t="shared" si="23"/>
        <v>-114121837.42232898</v>
      </c>
      <c r="CI25" s="21">
        <f t="shared" si="24"/>
        <v>0</v>
      </c>
      <c r="CJ25" s="21">
        <f t="shared" si="25"/>
        <v>0</v>
      </c>
      <c r="CK25" s="21">
        <f t="shared" si="26"/>
        <v>0</v>
      </c>
      <c r="CL25" s="21">
        <f>IF(CA25&gt;0,CA25*TEA!B$17-TEA!B$24,0)</f>
        <v>0</v>
      </c>
      <c r="CM25" s="21">
        <f>IF(CB25&gt;0,CB25*TEA!C$17-TEA!C$24,0)</f>
        <v>0</v>
      </c>
      <c r="CN25" s="21" t="e">
        <f>IF(CC25&gt;0,CC25*TEA!D$17-TEA!D$24,0)</f>
        <v>#VALUE!</v>
      </c>
      <c r="CO25" s="21" t="e">
        <f>IF(CD25&gt;0,CD25*TEA!E$17-TEA!E$24,0)</f>
        <v>#VALUE!</v>
      </c>
      <c r="CP25" s="21"/>
      <c r="CQ25" s="21">
        <f>IF(CF25&gt;0,CF25*TEA!G$17-TEA!G$24,0)</f>
        <v>0</v>
      </c>
      <c r="CR25" s="21">
        <f>IF(CG25&gt;0,CG25*TEA!H$17-TEA!H$24,0)</f>
        <v>0</v>
      </c>
      <c r="CS25" s="21">
        <f>IF(CH25&gt;0,CH25*TEA!I$17-TEA!I$24,0)</f>
        <v>0</v>
      </c>
      <c r="CT25" s="21">
        <f>IF(CI25&gt;0,CI25*TEA!J$17-TEA!J$24,0)</f>
        <v>0</v>
      </c>
      <c r="CU25" s="21">
        <f>IF(CJ25&gt;0,CJ25*TEA!K$17-TEA!K$24,0)</f>
        <v>0</v>
      </c>
      <c r="CV25" s="21">
        <f>IF(CK25&gt;0,CK25*TEA!L$17-TEA!L$24,0)</f>
        <v>0</v>
      </c>
      <c r="CW25" s="21">
        <f>TEA!B$10-TEA!B$43-X25-CL25</f>
        <v>51812.602423112214</v>
      </c>
      <c r="CX25" s="21">
        <f>TEA!C$10-TEA!C$43-Y25-CM25</f>
        <v>47877.346280876183</v>
      </c>
      <c r="CY25" s="21" t="e">
        <f>TEA!D$10-TEA!D$43-Z25-CN25</f>
        <v>#VALUE!</v>
      </c>
      <c r="CZ25" s="21" t="e">
        <f>TEA!E$10-TEA!E$43-AA25-CO25</f>
        <v>#VALUE!</v>
      </c>
      <c r="DA25" s="21"/>
      <c r="DB25" s="21">
        <f>TEA!G$10-TEA!G$43-AC25-CQ25</f>
        <v>0</v>
      </c>
      <c r="DC25" s="21">
        <f>TEA!H$10-TEA!H$43-AD25-CR25</f>
        <v>0</v>
      </c>
      <c r="DD25" s="21">
        <f>TEA!I$10-TEA!I$43-AE25-CS25</f>
        <v>-2803249.8973477646</v>
      </c>
      <c r="DE25" s="21">
        <f>TEA!J$10-TEA!J$43-AF25-CT25</f>
        <v>0</v>
      </c>
      <c r="DF25" s="21">
        <f>TEA!K$10-TEA!K$43-AG25-CU25</f>
        <v>0</v>
      </c>
      <c r="DG25" s="21">
        <f>TEA!L$10-TEA!L$43-AH25-CV25</f>
        <v>0</v>
      </c>
      <c r="DH25" s="21">
        <f>CW25/(1+TEA!B$16)^$A25</f>
        <v>6364.9695880528307</v>
      </c>
      <c r="DI25" s="21">
        <f>CX25/(1+TEA!C$16)^$A25</f>
        <v>5881.539215998072</v>
      </c>
      <c r="DJ25" s="21" t="e">
        <f>CY25/(1+TEA!D$16)^$A25</f>
        <v>#VALUE!</v>
      </c>
      <c r="DK25" s="21" t="e">
        <f>CZ25/(1+TEA!E$16)^$A25</f>
        <v>#VALUE!</v>
      </c>
      <c r="DL25" s="21"/>
      <c r="DM25" s="21">
        <f>DB25/(1+TEA!G$16)^$A25</f>
        <v>0</v>
      </c>
      <c r="DN25" s="21">
        <f>DC25/(1+TEA!H$16)^$A25</f>
        <v>0</v>
      </c>
      <c r="DO25" s="21">
        <f>DD25/(1+TEA!I$16)^$A25</f>
        <v>-344367.962809983</v>
      </c>
      <c r="DP25" s="21">
        <f>DE25/(1+TEA!J$16)^$A25</f>
        <v>0</v>
      </c>
      <c r="DQ25" s="21">
        <f>DF25/(1+TEA!K$16)^$A25</f>
        <v>0</v>
      </c>
      <c r="DR25" s="21">
        <f>DG25/(1+TEA!L$16)^$A25</f>
        <v>0</v>
      </c>
    </row>
    <row r="26" spans="1:122" x14ac:dyDescent="0.25">
      <c r="A26" s="4">
        <f t="shared" si="1"/>
        <v>23</v>
      </c>
      <c r="B26" s="21">
        <f t="shared" si="2"/>
        <v>-1958190.3794169156</v>
      </c>
      <c r="C26" s="21">
        <f t="shared" si="3"/>
        <v>-1969953.44582075</v>
      </c>
      <c r="D26" s="21" t="e">
        <f t="shared" si="4"/>
        <v>#VALUE!</v>
      </c>
      <c r="E26" s="21" t="e">
        <f t="shared" si="5"/>
        <v>#VALUE!</v>
      </c>
      <c r="F26" s="21"/>
      <c r="G26" s="21">
        <f t="shared" si="6"/>
        <v>0</v>
      </c>
      <c r="H26" s="21">
        <f t="shared" si="7"/>
        <v>0</v>
      </c>
      <c r="I26" s="21">
        <f t="shared" si="8"/>
        <v>-66966194.33257138</v>
      </c>
      <c r="J26" s="21">
        <f t="shared" si="9"/>
        <v>0</v>
      </c>
      <c r="K26" s="21">
        <f t="shared" si="10"/>
        <v>0</v>
      </c>
      <c r="L26" s="21">
        <f t="shared" si="11"/>
        <v>0</v>
      </c>
      <c r="M26" s="21"/>
      <c r="X26" s="20"/>
      <c r="AI26" s="21"/>
      <c r="AT26" s="21"/>
      <c r="BE26" s="21">
        <f>TEA!B$10-TEA!B$43-M26-AI26</f>
        <v>51812.602423112214</v>
      </c>
      <c r="BF26" s="21">
        <f>TEA!C$10-TEA!C$43-N26-AJ26</f>
        <v>47877.346280876183</v>
      </c>
      <c r="BG26" s="21" t="e">
        <f>TEA!D$10-TEA!D$43-O26-AK26</f>
        <v>#VALUE!</v>
      </c>
      <c r="BH26" s="21" t="e">
        <f>TEA!E$10-TEA!E$43-P26-AL26</f>
        <v>#VALUE!</v>
      </c>
      <c r="BI26" s="21"/>
      <c r="BJ26" s="21">
        <f>TEA!G$10-TEA!G$43-R26-AN26</f>
        <v>0</v>
      </c>
      <c r="BK26" s="21">
        <f>TEA!H$10-TEA!H$43-S26-AO26</f>
        <v>0</v>
      </c>
      <c r="BL26" s="21">
        <f>TEA!I$10-TEA!I$43-T26-AP26</f>
        <v>-2803249.8973477646</v>
      </c>
      <c r="BM26" s="21">
        <f>TEA!J$10-TEA!J$43-U26-AQ26</f>
        <v>0</v>
      </c>
      <c r="BN26" s="21">
        <f>TEA!K$10-TEA!K$43-V26-AR26</f>
        <v>0</v>
      </c>
      <c r="BO26" s="21">
        <f>TEA!L$10-TEA!L$43-W26-AS26</f>
        <v>0</v>
      </c>
      <c r="BP26" s="21">
        <f t="shared" si="12"/>
        <v>-412592.25423196174</v>
      </c>
      <c r="BQ26" s="21">
        <f t="shared" si="13"/>
        <v>-469994.11563536327</v>
      </c>
      <c r="BR26" s="21" t="e">
        <f t="shared" si="14"/>
        <v>#VALUE!</v>
      </c>
      <c r="BS26" s="21" t="e">
        <f t="shared" si="15"/>
        <v>#VALUE!</v>
      </c>
      <c r="BT26" s="21"/>
      <c r="BU26" s="21">
        <f t="shared" si="16"/>
        <v>0</v>
      </c>
      <c r="BV26" s="21">
        <f t="shared" si="16"/>
        <v>0</v>
      </c>
      <c r="BW26" s="21">
        <f t="shared" si="16"/>
        <v>-114121837.42232898</v>
      </c>
      <c r="BX26" s="21">
        <f t="shared" si="16"/>
        <v>0</v>
      </c>
      <c r="BY26" s="21">
        <f t="shared" si="16"/>
        <v>0</v>
      </c>
      <c r="BZ26" s="21">
        <f t="shared" si="16"/>
        <v>0</v>
      </c>
      <c r="CA26" s="21">
        <f t="shared" si="17"/>
        <v>-360779.65180884954</v>
      </c>
      <c r="CB26" s="21">
        <f t="shared" si="18"/>
        <v>-422116.76935448707</v>
      </c>
      <c r="CC26" s="21" t="e">
        <f t="shared" si="19"/>
        <v>#VALUE!</v>
      </c>
      <c r="CD26" s="21" t="e">
        <f t="shared" si="20"/>
        <v>#VALUE!</v>
      </c>
      <c r="CE26" s="21"/>
      <c r="CF26" s="21">
        <f t="shared" si="21"/>
        <v>0</v>
      </c>
      <c r="CG26" s="21">
        <f t="shared" si="22"/>
        <v>0</v>
      </c>
      <c r="CH26" s="21">
        <f t="shared" si="23"/>
        <v>-116925087.31967674</v>
      </c>
      <c r="CI26" s="21">
        <f t="shared" si="24"/>
        <v>0</v>
      </c>
      <c r="CJ26" s="21">
        <f t="shared" si="25"/>
        <v>0</v>
      </c>
      <c r="CK26" s="21">
        <f t="shared" si="26"/>
        <v>0</v>
      </c>
      <c r="CL26" s="21">
        <f>IF(CA26&gt;0,CA26*TEA!B$17-TEA!B$24,0)</f>
        <v>0</v>
      </c>
      <c r="CM26" s="21">
        <f>IF(CB26&gt;0,CB26*TEA!C$17-TEA!C$24,0)</f>
        <v>0</v>
      </c>
      <c r="CN26" s="21" t="e">
        <f>IF(CC26&gt;0,CC26*TEA!D$17-TEA!D$24,0)</f>
        <v>#VALUE!</v>
      </c>
      <c r="CO26" s="21" t="e">
        <f>IF(CD26&gt;0,CD26*TEA!E$17-TEA!E$24,0)</f>
        <v>#VALUE!</v>
      </c>
      <c r="CP26" s="21"/>
      <c r="CQ26" s="21">
        <f>IF(CF26&gt;0,CF26*TEA!G$17-TEA!G$24,0)</f>
        <v>0</v>
      </c>
      <c r="CR26" s="21">
        <f>IF(CG26&gt;0,CG26*TEA!H$17-TEA!H$24,0)</f>
        <v>0</v>
      </c>
      <c r="CS26" s="21">
        <f>IF(CH26&gt;0,CH26*TEA!I$17-TEA!I$24,0)</f>
        <v>0</v>
      </c>
      <c r="CT26" s="21">
        <f>IF(CI26&gt;0,CI26*TEA!J$17-TEA!J$24,0)</f>
        <v>0</v>
      </c>
      <c r="CU26" s="21">
        <f>IF(CJ26&gt;0,CJ26*TEA!K$17-TEA!K$24,0)</f>
        <v>0</v>
      </c>
      <c r="CV26" s="21">
        <f>IF(CK26&gt;0,CK26*TEA!L$17-TEA!L$24,0)</f>
        <v>0</v>
      </c>
      <c r="CW26" s="21">
        <f>TEA!B$10-TEA!B$43-X26-CL26</f>
        <v>51812.602423112214</v>
      </c>
      <c r="CX26" s="21">
        <f>TEA!C$10-TEA!C$43-Y26-CM26</f>
        <v>47877.346280876183</v>
      </c>
      <c r="CY26" s="21" t="e">
        <f>TEA!D$10-TEA!D$43-Z26-CN26</f>
        <v>#VALUE!</v>
      </c>
      <c r="CZ26" s="21" t="e">
        <f>TEA!E$10-TEA!E$43-AA26-CO26</f>
        <v>#VALUE!</v>
      </c>
      <c r="DA26" s="21"/>
      <c r="DB26" s="21">
        <f>TEA!G$10-TEA!G$43-AC26-CQ26</f>
        <v>0</v>
      </c>
      <c r="DC26" s="21">
        <f>TEA!H$10-TEA!H$43-AD26-CR26</f>
        <v>0</v>
      </c>
      <c r="DD26" s="21">
        <f>TEA!I$10-TEA!I$43-AE26-CS26</f>
        <v>-2803249.8973477646</v>
      </c>
      <c r="DE26" s="21">
        <f>TEA!J$10-TEA!J$43-AF26-CT26</f>
        <v>0</v>
      </c>
      <c r="DF26" s="21">
        <f>TEA!K$10-TEA!K$43-AG26-CU26</f>
        <v>0</v>
      </c>
      <c r="DG26" s="21">
        <f>TEA!L$10-TEA!L$43-AH26-CV26</f>
        <v>0</v>
      </c>
      <c r="DH26" s="21">
        <f>CW26/(1+TEA!B$16)^$A26</f>
        <v>5786.3359891389364</v>
      </c>
      <c r="DI26" s="21">
        <f>CX26/(1+TEA!C$16)^$A26</f>
        <v>5346.8538327255192</v>
      </c>
      <c r="DJ26" s="21" t="e">
        <f>CY26/(1+TEA!D$16)^$A26</f>
        <v>#VALUE!</v>
      </c>
      <c r="DK26" s="21" t="e">
        <f>CZ26/(1+TEA!E$16)^$A26</f>
        <v>#VALUE!</v>
      </c>
      <c r="DL26" s="21"/>
      <c r="DM26" s="21">
        <f>DB26/(1+TEA!G$16)^$A26</f>
        <v>0</v>
      </c>
      <c r="DN26" s="21">
        <f>DC26/(1+TEA!H$16)^$A26</f>
        <v>0</v>
      </c>
      <c r="DO26" s="21">
        <f>DD26/(1+TEA!I$16)^$A26</f>
        <v>-313061.78437271179</v>
      </c>
      <c r="DP26" s="21">
        <f>DE26/(1+TEA!J$16)^$A26</f>
        <v>0</v>
      </c>
      <c r="DQ26" s="21">
        <f>DF26/(1+TEA!K$16)^$A26</f>
        <v>0</v>
      </c>
      <c r="DR26" s="21">
        <f>DG26/(1+TEA!L$16)^$A26</f>
        <v>0</v>
      </c>
    </row>
    <row r="27" spans="1:122" x14ac:dyDescent="0.25">
      <c r="A27" s="4">
        <f t="shared" si="1"/>
        <v>24</v>
      </c>
      <c r="B27" s="21">
        <f t="shared" si="2"/>
        <v>-1952930.0739722438</v>
      </c>
      <c r="C27" s="21">
        <f t="shared" si="3"/>
        <v>-1965092.6696091814</v>
      </c>
      <c r="D27" s="21" t="e">
        <f t="shared" si="4"/>
        <v>#VALUE!</v>
      </c>
      <c r="E27" s="21" t="e">
        <f t="shared" si="5"/>
        <v>#VALUE!</v>
      </c>
      <c r="F27" s="21"/>
      <c r="G27" s="21">
        <f t="shared" si="6"/>
        <v>0</v>
      </c>
      <c r="H27" s="21">
        <f t="shared" si="7"/>
        <v>0</v>
      </c>
      <c r="I27" s="21">
        <f t="shared" si="8"/>
        <v>-67250795.954728395</v>
      </c>
      <c r="J27" s="21">
        <f t="shared" si="9"/>
        <v>0</v>
      </c>
      <c r="K27" s="21">
        <f t="shared" si="10"/>
        <v>0</v>
      </c>
      <c r="L27" s="21">
        <f t="shared" si="11"/>
        <v>0</v>
      </c>
      <c r="M27" s="21"/>
      <c r="X27" s="20"/>
      <c r="AI27" s="21"/>
      <c r="AT27" s="21"/>
      <c r="BE27" s="21">
        <f>TEA!B$10-TEA!B$43-M27-AI27</f>
        <v>51812.602423112214</v>
      </c>
      <c r="BF27" s="21">
        <f>TEA!C$10-TEA!C$43-N27-AJ27</f>
        <v>47877.346280876183</v>
      </c>
      <c r="BG27" s="21" t="e">
        <f>TEA!D$10-TEA!D$43-O27-AK27</f>
        <v>#VALUE!</v>
      </c>
      <c r="BH27" s="21" t="e">
        <f>TEA!E$10-TEA!E$43-P27-AL27</f>
        <v>#VALUE!</v>
      </c>
      <c r="BI27" s="21"/>
      <c r="BJ27" s="21">
        <f>TEA!G$10-TEA!G$43-R27-AN27</f>
        <v>0</v>
      </c>
      <c r="BK27" s="21">
        <f>TEA!H$10-TEA!H$43-S27-AO27</f>
        <v>0</v>
      </c>
      <c r="BL27" s="21">
        <f>TEA!I$10-TEA!I$43-T27-AP27</f>
        <v>-2803249.8973477646</v>
      </c>
      <c r="BM27" s="21">
        <f>TEA!J$10-TEA!J$43-U27-AQ27</f>
        <v>0</v>
      </c>
      <c r="BN27" s="21">
        <f>TEA!K$10-TEA!K$43-V27-AR27</f>
        <v>0</v>
      </c>
      <c r="BO27" s="21">
        <f>TEA!L$10-TEA!L$43-W27-AS27</f>
        <v>0</v>
      </c>
      <c r="BP27" s="21">
        <f t="shared" si="12"/>
        <v>-360779.65180884954</v>
      </c>
      <c r="BQ27" s="21">
        <f t="shared" si="13"/>
        <v>-422116.76935448707</v>
      </c>
      <c r="BR27" s="21" t="e">
        <f t="shared" si="14"/>
        <v>#VALUE!</v>
      </c>
      <c r="BS27" s="21" t="e">
        <f t="shared" si="15"/>
        <v>#VALUE!</v>
      </c>
      <c r="BT27" s="21"/>
      <c r="BU27" s="21">
        <f t="shared" si="16"/>
        <v>0</v>
      </c>
      <c r="BV27" s="21">
        <f t="shared" si="16"/>
        <v>0</v>
      </c>
      <c r="BW27" s="21">
        <f t="shared" si="16"/>
        <v>-116925087.31967674</v>
      </c>
      <c r="BX27" s="21">
        <f t="shared" si="16"/>
        <v>0</v>
      </c>
      <c r="BY27" s="21">
        <f t="shared" si="16"/>
        <v>0</v>
      </c>
      <c r="BZ27" s="21">
        <f t="shared" si="16"/>
        <v>0</v>
      </c>
      <c r="CA27" s="21">
        <f t="shared" si="17"/>
        <v>-308967.04938573734</v>
      </c>
      <c r="CB27" s="21">
        <f t="shared" si="18"/>
        <v>-374239.42307361087</v>
      </c>
      <c r="CC27" s="21" t="e">
        <f t="shared" si="19"/>
        <v>#VALUE!</v>
      </c>
      <c r="CD27" s="21" t="e">
        <f t="shared" si="20"/>
        <v>#VALUE!</v>
      </c>
      <c r="CE27" s="21"/>
      <c r="CF27" s="21">
        <f t="shared" si="21"/>
        <v>0</v>
      </c>
      <c r="CG27" s="21">
        <f t="shared" si="22"/>
        <v>0</v>
      </c>
      <c r="CH27" s="21">
        <f t="shared" si="23"/>
        <v>-119728337.21702451</v>
      </c>
      <c r="CI27" s="21">
        <f t="shared" si="24"/>
        <v>0</v>
      </c>
      <c r="CJ27" s="21">
        <f t="shared" si="25"/>
        <v>0</v>
      </c>
      <c r="CK27" s="21">
        <f t="shared" si="26"/>
        <v>0</v>
      </c>
      <c r="CL27" s="21">
        <f>IF(CA27&gt;0,CA27*TEA!B$17-TEA!B$24,0)</f>
        <v>0</v>
      </c>
      <c r="CM27" s="21">
        <f>IF(CB27&gt;0,CB27*TEA!C$17-TEA!C$24,0)</f>
        <v>0</v>
      </c>
      <c r="CN27" s="21" t="e">
        <f>IF(CC27&gt;0,CC27*TEA!D$17-TEA!D$24,0)</f>
        <v>#VALUE!</v>
      </c>
      <c r="CO27" s="21" t="e">
        <f>IF(CD27&gt;0,CD27*TEA!E$17-TEA!E$24,0)</f>
        <v>#VALUE!</v>
      </c>
      <c r="CP27" s="21"/>
      <c r="CQ27" s="21">
        <f>IF(CF27&gt;0,CF27*TEA!G$17-TEA!G$24,0)</f>
        <v>0</v>
      </c>
      <c r="CR27" s="21">
        <f>IF(CG27&gt;0,CG27*TEA!H$17-TEA!H$24,0)</f>
        <v>0</v>
      </c>
      <c r="CS27" s="21">
        <f>IF(CH27&gt;0,CH27*TEA!I$17-TEA!I$24,0)</f>
        <v>0</v>
      </c>
      <c r="CT27" s="21">
        <f>IF(CI27&gt;0,CI27*TEA!J$17-TEA!J$24,0)</f>
        <v>0</v>
      </c>
      <c r="CU27" s="21">
        <f>IF(CJ27&gt;0,CJ27*TEA!K$17-TEA!K$24,0)</f>
        <v>0</v>
      </c>
      <c r="CV27" s="21">
        <f>IF(CK27&gt;0,CK27*TEA!L$17-TEA!L$24,0)</f>
        <v>0</v>
      </c>
      <c r="CW27" s="21">
        <f>TEA!B$10-TEA!B$43-X27-CL27</f>
        <v>51812.602423112214</v>
      </c>
      <c r="CX27" s="21">
        <f>TEA!C$10-TEA!C$43-Y27-CM27</f>
        <v>47877.346280876183</v>
      </c>
      <c r="CY27" s="21" t="e">
        <f>TEA!D$10-TEA!D$43-Z27-CN27</f>
        <v>#VALUE!</v>
      </c>
      <c r="CZ27" s="21" t="e">
        <f>TEA!E$10-TEA!E$43-AA27-CO27</f>
        <v>#VALUE!</v>
      </c>
      <c r="DA27" s="21"/>
      <c r="DB27" s="21">
        <f>TEA!G$10-TEA!G$43-AC27-CQ27</f>
        <v>0</v>
      </c>
      <c r="DC27" s="21">
        <f>TEA!H$10-TEA!H$43-AD27-CR27</f>
        <v>0</v>
      </c>
      <c r="DD27" s="21">
        <f>TEA!I$10-TEA!I$43-AE27-CS27</f>
        <v>-2803249.8973477646</v>
      </c>
      <c r="DE27" s="21">
        <f>TEA!J$10-TEA!J$43-AF27-CT27</f>
        <v>0</v>
      </c>
      <c r="DF27" s="21">
        <f>TEA!K$10-TEA!K$43-AG27-CU27</f>
        <v>0</v>
      </c>
      <c r="DG27" s="21">
        <f>TEA!L$10-TEA!L$43-AH27-CV27</f>
        <v>0</v>
      </c>
      <c r="DH27" s="21">
        <f>CW27/(1+TEA!B$16)^$A27</f>
        <v>5260.3054446717615</v>
      </c>
      <c r="DI27" s="21">
        <f>CX27/(1+TEA!C$16)^$A27</f>
        <v>4860.7762115686546</v>
      </c>
      <c r="DJ27" s="21" t="e">
        <f>CY27/(1+TEA!D$16)^$A27</f>
        <v>#VALUE!</v>
      </c>
      <c r="DK27" s="21" t="e">
        <f>CZ27/(1+TEA!E$16)^$A27</f>
        <v>#VALUE!</v>
      </c>
      <c r="DL27" s="21"/>
      <c r="DM27" s="21">
        <f>DB27/(1+TEA!G$16)^$A27</f>
        <v>0</v>
      </c>
      <c r="DN27" s="21">
        <f>DC27/(1+TEA!H$16)^$A27</f>
        <v>0</v>
      </c>
      <c r="DO27" s="21">
        <f>DD27/(1+TEA!I$16)^$A27</f>
        <v>-284601.62215701077</v>
      </c>
      <c r="DP27" s="21">
        <f>DE27/(1+TEA!J$16)^$A27</f>
        <v>0</v>
      </c>
      <c r="DQ27" s="21">
        <f>DF27/(1+TEA!K$16)^$A27</f>
        <v>0</v>
      </c>
      <c r="DR27" s="21">
        <f>DG27/(1+TEA!L$16)^$A27</f>
        <v>0</v>
      </c>
    </row>
    <row r="28" spans="1:122" x14ac:dyDescent="0.25">
      <c r="A28" s="4">
        <f t="shared" si="1"/>
        <v>25</v>
      </c>
      <c r="B28" s="21">
        <f t="shared" si="2"/>
        <v>-1948147.9781134513</v>
      </c>
      <c r="C28" s="21">
        <f t="shared" si="3"/>
        <v>-1960673.782144119</v>
      </c>
      <c r="D28" s="21" t="e">
        <f t="shared" si="4"/>
        <v>#VALUE!</v>
      </c>
      <c r="E28" s="21" t="e">
        <f t="shared" si="5"/>
        <v>#VALUE!</v>
      </c>
      <c r="F28" s="21"/>
      <c r="G28" s="21">
        <f t="shared" si="6"/>
        <v>0</v>
      </c>
      <c r="H28" s="21">
        <f t="shared" si="7"/>
        <v>0</v>
      </c>
      <c r="I28" s="21">
        <f t="shared" si="8"/>
        <v>-67509524.702143863</v>
      </c>
      <c r="J28" s="21">
        <f t="shared" si="9"/>
        <v>0</v>
      </c>
      <c r="K28" s="21">
        <f t="shared" si="10"/>
        <v>0</v>
      </c>
      <c r="L28" s="21">
        <f t="shared" si="11"/>
        <v>0</v>
      </c>
      <c r="M28" s="21"/>
      <c r="X28" s="20"/>
      <c r="AI28" s="21"/>
      <c r="AT28" s="21"/>
      <c r="BE28" s="21">
        <f>TEA!B$10-TEA!B$43-M28-AI28</f>
        <v>51812.602423112214</v>
      </c>
      <c r="BF28" s="21">
        <f>TEA!C$10-TEA!C$43-N28-AJ28</f>
        <v>47877.346280876183</v>
      </c>
      <c r="BG28" s="21" t="e">
        <f>TEA!D$10-TEA!D$43-O28-AK28</f>
        <v>#VALUE!</v>
      </c>
      <c r="BH28" s="21" t="e">
        <f>TEA!E$10-TEA!E$43-P28-AL28</f>
        <v>#VALUE!</v>
      </c>
      <c r="BI28" s="21"/>
      <c r="BJ28" s="21">
        <f>TEA!G$10-TEA!G$43-R28-AN28</f>
        <v>0</v>
      </c>
      <c r="BK28" s="21">
        <f>TEA!H$10-TEA!H$43-S28-AO28</f>
        <v>0</v>
      </c>
      <c r="BL28" s="21">
        <f>TEA!I$10-TEA!I$43-T28-AP28</f>
        <v>-2803249.8973477646</v>
      </c>
      <c r="BM28" s="21">
        <f>TEA!J$10-TEA!J$43-U28-AQ28</f>
        <v>0</v>
      </c>
      <c r="BN28" s="21">
        <f>TEA!K$10-TEA!K$43-V28-AR28</f>
        <v>0</v>
      </c>
      <c r="BO28" s="21">
        <f>TEA!L$10-TEA!L$43-W28-AS28</f>
        <v>0</v>
      </c>
      <c r="BP28" s="21">
        <f t="shared" si="12"/>
        <v>-308967.04938573734</v>
      </c>
      <c r="BQ28" s="21">
        <f t="shared" si="13"/>
        <v>-374239.42307361087</v>
      </c>
      <c r="BR28" s="21" t="e">
        <f t="shared" si="14"/>
        <v>#VALUE!</v>
      </c>
      <c r="BS28" s="21" t="e">
        <f t="shared" si="15"/>
        <v>#VALUE!</v>
      </c>
      <c r="BT28" s="21"/>
      <c r="BU28" s="21">
        <f t="shared" si="16"/>
        <v>0</v>
      </c>
      <c r="BV28" s="21">
        <f t="shared" si="16"/>
        <v>0</v>
      </c>
      <c r="BW28" s="21">
        <f t="shared" si="16"/>
        <v>-119728337.21702451</v>
      </c>
      <c r="BX28" s="21">
        <f t="shared" si="16"/>
        <v>0</v>
      </c>
      <c r="BY28" s="21">
        <f t="shared" si="16"/>
        <v>0</v>
      </c>
      <c r="BZ28" s="21">
        <f t="shared" si="16"/>
        <v>0</v>
      </c>
      <c r="CA28" s="21">
        <f t="shared" si="17"/>
        <v>-257154.44696262514</v>
      </c>
      <c r="CB28" s="21">
        <f t="shared" si="18"/>
        <v>-326362.07679273468</v>
      </c>
      <c r="CC28" s="21" t="e">
        <f t="shared" si="19"/>
        <v>#VALUE!</v>
      </c>
      <c r="CD28" s="21" t="e">
        <f t="shared" si="20"/>
        <v>#VALUE!</v>
      </c>
      <c r="CE28" s="21"/>
      <c r="CF28" s="21">
        <f t="shared" si="21"/>
        <v>0</v>
      </c>
      <c r="CG28" s="21">
        <f t="shared" si="22"/>
        <v>0</v>
      </c>
      <c r="CH28" s="21">
        <f t="shared" si="23"/>
        <v>-122531587.11437227</v>
      </c>
      <c r="CI28" s="21">
        <f t="shared" si="24"/>
        <v>0</v>
      </c>
      <c r="CJ28" s="21">
        <f t="shared" si="25"/>
        <v>0</v>
      </c>
      <c r="CK28" s="21">
        <f t="shared" si="26"/>
        <v>0</v>
      </c>
      <c r="CL28" s="21">
        <f>IF(CA28&gt;0,CA28*TEA!B$17-TEA!B$24,0)</f>
        <v>0</v>
      </c>
      <c r="CM28" s="21">
        <f>IF(CB28&gt;0,CB28*TEA!C$17-TEA!C$24,0)</f>
        <v>0</v>
      </c>
      <c r="CN28" s="21" t="e">
        <f>IF(CC28&gt;0,CC28*TEA!D$17-TEA!D$24,0)</f>
        <v>#VALUE!</v>
      </c>
      <c r="CO28" s="21" t="e">
        <f>IF(CD28&gt;0,CD28*TEA!E$17-TEA!E$24,0)</f>
        <v>#VALUE!</v>
      </c>
      <c r="CP28" s="21"/>
      <c r="CQ28" s="21">
        <f>IF(CF28&gt;0,CF28*TEA!G$17-TEA!G$24,0)</f>
        <v>0</v>
      </c>
      <c r="CR28" s="21">
        <f>IF(CG28&gt;0,CG28*TEA!H$17-TEA!H$24,0)</f>
        <v>0</v>
      </c>
      <c r="CS28" s="21">
        <f>IF(CH28&gt;0,CH28*TEA!I$17-TEA!I$24,0)</f>
        <v>0</v>
      </c>
      <c r="CT28" s="21">
        <f>IF(CI28&gt;0,CI28*TEA!J$17-TEA!J$24,0)</f>
        <v>0</v>
      </c>
      <c r="CU28" s="21">
        <f>IF(CJ28&gt;0,CJ28*TEA!K$17-TEA!K$24,0)</f>
        <v>0</v>
      </c>
      <c r="CV28" s="21">
        <f>IF(CK28&gt;0,CK28*TEA!L$17-TEA!L$24,0)</f>
        <v>0</v>
      </c>
      <c r="CW28" s="21">
        <f>TEA!B$10-TEA!B$43-X28-CL28</f>
        <v>51812.602423112214</v>
      </c>
      <c r="CX28" s="21">
        <f>TEA!C$10-TEA!C$43-Y28-CM28</f>
        <v>47877.346280876183</v>
      </c>
      <c r="CY28" s="21" t="e">
        <f>TEA!D$10-TEA!D$43-Z28-CN28</f>
        <v>#VALUE!</v>
      </c>
      <c r="CZ28" s="21" t="e">
        <f>TEA!E$10-TEA!E$43-AA28-CO28</f>
        <v>#VALUE!</v>
      </c>
      <c r="DA28" s="21"/>
      <c r="DB28" s="21">
        <f>TEA!G$10-TEA!G$43-AC28-CQ28</f>
        <v>0</v>
      </c>
      <c r="DC28" s="21">
        <f>TEA!H$10-TEA!H$43-AD28-CR28</f>
        <v>0</v>
      </c>
      <c r="DD28" s="21">
        <f>TEA!I$10-TEA!I$43-AE28-CS28</f>
        <v>-2803249.8973477646</v>
      </c>
      <c r="DE28" s="21">
        <f>TEA!J$10-TEA!J$43-AF28-CT28</f>
        <v>0</v>
      </c>
      <c r="DF28" s="21">
        <f>TEA!K$10-TEA!K$43-AG28-CU28</f>
        <v>0</v>
      </c>
      <c r="DG28" s="21">
        <f>TEA!L$10-TEA!L$43-AH28-CV28</f>
        <v>0</v>
      </c>
      <c r="DH28" s="21">
        <f>CW28/(1+TEA!B$16)^$A28</f>
        <v>4782.0958587925097</v>
      </c>
      <c r="DI28" s="21">
        <f>CX28/(1+TEA!C$16)^$A28</f>
        <v>4418.887465062413</v>
      </c>
      <c r="DJ28" s="21" t="e">
        <f>CY28/(1+TEA!D$16)^$A28</f>
        <v>#VALUE!</v>
      </c>
      <c r="DK28" s="21" t="e">
        <f>CZ28/(1+TEA!E$16)^$A28</f>
        <v>#VALUE!</v>
      </c>
      <c r="DL28" s="21"/>
      <c r="DM28" s="21">
        <f>DB28/(1+TEA!G$16)^$A28</f>
        <v>0</v>
      </c>
      <c r="DN28" s="21">
        <f>DC28/(1+TEA!H$16)^$A28</f>
        <v>0</v>
      </c>
      <c r="DO28" s="21">
        <f>DD28/(1+TEA!I$16)^$A28</f>
        <v>-258728.74741546428</v>
      </c>
      <c r="DP28" s="21">
        <f>DE28/(1+TEA!J$16)^$A28</f>
        <v>0</v>
      </c>
      <c r="DQ28" s="21">
        <f>DF28/(1+TEA!K$16)^$A28</f>
        <v>0</v>
      </c>
      <c r="DR28" s="21">
        <f>DG28/(1+TEA!L$16)^$A28</f>
        <v>0</v>
      </c>
    </row>
    <row r="29" spans="1:122" x14ac:dyDescent="0.25">
      <c r="A29" s="4">
        <f t="shared" si="1"/>
        <v>26</v>
      </c>
      <c r="B29" s="21">
        <f t="shared" si="2"/>
        <v>-1943800.6182418216</v>
      </c>
      <c r="C29" s="21">
        <f t="shared" si="3"/>
        <v>-1956656.611721335</v>
      </c>
      <c r="D29" s="21" t="e">
        <f t="shared" si="4"/>
        <v>#VALUE!</v>
      </c>
      <c r="E29" s="21" t="e">
        <f t="shared" si="5"/>
        <v>#VALUE!</v>
      </c>
      <c r="F29" s="21"/>
      <c r="G29" s="21">
        <f t="shared" si="6"/>
        <v>0</v>
      </c>
      <c r="H29" s="21">
        <f t="shared" si="7"/>
        <v>0</v>
      </c>
      <c r="I29" s="21">
        <f t="shared" si="8"/>
        <v>-67744732.654339746</v>
      </c>
      <c r="J29" s="21">
        <f t="shared" si="9"/>
        <v>0</v>
      </c>
      <c r="K29" s="21">
        <f t="shared" si="10"/>
        <v>0</v>
      </c>
      <c r="L29" s="21">
        <f t="shared" si="11"/>
        <v>0</v>
      </c>
      <c r="M29" s="21"/>
      <c r="X29" s="20"/>
      <c r="AI29" s="21"/>
      <c r="AT29" s="21"/>
      <c r="BE29" s="21">
        <f>TEA!B$10-TEA!B$43-M29-AI29</f>
        <v>51812.602423112214</v>
      </c>
      <c r="BF29" s="21">
        <f>TEA!C$10-TEA!C$43-N29-AJ29</f>
        <v>47877.346280876183</v>
      </c>
      <c r="BG29" s="21" t="e">
        <f>TEA!D$10-TEA!D$43-O29-AK29</f>
        <v>#VALUE!</v>
      </c>
      <c r="BH29" s="21" t="e">
        <f>TEA!E$10-TEA!E$43-P29-AL29</f>
        <v>#VALUE!</v>
      </c>
      <c r="BI29" s="21"/>
      <c r="BJ29" s="21">
        <f>TEA!G$10-TEA!G$43-R29-AN29</f>
        <v>0</v>
      </c>
      <c r="BK29" s="21">
        <f>TEA!H$10-TEA!H$43-S29-AO29</f>
        <v>0</v>
      </c>
      <c r="BL29" s="21">
        <f>TEA!I$10-TEA!I$43-T29-AP29</f>
        <v>-2803249.8973477646</v>
      </c>
      <c r="BM29" s="21">
        <f>TEA!J$10-TEA!J$43-U29-AQ29</f>
        <v>0</v>
      </c>
      <c r="BN29" s="21">
        <f>TEA!K$10-TEA!K$43-V29-AR29</f>
        <v>0</v>
      </c>
      <c r="BO29" s="21">
        <f>TEA!L$10-TEA!L$43-W29-AS29</f>
        <v>0</v>
      </c>
      <c r="BP29" s="21">
        <f t="shared" si="12"/>
        <v>-257154.44696262514</v>
      </c>
      <c r="BQ29" s="21">
        <f t="shared" si="13"/>
        <v>-326362.07679273468</v>
      </c>
      <c r="BR29" s="21" t="e">
        <f t="shared" si="14"/>
        <v>#VALUE!</v>
      </c>
      <c r="BS29" s="21" t="e">
        <f t="shared" si="15"/>
        <v>#VALUE!</v>
      </c>
      <c r="BT29" s="21"/>
      <c r="BU29" s="21">
        <f t="shared" si="16"/>
        <v>0</v>
      </c>
      <c r="BV29" s="21">
        <f t="shared" ref="BV29:BZ33" si="37">IF(CG28&lt;0,CG28,0)</f>
        <v>0</v>
      </c>
      <c r="BW29" s="21">
        <f t="shared" si="37"/>
        <v>-122531587.11437227</v>
      </c>
      <c r="BX29" s="21">
        <f t="shared" si="37"/>
        <v>0</v>
      </c>
      <c r="BY29" s="21">
        <f t="shared" si="37"/>
        <v>0</v>
      </c>
      <c r="BZ29" s="21">
        <f t="shared" si="37"/>
        <v>0</v>
      </c>
      <c r="CA29" s="21">
        <f t="shared" si="17"/>
        <v>-205341.84453951294</v>
      </c>
      <c r="CB29" s="21">
        <f t="shared" si="18"/>
        <v>-278484.73051185848</v>
      </c>
      <c r="CC29" s="21" t="e">
        <f t="shared" si="19"/>
        <v>#VALUE!</v>
      </c>
      <c r="CD29" s="21" t="e">
        <f t="shared" si="20"/>
        <v>#VALUE!</v>
      </c>
      <c r="CE29" s="21"/>
      <c r="CF29" s="21">
        <f t="shared" si="21"/>
        <v>0</v>
      </c>
      <c r="CG29" s="21">
        <f t="shared" si="22"/>
        <v>0</v>
      </c>
      <c r="CH29" s="21">
        <f t="shared" si="23"/>
        <v>-125334837.01172003</v>
      </c>
      <c r="CI29" s="21">
        <f t="shared" si="24"/>
        <v>0</v>
      </c>
      <c r="CJ29" s="21">
        <f t="shared" si="25"/>
        <v>0</v>
      </c>
      <c r="CK29" s="21">
        <f t="shared" si="26"/>
        <v>0</v>
      </c>
      <c r="CL29" s="21">
        <f>IF(CA29&gt;0,CA29*TEA!B$17-TEA!B$24,0)</f>
        <v>0</v>
      </c>
      <c r="CM29" s="21">
        <f>IF(CB29&gt;0,CB29*TEA!C$17-TEA!C$24,0)</f>
        <v>0</v>
      </c>
      <c r="CN29" s="21" t="e">
        <f>IF(CC29&gt;0,CC29*TEA!D$17-TEA!D$24,0)</f>
        <v>#VALUE!</v>
      </c>
      <c r="CO29" s="21" t="e">
        <f>IF(CD29&gt;0,CD29*TEA!E$17-TEA!E$24,0)</f>
        <v>#VALUE!</v>
      </c>
      <c r="CP29" s="21"/>
      <c r="CQ29" s="21">
        <f>IF(CF29&gt;0,CF29*TEA!G$17-TEA!G$24,0)</f>
        <v>0</v>
      </c>
      <c r="CR29" s="21">
        <f>IF(CG29&gt;0,CG29*TEA!H$17-TEA!H$24,0)</f>
        <v>0</v>
      </c>
      <c r="CS29" s="21">
        <f>IF(CH29&gt;0,CH29*TEA!I$17-TEA!I$24,0)</f>
        <v>0</v>
      </c>
      <c r="CT29" s="21">
        <f>IF(CI29&gt;0,CI29*TEA!J$17-TEA!J$24,0)</f>
        <v>0</v>
      </c>
      <c r="CU29" s="21">
        <f>IF(CJ29&gt;0,CJ29*TEA!K$17-TEA!K$24,0)</f>
        <v>0</v>
      </c>
      <c r="CV29" s="21">
        <f>IF(CK29&gt;0,CK29*TEA!L$17-TEA!L$24,0)</f>
        <v>0</v>
      </c>
      <c r="CW29" s="21">
        <f>TEA!B$10-TEA!B$43-X29-CL29</f>
        <v>51812.602423112214</v>
      </c>
      <c r="CX29" s="21">
        <f>TEA!C$10-TEA!C$43-Y29-CM29</f>
        <v>47877.346280876183</v>
      </c>
      <c r="CY29" s="21" t="e">
        <f>TEA!D$10-TEA!D$43-Z29-CN29</f>
        <v>#VALUE!</v>
      </c>
      <c r="CZ29" s="21" t="e">
        <f>TEA!E$10-TEA!E$43-AA29-CO29</f>
        <v>#VALUE!</v>
      </c>
      <c r="DA29" s="21"/>
      <c r="DB29" s="21">
        <f>TEA!G$10-TEA!G$43-AC29-CQ29</f>
        <v>0</v>
      </c>
      <c r="DC29" s="21">
        <f>TEA!H$10-TEA!H$43-AD29-CR29</f>
        <v>0</v>
      </c>
      <c r="DD29" s="21">
        <f>TEA!I$10-TEA!I$43-AE29-CS29</f>
        <v>-2803249.8973477646</v>
      </c>
      <c r="DE29" s="21">
        <f>TEA!J$10-TEA!J$43-AF29-CT29</f>
        <v>0</v>
      </c>
      <c r="DF29" s="21">
        <f>TEA!K$10-TEA!K$43-AG29-CU29</f>
        <v>0</v>
      </c>
      <c r="DG29" s="21">
        <f>TEA!L$10-TEA!L$43-AH29-CV29</f>
        <v>0</v>
      </c>
      <c r="DH29" s="21">
        <f>CW29/(1+TEA!B$16)^$A29</f>
        <v>4347.3598716295537</v>
      </c>
      <c r="DI29" s="21">
        <f>CX29/(1+TEA!C$16)^$A29</f>
        <v>4017.1704227840114</v>
      </c>
      <c r="DJ29" s="21" t="e">
        <f>CY29/(1+TEA!D$16)^$A29</f>
        <v>#VALUE!</v>
      </c>
      <c r="DK29" s="21" t="e">
        <f>CZ29/(1+TEA!E$16)^$A29</f>
        <v>#VALUE!</v>
      </c>
      <c r="DL29" s="21"/>
      <c r="DM29" s="21">
        <f>DB29/(1+TEA!G$16)^$A29</f>
        <v>0</v>
      </c>
      <c r="DN29" s="21">
        <f>DC29/(1+TEA!H$16)^$A29</f>
        <v>0</v>
      </c>
      <c r="DO29" s="21">
        <f>DD29/(1+TEA!I$16)^$A29</f>
        <v>-235207.9521958766</v>
      </c>
      <c r="DP29" s="21">
        <f>DE29/(1+TEA!J$16)^$A29</f>
        <v>0</v>
      </c>
      <c r="DQ29" s="21">
        <f>DF29/(1+TEA!K$16)^$A29</f>
        <v>0</v>
      </c>
      <c r="DR29" s="21">
        <f>DG29/(1+TEA!L$16)^$A29</f>
        <v>0</v>
      </c>
    </row>
    <row r="30" spans="1:122" x14ac:dyDescent="0.25">
      <c r="A30" s="4">
        <f t="shared" si="1"/>
        <v>27</v>
      </c>
      <c r="B30" s="21">
        <f t="shared" si="2"/>
        <v>-1939848.4729039767</v>
      </c>
      <c r="C30" s="21">
        <f t="shared" si="3"/>
        <v>-1953004.6386097132</v>
      </c>
      <c r="D30" s="21" t="e">
        <f t="shared" si="4"/>
        <v>#VALUE!</v>
      </c>
      <c r="E30" s="21" t="e">
        <f t="shared" si="5"/>
        <v>#VALUE!</v>
      </c>
      <c r="F30" s="21"/>
      <c r="G30" s="21">
        <f t="shared" si="6"/>
        <v>0</v>
      </c>
      <c r="H30" s="21">
        <f t="shared" si="7"/>
        <v>0</v>
      </c>
      <c r="I30" s="21">
        <f t="shared" si="8"/>
        <v>-67958558.065426901</v>
      </c>
      <c r="J30" s="21">
        <f t="shared" si="9"/>
        <v>0</v>
      </c>
      <c r="K30" s="21">
        <f t="shared" si="10"/>
        <v>0</v>
      </c>
      <c r="L30" s="21">
        <f t="shared" si="11"/>
        <v>0</v>
      </c>
      <c r="M30" s="21"/>
      <c r="X30" s="20"/>
      <c r="AI30" s="21"/>
      <c r="AT30" s="21"/>
      <c r="BE30" s="21">
        <f>TEA!B$10-TEA!B$43-M30-AI30</f>
        <v>51812.602423112214</v>
      </c>
      <c r="BF30" s="21">
        <f>TEA!C$10-TEA!C$43-N30-AJ30</f>
        <v>47877.346280876183</v>
      </c>
      <c r="BG30" s="21" t="e">
        <f>TEA!D$10-TEA!D$43-O30-AK30</f>
        <v>#VALUE!</v>
      </c>
      <c r="BH30" s="21" t="e">
        <f>TEA!E$10-TEA!E$43-P30-AL30</f>
        <v>#VALUE!</v>
      </c>
      <c r="BI30" s="21"/>
      <c r="BJ30" s="21">
        <f>TEA!G$10-TEA!G$43-R30-AN30</f>
        <v>0</v>
      </c>
      <c r="BK30" s="21">
        <f>TEA!H$10-TEA!H$43-S30-AO30</f>
        <v>0</v>
      </c>
      <c r="BL30" s="21">
        <f>TEA!I$10-TEA!I$43-T30-AP30</f>
        <v>-2803249.8973477646</v>
      </c>
      <c r="BM30" s="21">
        <f>TEA!J$10-TEA!J$43-U30-AQ30</f>
        <v>0</v>
      </c>
      <c r="BN30" s="21">
        <f>TEA!K$10-TEA!K$43-V30-AR30</f>
        <v>0</v>
      </c>
      <c r="BO30" s="21">
        <f>TEA!L$10-TEA!L$43-W30-AS30</f>
        <v>0</v>
      </c>
      <c r="BP30" s="21">
        <f t="shared" si="12"/>
        <v>-205341.84453951294</v>
      </c>
      <c r="BQ30" s="21">
        <f t="shared" si="13"/>
        <v>-278484.73051185848</v>
      </c>
      <c r="BR30" s="21" t="e">
        <f t="shared" si="14"/>
        <v>#VALUE!</v>
      </c>
      <c r="BS30" s="21" t="e">
        <f t="shared" si="15"/>
        <v>#VALUE!</v>
      </c>
      <c r="BT30" s="21"/>
      <c r="BU30" s="21">
        <f t="shared" ref="BU30:BU33" si="38">IF(CF29&lt;0,CF29,0)</f>
        <v>0</v>
      </c>
      <c r="BV30" s="21">
        <f t="shared" si="37"/>
        <v>0</v>
      </c>
      <c r="BW30" s="21">
        <f t="shared" si="37"/>
        <v>-125334837.01172003</v>
      </c>
      <c r="BX30" s="21">
        <f t="shared" si="37"/>
        <v>0</v>
      </c>
      <c r="BY30" s="21">
        <f t="shared" si="37"/>
        <v>0</v>
      </c>
      <c r="BZ30" s="21">
        <f t="shared" si="37"/>
        <v>0</v>
      </c>
      <c r="CA30" s="21">
        <f t="shared" si="17"/>
        <v>-153529.24211640074</v>
      </c>
      <c r="CB30" s="21">
        <f t="shared" si="18"/>
        <v>-230607.38423098228</v>
      </c>
      <c r="CC30" s="21" t="e">
        <f t="shared" si="19"/>
        <v>#VALUE!</v>
      </c>
      <c r="CD30" s="21" t="e">
        <f t="shared" si="20"/>
        <v>#VALUE!</v>
      </c>
      <c r="CE30" s="21"/>
      <c r="CF30" s="21">
        <f t="shared" ref="CF30:CF33" si="39">BJ30+BU30</f>
        <v>0</v>
      </c>
      <c r="CG30" s="21">
        <f t="shared" ref="CG30:CK33" si="40">BK30+BV30</f>
        <v>0</v>
      </c>
      <c r="CH30" s="21">
        <f t="shared" si="40"/>
        <v>-128138086.90906779</v>
      </c>
      <c r="CI30" s="21">
        <f t="shared" si="40"/>
        <v>0</v>
      </c>
      <c r="CJ30" s="21">
        <f t="shared" si="40"/>
        <v>0</v>
      </c>
      <c r="CK30" s="21">
        <f t="shared" si="40"/>
        <v>0</v>
      </c>
      <c r="CL30" s="21">
        <f>IF(CA30&gt;0,CA30*TEA!B$17-TEA!B$24,0)</f>
        <v>0</v>
      </c>
      <c r="CM30" s="21">
        <f>IF(CB30&gt;0,CB30*TEA!C$17-TEA!C$24,0)</f>
        <v>0</v>
      </c>
      <c r="CN30" s="21" t="e">
        <f>IF(CC30&gt;0,CC30*TEA!D$17-TEA!D$24,0)</f>
        <v>#VALUE!</v>
      </c>
      <c r="CO30" s="21" t="e">
        <f>IF(CD30&gt;0,CD30*TEA!E$17-TEA!E$24,0)</f>
        <v>#VALUE!</v>
      </c>
      <c r="CP30" s="21"/>
      <c r="CQ30" s="21">
        <f>IF(CF30&gt;0,CF30*TEA!G$17-TEA!G$24,0)</f>
        <v>0</v>
      </c>
      <c r="CR30" s="21">
        <f>IF(CG30&gt;0,CG30*TEA!H$17-TEA!H$24,0)</f>
        <v>0</v>
      </c>
      <c r="CS30" s="21">
        <f>IF(CH30&gt;0,CH30*TEA!I$17-TEA!I$24,0)</f>
        <v>0</v>
      </c>
      <c r="CT30" s="21">
        <f>IF(CI30&gt;0,CI30*TEA!J$17-TEA!J$24,0)</f>
        <v>0</v>
      </c>
      <c r="CU30" s="21">
        <f>IF(CJ30&gt;0,CJ30*TEA!K$17-TEA!K$24,0)</f>
        <v>0</v>
      </c>
      <c r="CV30" s="21">
        <f>IF(CK30&gt;0,CK30*TEA!L$17-TEA!L$24,0)</f>
        <v>0</v>
      </c>
      <c r="CW30" s="21">
        <f>TEA!B$10-TEA!B$43-X30-CL30</f>
        <v>51812.602423112214</v>
      </c>
      <c r="CX30" s="21">
        <f>TEA!C$10-TEA!C$43-Y30-CM30</f>
        <v>47877.346280876183</v>
      </c>
      <c r="CY30" s="21" t="e">
        <f>TEA!D$10-TEA!D$43-Z30-CN30</f>
        <v>#VALUE!</v>
      </c>
      <c r="CZ30" s="21" t="e">
        <f>TEA!E$10-TEA!E$43-AA30-CO30</f>
        <v>#VALUE!</v>
      </c>
      <c r="DA30" s="21"/>
      <c r="DB30" s="21">
        <f>TEA!G$10-TEA!G$43-AC30-CQ30</f>
        <v>0</v>
      </c>
      <c r="DC30" s="21">
        <f>TEA!H$10-TEA!H$43-AD30-CR30</f>
        <v>0</v>
      </c>
      <c r="DD30" s="21">
        <f>TEA!I$10-TEA!I$43-AE30-CS30</f>
        <v>-2803249.8973477646</v>
      </c>
      <c r="DE30" s="21">
        <f>TEA!J$10-TEA!J$43-AF30-CT30</f>
        <v>0</v>
      </c>
      <c r="DF30" s="21">
        <f>TEA!K$10-TEA!K$43-AG30-CU30</f>
        <v>0</v>
      </c>
      <c r="DG30" s="21">
        <f>TEA!L$10-TEA!L$43-AH30-CV30</f>
        <v>0</v>
      </c>
      <c r="DH30" s="21">
        <f>CW30/(1+TEA!B$16)^$A30</f>
        <v>3952.1453378450483</v>
      </c>
      <c r="DI30" s="21">
        <f>CX30/(1+TEA!C$16)^$A30</f>
        <v>3651.9731116218277</v>
      </c>
      <c r="DJ30" s="21" t="e">
        <f>CY30/(1+TEA!D$16)^$A30</f>
        <v>#VALUE!</v>
      </c>
      <c r="DK30" s="21" t="e">
        <f>CZ30/(1+TEA!E$16)^$A30</f>
        <v>#VALUE!</v>
      </c>
      <c r="DL30" s="21"/>
      <c r="DM30" s="21">
        <f>DB30/(1+TEA!G$16)^$A30</f>
        <v>0</v>
      </c>
      <c r="DN30" s="21">
        <f>DC30/(1+TEA!H$16)^$A30</f>
        <v>0</v>
      </c>
      <c r="DO30" s="21">
        <f>DD30/(1+TEA!I$16)^$A30</f>
        <v>-213825.41108716052</v>
      </c>
      <c r="DP30" s="21">
        <f>DE30/(1+TEA!J$16)^$A30</f>
        <v>0</v>
      </c>
      <c r="DQ30" s="21">
        <f>DF30/(1+TEA!K$16)^$A30</f>
        <v>0</v>
      </c>
      <c r="DR30" s="21">
        <f>DG30/(1+TEA!L$16)^$A30</f>
        <v>0</v>
      </c>
    </row>
    <row r="31" spans="1:122" x14ac:dyDescent="0.25">
      <c r="A31" s="4">
        <f t="shared" si="1"/>
        <v>28</v>
      </c>
      <c r="B31" s="21">
        <f t="shared" si="2"/>
        <v>-1936255.6135059358</v>
      </c>
      <c r="C31" s="21">
        <f t="shared" si="3"/>
        <v>-1949684.6630536932</v>
      </c>
      <c r="D31" s="21" t="e">
        <f t="shared" si="4"/>
        <v>#VALUE!</v>
      </c>
      <c r="E31" s="21" t="e">
        <f t="shared" si="5"/>
        <v>#VALUE!</v>
      </c>
      <c r="F31" s="21"/>
      <c r="G31" s="21">
        <f t="shared" si="6"/>
        <v>0</v>
      </c>
      <c r="H31" s="21">
        <f t="shared" si="7"/>
        <v>0</v>
      </c>
      <c r="I31" s="21">
        <f t="shared" si="8"/>
        <v>-68152944.80277887</v>
      </c>
      <c r="J31" s="21">
        <f t="shared" si="9"/>
        <v>0</v>
      </c>
      <c r="K31" s="21">
        <f t="shared" si="10"/>
        <v>0</v>
      </c>
      <c r="L31" s="21">
        <f t="shared" si="11"/>
        <v>0</v>
      </c>
      <c r="M31" s="21"/>
      <c r="X31" s="20"/>
      <c r="AI31" s="21"/>
      <c r="AT31" s="21"/>
      <c r="BE31" s="21">
        <f>TEA!B$10-TEA!B$43-M31-AI31</f>
        <v>51812.602423112214</v>
      </c>
      <c r="BF31" s="21">
        <f>TEA!C$10-TEA!C$43-N31-AJ31</f>
        <v>47877.346280876183</v>
      </c>
      <c r="BG31" s="21" t="e">
        <f>TEA!D$10-TEA!D$43-O31-AK31</f>
        <v>#VALUE!</v>
      </c>
      <c r="BH31" s="21" t="e">
        <f>TEA!E$10-TEA!E$43-P31-AL31</f>
        <v>#VALUE!</v>
      </c>
      <c r="BI31" s="21"/>
      <c r="BJ31" s="21">
        <f>TEA!G$10-TEA!G$43-R31-AN31</f>
        <v>0</v>
      </c>
      <c r="BK31" s="21">
        <f>TEA!H$10-TEA!H$43-S31-AO31</f>
        <v>0</v>
      </c>
      <c r="BL31" s="21">
        <f>TEA!I$10-TEA!I$43-T31-AP31</f>
        <v>-2803249.8973477646</v>
      </c>
      <c r="BM31" s="21">
        <f>TEA!J$10-TEA!J$43-U31-AQ31</f>
        <v>0</v>
      </c>
      <c r="BN31" s="21">
        <f>TEA!K$10-TEA!K$43-V31-AR31</f>
        <v>0</v>
      </c>
      <c r="BO31" s="21">
        <f>TEA!L$10-TEA!L$43-W31-AS31</f>
        <v>0</v>
      </c>
      <c r="BP31" s="21">
        <f t="shared" si="12"/>
        <v>-153529.24211640074</v>
      </c>
      <c r="BQ31" s="21">
        <f t="shared" si="13"/>
        <v>-230607.38423098228</v>
      </c>
      <c r="BR31" s="21" t="e">
        <f t="shared" si="14"/>
        <v>#VALUE!</v>
      </c>
      <c r="BS31" s="21" t="e">
        <f t="shared" si="15"/>
        <v>#VALUE!</v>
      </c>
      <c r="BT31" s="21"/>
      <c r="BU31" s="21">
        <f t="shared" si="38"/>
        <v>0</v>
      </c>
      <c r="BV31" s="21">
        <f t="shared" si="37"/>
        <v>0</v>
      </c>
      <c r="BW31" s="21">
        <f t="shared" si="37"/>
        <v>-128138086.90906779</v>
      </c>
      <c r="BX31" s="21">
        <f t="shared" si="37"/>
        <v>0</v>
      </c>
      <c r="BY31" s="21">
        <f t="shared" si="37"/>
        <v>0</v>
      </c>
      <c r="BZ31" s="21">
        <f t="shared" si="37"/>
        <v>0</v>
      </c>
      <c r="CA31" s="21">
        <f t="shared" si="17"/>
        <v>-101716.63969328853</v>
      </c>
      <c r="CB31" s="21">
        <f t="shared" si="18"/>
        <v>-182730.03795010608</v>
      </c>
      <c r="CC31" s="21" t="e">
        <f t="shared" si="19"/>
        <v>#VALUE!</v>
      </c>
      <c r="CD31" s="21" t="e">
        <f t="shared" si="20"/>
        <v>#VALUE!</v>
      </c>
      <c r="CE31" s="21"/>
      <c r="CF31" s="21">
        <f t="shared" si="39"/>
        <v>0</v>
      </c>
      <c r="CG31" s="21">
        <f t="shared" si="40"/>
        <v>0</v>
      </c>
      <c r="CH31" s="21">
        <f t="shared" si="40"/>
        <v>-130941336.80641556</v>
      </c>
      <c r="CI31" s="21">
        <f t="shared" si="40"/>
        <v>0</v>
      </c>
      <c r="CJ31" s="21">
        <f t="shared" si="40"/>
        <v>0</v>
      </c>
      <c r="CK31" s="21">
        <f t="shared" si="40"/>
        <v>0</v>
      </c>
      <c r="CL31" s="21">
        <f>IF(CA31&gt;0,CA31*TEA!B$17-TEA!B$24,0)</f>
        <v>0</v>
      </c>
      <c r="CM31" s="21">
        <f>IF(CB31&gt;0,CB31*TEA!C$17-TEA!C$24,0)</f>
        <v>0</v>
      </c>
      <c r="CN31" s="21" t="e">
        <f>IF(CC31&gt;0,CC31*TEA!D$17-TEA!D$24,0)</f>
        <v>#VALUE!</v>
      </c>
      <c r="CO31" s="21" t="e">
        <f>IF(CD31&gt;0,CD31*TEA!E$17-TEA!E$24,0)</f>
        <v>#VALUE!</v>
      </c>
      <c r="CP31" s="21"/>
      <c r="CQ31" s="21">
        <f>IF(CF31&gt;0,CF31*TEA!G$17-TEA!G$24,0)</f>
        <v>0</v>
      </c>
      <c r="CR31" s="21">
        <f>IF(CG31&gt;0,CG31*TEA!H$17-TEA!H$24,0)</f>
        <v>0</v>
      </c>
      <c r="CS31" s="21">
        <f>IF(CH31&gt;0,CH31*TEA!I$17-TEA!I$24,0)</f>
        <v>0</v>
      </c>
      <c r="CT31" s="21">
        <f>IF(CI31&gt;0,CI31*TEA!J$17-TEA!J$24,0)</f>
        <v>0</v>
      </c>
      <c r="CU31" s="21">
        <f>IF(CJ31&gt;0,CJ31*TEA!K$17-TEA!K$24,0)</f>
        <v>0</v>
      </c>
      <c r="CV31" s="21">
        <f>IF(CK31&gt;0,CK31*TEA!L$17-TEA!L$24,0)</f>
        <v>0</v>
      </c>
      <c r="CW31" s="21">
        <f>TEA!B$10-TEA!B$43-X31-CL31</f>
        <v>51812.602423112214</v>
      </c>
      <c r="CX31" s="21">
        <f>TEA!C$10-TEA!C$43-Y31-CM31</f>
        <v>47877.346280876183</v>
      </c>
      <c r="CY31" s="21" t="e">
        <f>TEA!D$10-TEA!D$43-Z31-CN31</f>
        <v>#VALUE!</v>
      </c>
      <c r="CZ31" s="21" t="e">
        <f>TEA!E$10-TEA!E$43-AA31-CO31</f>
        <v>#VALUE!</v>
      </c>
      <c r="DA31" s="21"/>
      <c r="DB31" s="21">
        <f>TEA!G$10-TEA!G$43-AC31-CQ31</f>
        <v>0</v>
      </c>
      <c r="DC31" s="21">
        <f>TEA!H$10-TEA!H$43-AD31-CR31</f>
        <v>0</v>
      </c>
      <c r="DD31" s="21">
        <f>TEA!I$10-TEA!I$43-AE31-CS31</f>
        <v>-2803249.8973477646</v>
      </c>
      <c r="DE31" s="21">
        <f>TEA!J$10-TEA!J$43-AF31-CT31</f>
        <v>0</v>
      </c>
      <c r="DF31" s="21">
        <f>TEA!K$10-TEA!K$43-AG31-CU31</f>
        <v>0</v>
      </c>
      <c r="DG31" s="21">
        <f>TEA!L$10-TEA!L$43-AH31-CV31</f>
        <v>0</v>
      </c>
      <c r="DH31" s="21">
        <f>CW31/(1+TEA!B$16)^$A31</f>
        <v>3592.8593980409532</v>
      </c>
      <c r="DI31" s="21">
        <f>CX31/(1+TEA!C$16)^$A31</f>
        <v>3319.9755560198437</v>
      </c>
      <c r="DJ31" s="21" t="e">
        <f>CY31/(1+TEA!D$16)^$A31</f>
        <v>#VALUE!</v>
      </c>
      <c r="DK31" s="21" t="e">
        <f>CZ31/(1+TEA!E$16)^$A31</f>
        <v>#VALUE!</v>
      </c>
      <c r="DL31" s="21"/>
      <c r="DM31" s="21">
        <f>DB31/(1+TEA!G$16)^$A31</f>
        <v>0</v>
      </c>
      <c r="DN31" s="21">
        <f>DC31/(1+TEA!H$16)^$A31</f>
        <v>0</v>
      </c>
      <c r="DO31" s="21">
        <f>DD31/(1+TEA!I$16)^$A31</f>
        <v>-194386.73735196411</v>
      </c>
      <c r="DP31" s="21">
        <f>DE31/(1+TEA!J$16)^$A31</f>
        <v>0</v>
      </c>
      <c r="DQ31" s="21">
        <f>DF31/(1+TEA!K$16)^$A31</f>
        <v>0</v>
      </c>
      <c r="DR31" s="21">
        <f>DG31/(1+TEA!L$16)^$A31</f>
        <v>0</v>
      </c>
    </row>
    <row r="32" spans="1:122" x14ac:dyDescent="0.25">
      <c r="A32" s="4">
        <f t="shared" si="1"/>
        <v>29</v>
      </c>
      <c r="B32" s="21">
        <f t="shared" si="2"/>
        <v>-1932989.3776895348</v>
      </c>
      <c r="C32" s="21">
        <f t="shared" si="3"/>
        <v>-1946666.5034573115</v>
      </c>
      <c r="D32" s="21" t="e">
        <f t="shared" si="4"/>
        <v>#VALUE!</v>
      </c>
      <c r="E32" s="21" t="e">
        <f t="shared" si="5"/>
        <v>#VALUE!</v>
      </c>
      <c r="F32" s="21"/>
      <c r="G32" s="21">
        <f t="shared" si="6"/>
        <v>0</v>
      </c>
      <c r="H32" s="21">
        <f t="shared" si="7"/>
        <v>0</v>
      </c>
      <c r="I32" s="21">
        <f t="shared" si="8"/>
        <v>-68329660.018553376</v>
      </c>
      <c r="J32" s="21">
        <f t="shared" si="9"/>
        <v>0</v>
      </c>
      <c r="K32" s="21">
        <f t="shared" si="10"/>
        <v>0</v>
      </c>
      <c r="L32" s="21">
        <f t="shared" si="11"/>
        <v>0</v>
      </c>
      <c r="M32" s="21"/>
      <c r="X32" s="20"/>
      <c r="AI32" s="21"/>
      <c r="AT32" s="21"/>
      <c r="BE32" s="21">
        <f>TEA!B$10-TEA!B$43-M32-AI32</f>
        <v>51812.602423112214</v>
      </c>
      <c r="BF32" s="21">
        <f>TEA!C$10-TEA!C$43-N32-AJ32</f>
        <v>47877.346280876183</v>
      </c>
      <c r="BG32" s="21" t="e">
        <f>TEA!D$10-TEA!D$43-O32-AK32</f>
        <v>#VALUE!</v>
      </c>
      <c r="BH32" s="21" t="e">
        <f>TEA!E$10-TEA!E$43-P32-AL32</f>
        <v>#VALUE!</v>
      </c>
      <c r="BI32" s="21"/>
      <c r="BJ32" s="21">
        <f>TEA!G$10-TEA!G$43-R32-AN32</f>
        <v>0</v>
      </c>
      <c r="BK32" s="21">
        <f>TEA!H$10-TEA!H$43-S32-AO32</f>
        <v>0</v>
      </c>
      <c r="BL32" s="21">
        <f>TEA!I$10-TEA!I$43-T32-AP32</f>
        <v>-2803249.8973477646</v>
      </c>
      <c r="BM32" s="21">
        <f>TEA!J$10-TEA!J$43-U32-AQ32</f>
        <v>0</v>
      </c>
      <c r="BN32" s="21">
        <f>TEA!K$10-TEA!K$43-V32-AR32</f>
        <v>0</v>
      </c>
      <c r="BO32" s="21">
        <f>TEA!L$10-TEA!L$43-W32-AS32</f>
        <v>0</v>
      </c>
      <c r="BP32" s="21">
        <f t="shared" si="12"/>
        <v>-101716.63969328853</v>
      </c>
      <c r="BQ32" s="21">
        <f t="shared" si="13"/>
        <v>-182730.03795010608</v>
      </c>
      <c r="BR32" s="21" t="e">
        <f t="shared" si="14"/>
        <v>#VALUE!</v>
      </c>
      <c r="BS32" s="21" t="e">
        <f t="shared" si="15"/>
        <v>#VALUE!</v>
      </c>
      <c r="BT32" s="21"/>
      <c r="BU32" s="21">
        <f t="shared" si="38"/>
        <v>0</v>
      </c>
      <c r="BV32" s="21">
        <f t="shared" si="37"/>
        <v>0</v>
      </c>
      <c r="BW32" s="21">
        <f t="shared" si="37"/>
        <v>-130941336.80641556</v>
      </c>
      <c r="BX32" s="21">
        <f t="shared" si="37"/>
        <v>0</v>
      </c>
      <c r="BY32" s="21">
        <f t="shared" si="37"/>
        <v>0</v>
      </c>
      <c r="BZ32" s="21">
        <f t="shared" si="37"/>
        <v>0</v>
      </c>
      <c r="CA32" s="21">
        <f t="shared" si="17"/>
        <v>-49904.037270176312</v>
      </c>
      <c r="CB32" s="21">
        <f t="shared" si="18"/>
        <v>-134852.69166922988</v>
      </c>
      <c r="CC32" s="21" t="e">
        <f t="shared" si="19"/>
        <v>#VALUE!</v>
      </c>
      <c r="CD32" s="21" t="e">
        <f t="shared" si="20"/>
        <v>#VALUE!</v>
      </c>
      <c r="CE32" s="21"/>
      <c r="CF32" s="21">
        <f t="shared" si="39"/>
        <v>0</v>
      </c>
      <c r="CG32" s="21">
        <f t="shared" si="40"/>
        <v>0</v>
      </c>
      <c r="CH32" s="21">
        <f t="shared" si="40"/>
        <v>-133744586.70376332</v>
      </c>
      <c r="CI32" s="21">
        <f t="shared" si="40"/>
        <v>0</v>
      </c>
      <c r="CJ32" s="21">
        <f t="shared" si="40"/>
        <v>0</v>
      </c>
      <c r="CK32" s="21">
        <f t="shared" si="40"/>
        <v>0</v>
      </c>
      <c r="CL32" s="21">
        <f>IF(CA32&gt;0,CA32*TEA!B$17-TEA!B$24,0)</f>
        <v>0</v>
      </c>
      <c r="CM32" s="21">
        <f>IF(CB32&gt;0,CB32*TEA!C$17-TEA!C$24,0)</f>
        <v>0</v>
      </c>
      <c r="CN32" s="21" t="e">
        <f>IF(CC32&gt;0,CC32*TEA!D$17-TEA!D$24,0)</f>
        <v>#VALUE!</v>
      </c>
      <c r="CO32" s="21" t="e">
        <f>IF(CD32&gt;0,CD32*TEA!E$17-TEA!E$24,0)</f>
        <v>#VALUE!</v>
      </c>
      <c r="CP32" s="21"/>
      <c r="CQ32" s="21">
        <f>IF(CF32&gt;0,CF32*TEA!G$17-TEA!G$24,0)</f>
        <v>0</v>
      </c>
      <c r="CR32" s="21">
        <f>IF(CG32&gt;0,CG32*TEA!H$17-TEA!H$24,0)</f>
        <v>0</v>
      </c>
      <c r="CS32" s="21">
        <f>IF(CH32&gt;0,CH32*TEA!I$17-TEA!I$24,0)</f>
        <v>0</v>
      </c>
      <c r="CT32" s="21">
        <f>IF(CI32&gt;0,CI32*TEA!J$17-TEA!J$24,0)</f>
        <v>0</v>
      </c>
      <c r="CU32" s="21">
        <f>IF(CJ32&gt;0,CJ32*TEA!K$17-TEA!K$24,0)</f>
        <v>0</v>
      </c>
      <c r="CV32" s="21">
        <f>IF(CK32&gt;0,CK32*TEA!L$17-TEA!L$24,0)</f>
        <v>0</v>
      </c>
      <c r="CW32" s="21">
        <f>TEA!B$10-TEA!B$43-X32-CL32</f>
        <v>51812.602423112214</v>
      </c>
      <c r="CX32" s="21">
        <f>TEA!C$10-TEA!C$43-Y32-CM32</f>
        <v>47877.346280876183</v>
      </c>
      <c r="CY32" s="21" t="e">
        <f>TEA!D$10-TEA!D$43-Z32-CN32</f>
        <v>#VALUE!</v>
      </c>
      <c r="CZ32" s="21" t="e">
        <f>TEA!E$10-TEA!E$43-AA32-CO32</f>
        <v>#VALUE!</v>
      </c>
      <c r="DA32" s="21"/>
      <c r="DB32" s="21">
        <f>TEA!G$10-TEA!G$43-AC32-CQ32</f>
        <v>0</v>
      </c>
      <c r="DC32" s="21">
        <f>TEA!H$10-TEA!H$43-AD32-CR32</f>
        <v>0</v>
      </c>
      <c r="DD32" s="21">
        <f>TEA!I$10-TEA!I$43-AE32-CS32</f>
        <v>-2803249.8973477646</v>
      </c>
      <c r="DE32" s="21">
        <f>TEA!J$10-TEA!J$43-AF32-CT32</f>
        <v>0</v>
      </c>
      <c r="DF32" s="21">
        <f>TEA!K$10-TEA!K$43-AG32-CU32</f>
        <v>0</v>
      </c>
      <c r="DG32" s="21">
        <f>TEA!L$10-TEA!L$43-AH32-CV32</f>
        <v>0</v>
      </c>
      <c r="DH32" s="21">
        <f>CW32/(1+TEA!B$16)^$A32</f>
        <v>3266.2358164008665</v>
      </c>
      <c r="DI32" s="21">
        <f>CX32/(1+TEA!C$16)^$A32</f>
        <v>3018.1595963816758</v>
      </c>
      <c r="DJ32" s="21" t="e">
        <f>CY32/(1+TEA!D$16)^$A32</f>
        <v>#VALUE!</v>
      </c>
      <c r="DK32" s="21" t="e">
        <f>CZ32/(1+TEA!E$16)^$A32</f>
        <v>#VALUE!</v>
      </c>
      <c r="DL32" s="21"/>
      <c r="DM32" s="21">
        <f>DB32/(1+TEA!G$16)^$A32</f>
        <v>0</v>
      </c>
      <c r="DN32" s="21">
        <f>DC32/(1+TEA!H$16)^$A32</f>
        <v>0</v>
      </c>
      <c r="DO32" s="21">
        <f>DD32/(1+TEA!I$16)^$A32</f>
        <v>-176715.21577451282</v>
      </c>
      <c r="DP32" s="21">
        <f>DE32/(1+TEA!J$16)^$A32</f>
        <v>0</v>
      </c>
      <c r="DQ32" s="21">
        <f>DF32/(1+TEA!K$16)^$A32</f>
        <v>0</v>
      </c>
      <c r="DR32" s="21">
        <f>DG32/(1+TEA!L$16)^$A32</f>
        <v>0</v>
      </c>
    </row>
    <row r="33" spans="1:122" x14ac:dyDescent="0.25">
      <c r="A33" s="4">
        <f t="shared" si="1"/>
        <v>30</v>
      </c>
      <c r="B33" s="34">
        <f t="shared" si="2"/>
        <v>-1949009.9327950773</v>
      </c>
      <c r="C33" s="34">
        <f t="shared" si="3"/>
        <v>-1961893.8207342608</v>
      </c>
      <c r="D33" s="34" t="e">
        <f t="shared" si="4"/>
        <v>#VALUE!</v>
      </c>
      <c r="E33" s="34" t="e">
        <f t="shared" si="5"/>
        <v>#VALUE!</v>
      </c>
      <c r="F33" s="34"/>
      <c r="G33" s="34">
        <f t="shared" si="6"/>
        <v>0</v>
      </c>
      <c r="H33" s="34">
        <f t="shared" si="7"/>
        <v>0</v>
      </c>
      <c r="I33" s="34">
        <f t="shared" si="8"/>
        <v>-68490310.214712024</v>
      </c>
      <c r="J33" s="34">
        <f t="shared" si="9"/>
        <v>0</v>
      </c>
      <c r="K33" s="34">
        <f t="shared" si="10"/>
        <v>0</v>
      </c>
      <c r="L33" s="34">
        <f t="shared" si="11"/>
        <v>0</v>
      </c>
      <c r="M33" s="21"/>
      <c r="X33" s="20"/>
      <c r="AI33" s="21"/>
      <c r="AT33" s="21"/>
      <c r="BE33" s="21">
        <f>TEA!B$10-TEA!B$43-M33-AI33+TEA!B25</f>
        <v>1706712.6024231121</v>
      </c>
      <c r="BF33" s="21">
        <f>(TEA!C$10-TEA!C$43-N33-AJ33)+TEA!C25</f>
        <v>1702777.3462808761</v>
      </c>
      <c r="BG33" s="21" t="e">
        <f>(TEA!D$10-TEA!D$43-O33-AK33)+TEA!D25</f>
        <v>#VALUE!</v>
      </c>
      <c r="BH33" s="21" t="e">
        <f>(TEA!E$10-TEA!E$43-P33-AL33)+TEA!E25</f>
        <v>#VALUE!</v>
      </c>
      <c r="BI33" s="21"/>
      <c r="BJ33" s="21">
        <f>(TEA!G$10-TEA!G$43-R33-AN33)+TEA!G25</f>
        <v>0</v>
      </c>
      <c r="BK33" s="21">
        <f>(TEA!H$10-TEA!H$43-S33-AO33)+TEA!H25</f>
        <v>0</v>
      </c>
      <c r="BL33" s="21">
        <f>(TEA!I$10-TEA!I$43-T33-AP33)+TEA!I25</f>
        <v>-2295170.8973477646</v>
      </c>
      <c r="BM33" s="21">
        <f>(TEA!J$10-TEA!J$43-U33-AQ33)+TEA!J25</f>
        <v>0</v>
      </c>
      <c r="BN33" s="21">
        <f>(TEA!K$10-TEA!K$43-V33-AR33)+TEA!K25</f>
        <v>0</v>
      </c>
      <c r="BO33" s="21">
        <f>(TEA!L$10-TEA!L$43-W33-AS33)+TEA!L25</f>
        <v>0</v>
      </c>
      <c r="BP33" s="21">
        <f t="shared" si="12"/>
        <v>-49904.037270176312</v>
      </c>
      <c r="BQ33" s="21">
        <f t="shared" si="13"/>
        <v>-134852.69166922988</v>
      </c>
      <c r="BR33" s="21" t="e">
        <f t="shared" si="14"/>
        <v>#VALUE!</v>
      </c>
      <c r="BS33" s="21" t="e">
        <f t="shared" si="15"/>
        <v>#VALUE!</v>
      </c>
      <c r="BT33" s="21"/>
      <c r="BU33" s="21">
        <f t="shared" si="38"/>
        <v>0</v>
      </c>
      <c r="BV33" s="21">
        <f t="shared" si="37"/>
        <v>0</v>
      </c>
      <c r="BW33" s="21">
        <f t="shared" si="37"/>
        <v>-133744586.70376332</v>
      </c>
      <c r="BX33" s="21">
        <f t="shared" si="37"/>
        <v>0</v>
      </c>
      <c r="BY33" s="21">
        <f t="shared" si="37"/>
        <v>0</v>
      </c>
      <c r="BZ33" s="21">
        <f t="shared" si="37"/>
        <v>0</v>
      </c>
      <c r="CA33" s="21">
        <f t="shared" si="17"/>
        <v>1656808.5651529359</v>
      </c>
      <c r="CB33" s="21">
        <f t="shared" si="18"/>
        <v>1567924.6546116462</v>
      </c>
      <c r="CC33" s="21" t="e">
        <f t="shared" si="19"/>
        <v>#VALUE!</v>
      </c>
      <c r="CD33" s="21" t="e">
        <f t="shared" si="20"/>
        <v>#VALUE!</v>
      </c>
      <c r="CE33" s="21"/>
      <c r="CF33" s="21">
        <f t="shared" si="39"/>
        <v>0</v>
      </c>
      <c r="CG33" s="21">
        <f t="shared" si="40"/>
        <v>0</v>
      </c>
      <c r="CH33" s="21">
        <f t="shared" si="40"/>
        <v>-136039757.60111108</v>
      </c>
      <c r="CI33" s="21">
        <f t="shared" si="40"/>
        <v>0</v>
      </c>
      <c r="CJ33" s="21">
        <f t="shared" si="40"/>
        <v>0</v>
      </c>
      <c r="CK33" s="21">
        <f t="shared" si="40"/>
        <v>0</v>
      </c>
      <c r="CL33" s="21">
        <f>IF(CA33&gt;0,CA33*TEA!B$17-TEA!B$24,0)</f>
        <v>331361.71303058718</v>
      </c>
      <c r="CM33" s="21">
        <f>IF(CB33&gt;0,CB33*TEA!C$17-TEA!C$24,0)</f>
        <v>313584.93092232925</v>
      </c>
      <c r="CN33" s="21" t="e">
        <f>IF(CC33&gt;0,CC33*TEA!D$17-TEA!D$24,0)</f>
        <v>#VALUE!</v>
      </c>
      <c r="CO33" s="21" t="e">
        <f>IF(CD33&gt;0,CD33*TEA!E$17-TEA!E$24,0)</f>
        <v>#VALUE!</v>
      </c>
      <c r="CP33" s="21"/>
      <c r="CQ33" s="21">
        <f>IF(CF33&gt;0,CF33*TEA!G$17-TEA!G$24,0)</f>
        <v>0</v>
      </c>
      <c r="CR33" s="21">
        <f>IF(CG33&gt;0,CG33*TEA!H$17-TEA!H$24,0)</f>
        <v>0</v>
      </c>
      <c r="CS33" s="21">
        <f>IF(CH33&gt;0,CH33*TEA!I$17-TEA!I$24,0)</f>
        <v>0</v>
      </c>
      <c r="CT33" s="21">
        <f>IF(CI33&gt;0,CI33*TEA!J$17-TEA!J$24,0)</f>
        <v>0</v>
      </c>
      <c r="CU33" s="21">
        <f>IF(CJ33&gt;0,CJ33*TEA!K$17-TEA!K$24,0)</f>
        <v>0</v>
      </c>
      <c r="CV33" s="21">
        <f>IF(CK33&gt;0,CK33*TEA!L$17-TEA!L$24,0)</f>
        <v>0</v>
      </c>
      <c r="CW33" s="21">
        <f>TEA!B$10-TEA!B$43-X33-CL33</f>
        <v>-279549.11060747498</v>
      </c>
      <c r="CX33" s="21">
        <f>TEA!C$10-TEA!C$43-Y33-CM33</f>
        <v>-265707.58464145305</v>
      </c>
      <c r="CY33" s="21" t="e">
        <f>TEA!D$10-TEA!D$43-Z33-CN33</f>
        <v>#VALUE!</v>
      </c>
      <c r="CZ33" s="21" t="e">
        <f>TEA!E$10-TEA!E$43-AA33-CO33</f>
        <v>#VALUE!</v>
      </c>
      <c r="DA33" s="21"/>
      <c r="DB33" s="21">
        <f>TEA!G$10-TEA!G$43-AC33-CQ33</f>
        <v>0</v>
      </c>
      <c r="DC33" s="21">
        <f>TEA!H$10-TEA!H$43-AD33-CR33</f>
        <v>0</v>
      </c>
      <c r="DD33" s="21">
        <f>TEA!I$10-TEA!I$43-AE33-CS33</f>
        <v>-2803249.8973477646</v>
      </c>
      <c r="DE33" s="21">
        <f>TEA!J$10-TEA!J$43-AF33-CT33</f>
        <v>0</v>
      </c>
      <c r="DF33" s="21">
        <f>TEA!K$10-TEA!K$43-AG33-CU33</f>
        <v>0</v>
      </c>
      <c r="DG33" s="21">
        <f>TEA!L$10-TEA!L$43-AH33-CV33</f>
        <v>0</v>
      </c>
      <c r="DH33" s="21">
        <f>CW33/(1+TEA!B$16)^$A33</f>
        <v>-16020.555105542579</v>
      </c>
      <c r="DI33" s="21">
        <f>CX33/(1+TEA!C$16)^$A33</f>
        <v>-15227.31727694931</v>
      </c>
      <c r="DJ33" s="21" t="e">
        <f>CY33/(1+TEA!D$16)^$A33</f>
        <v>#VALUE!</v>
      </c>
      <c r="DK33" s="21" t="e">
        <f>CZ33/(1+TEA!E$16)^$A33</f>
        <v>#VALUE!</v>
      </c>
      <c r="DL33" s="21"/>
      <c r="DM33" s="21">
        <f>DB33/(1+TEA!G$16)^$A33</f>
        <v>0</v>
      </c>
      <c r="DN33" s="21">
        <f>DC33/(1+TEA!H$16)^$A33</f>
        <v>0</v>
      </c>
      <c r="DO33" s="21">
        <f>DD33/(1+TEA!I$16)^$A33</f>
        <v>-160650.19615864797</v>
      </c>
      <c r="DP33" s="21">
        <f>DE33/(1+TEA!J$16)^$A33</f>
        <v>0</v>
      </c>
      <c r="DQ33" s="21">
        <f>DF33/(1+TEA!K$16)^$A33</f>
        <v>0</v>
      </c>
      <c r="DR33" s="21">
        <f>DG33/(1+TEA!L$16)^$A33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3A58-2C2A-364D-BF04-B3ED668648C6}">
  <sheetPr codeName="Sheet8"/>
  <dimension ref="A1:E46"/>
  <sheetViews>
    <sheetView tabSelected="1" workbookViewId="0">
      <selection activeCell="C11" sqref="C11"/>
    </sheetView>
  </sheetViews>
  <sheetFormatPr defaultColWidth="11" defaultRowHeight="15.75" x14ac:dyDescent="0.25"/>
  <cols>
    <col min="1" max="1" width="51.875" bestFit="1" customWidth="1"/>
    <col min="2" max="2" width="24.375" bestFit="1" customWidth="1"/>
    <col min="3" max="3" width="27.125" bestFit="1" customWidth="1"/>
    <col min="4" max="5" width="27.625" bestFit="1" customWidth="1"/>
  </cols>
  <sheetData>
    <row r="1" spans="1:4" x14ac:dyDescent="0.25">
      <c r="A1" t="str">
        <f>I_O!Z242</f>
        <v>Total Pre-Comb Emissions (g CO2e/yr)</v>
      </c>
      <c r="B1">
        <f>I_O!AA242</f>
        <v>-6052379224349.1992</v>
      </c>
      <c r="C1" s="1"/>
    </row>
    <row r="2" spans="1:4" x14ac:dyDescent="0.25">
      <c r="A2" t="str">
        <f>I_O!Z243</f>
        <v>Total Credits for Non-Liq Trans Fuel (g CO2e/yr)</v>
      </c>
      <c r="B2" t="e">
        <f>I_O!AA243</f>
        <v>#REF!</v>
      </c>
      <c r="C2" s="1"/>
    </row>
    <row r="4" spans="1:4" x14ac:dyDescent="0.25">
      <c r="A4" s="8" t="str">
        <f>I_O!A199</f>
        <v>Outputs</v>
      </c>
      <c r="B4" t="s">
        <v>117</v>
      </c>
      <c r="C4" t="s">
        <v>118</v>
      </c>
      <c r="D4" t="s">
        <v>119</v>
      </c>
    </row>
    <row r="5" spans="1:4" x14ac:dyDescent="0.25">
      <c r="A5" t="str">
        <f>I_O!A200</f>
        <v>CH4 Emissions (kg/yr)</v>
      </c>
      <c r="D5" s="11"/>
    </row>
    <row r="6" spans="1:4" x14ac:dyDescent="0.25">
      <c r="A6" t="str">
        <f>I_O!A201</f>
        <v>CO2 Emissions (kg/yr)</v>
      </c>
      <c r="B6" s="1"/>
      <c r="D6" s="11"/>
    </row>
    <row r="7" spans="1:4" x14ac:dyDescent="0.25">
      <c r="A7" t="str">
        <f>I_O!A202</f>
        <v>CO Emissions (kg/yr)</v>
      </c>
      <c r="B7" s="1"/>
      <c r="D7" s="11"/>
    </row>
    <row r="8" spans="1:4" x14ac:dyDescent="0.25">
      <c r="A8" t="str">
        <f>I_O!A203</f>
        <v>LUC Emissions (kg CO2e/yr)</v>
      </c>
      <c r="D8" s="11"/>
    </row>
    <row r="9" spans="1:4" x14ac:dyDescent="0.25">
      <c r="A9" t="str">
        <f>I_O!A204</f>
        <v>N2O Emissions (kg/yr)</v>
      </c>
      <c r="D9" s="11"/>
    </row>
    <row r="10" spans="1:4" x14ac:dyDescent="0.25">
      <c r="A10" t="str">
        <f>I_O!A205</f>
        <v>NOx Emissions (kg/yr)</v>
      </c>
      <c r="B10">
        <f>I_O!AA205</f>
        <v>0</v>
      </c>
      <c r="C10">
        <f>LCI!E65</f>
        <v>20</v>
      </c>
      <c r="D10" s="11">
        <f>I_O!I205*C10</f>
        <v>0</v>
      </c>
    </row>
    <row r="11" spans="1:4" x14ac:dyDescent="0.25">
      <c r="A11" t="str">
        <f>I_O!A206</f>
        <v>Algal Biomass, Whole (kg/yr)</v>
      </c>
      <c r="B11">
        <f>I_O!AA206</f>
        <v>0</v>
      </c>
      <c r="C11">
        <f>LCI!E69</f>
        <v>20</v>
      </c>
      <c r="D11" s="11">
        <f>I_O!I206*C11</f>
        <v>0</v>
      </c>
    </row>
    <row r="12" spans="1:4" x14ac:dyDescent="0.25">
      <c r="A12" t="str">
        <f>I_O!A207</f>
        <v>Algal Biomass, LEA Meal (kg/yr)</v>
      </c>
      <c r="B12">
        <f>I_O!AA207</f>
        <v>-3933130500000</v>
      </c>
      <c r="C12">
        <f>LCI!E71</f>
        <v>20</v>
      </c>
      <c r="D12" s="11">
        <f>I_O!I207*C12</f>
        <v>78662610</v>
      </c>
    </row>
    <row r="13" spans="1:4" x14ac:dyDescent="0.25">
      <c r="A13" t="str">
        <f>I_O!A208</f>
        <v>Algal Oil (kg/yr)</v>
      </c>
      <c r="B13">
        <f>I_O!AA208</f>
        <v>0</v>
      </c>
      <c r="C13">
        <f>LCI!E72</f>
        <v>20</v>
      </c>
      <c r="D13" s="11">
        <f>I_O!I208*C13</f>
        <v>0</v>
      </c>
    </row>
    <row r="14" spans="1:4" x14ac:dyDescent="0.25">
      <c r="A14" t="str">
        <f>I_O!A209</f>
        <v>Corn Grain (kg/yr)</v>
      </c>
      <c r="B14">
        <f>I_O!AA209</f>
        <v>0</v>
      </c>
      <c r="C14">
        <f>LCI!E73</f>
        <v>0</v>
      </c>
      <c r="D14" s="11">
        <f>I_O!I209*C14</f>
        <v>0</v>
      </c>
    </row>
    <row r="15" spans="1:4" x14ac:dyDescent="0.25">
      <c r="A15" t="str">
        <f>I_O!A210</f>
        <v>Corn Stover, Collected (kg/yr)</v>
      </c>
      <c r="B15">
        <f>I_O!AA210</f>
        <v>0</v>
      </c>
      <c r="C15">
        <f>LCI!E74</f>
        <v>0</v>
      </c>
      <c r="D15" s="11">
        <f>I_O!I210*C15</f>
        <v>0</v>
      </c>
    </row>
    <row r="16" spans="1:4" x14ac:dyDescent="0.25">
      <c r="A16" t="str">
        <f>I_O!A211</f>
        <v>Corn Stover, Left (kg/yr)</v>
      </c>
      <c r="B16">
        <f>I_O!AA211</f>
        <v>0</v>
      </c>
      <c r="C16">
        <f>LCI!E75</f>
        <v>0</v>
      </c>
      <c r="D16" s="11">
        <f>I_O!I211*C16</f>
        <v>0</v>
      </c>
    </row>
    <row r="17" spans="1:4" x14ac:dyDescent="0.25">
      <c r="A17" t="str">
        <f>I_O!A212</f>
        <v>DDGS (kg/yr)</v>
      </c>
      <c r="B17">
        <f>I_O!AA212</f>
        <v>0</v>
      </c>
      <c r="C17">
        <f>LCI!E77</f>
        <v>0</v>
      </c>
      <c r="D17" s="11">
        <f>I_O!I212*C17</f>
        <v>0</v>
      </c>
    </row>
    <row r="18" spans="1:4" x14ac:dyDescent="0.25">
      <c r="A18" t="str">
        <f>I_O!A213</f>
        <v>Glycerin (kg/yr)</v>
      </c>
      <c r="B18">
        <f>I_O!AA213</f>
        <v>0</v>
      </c>
      <c r="C18">
        <f>LCI!E78</f>
        <v>20</v>
      </c>
      <c r="D18" s="11">
        <f>I_O!I213*C18</f>
        <v>0</v>
      </c>
    </row>
    <row r="19" spans="1:4" x14ac:dyDescent="0.25">
      <c r="A19" t="str">
        <f>I_O!A214</f>
        <v>MSW Co-Products (kg/yr)</v>
      </c>
      <c r="B19">
        <f>I_O!AA214</f>
        <v>0</v>
      </c>
      <c r="C19">
        <f>LCI!E80</f>
        <v>20</v>
      </c>
      <c r="D19" s="11">
        <f>I_O!I214*C19</f>
        <v>0</v>
      </c>
    </row>
    <row r="20" spans="1:4" x14ac:dyDescent="0.25">
      <c r="A20" t="str">
        <f>I_O!A215</f>
        <v>Nitrogen Gas (kg/yr)</v>
      </c>
      <c r="B20">
        <f>I_O!AA215</f>
        <v>0</v>
      </c>
      <c r="C20">
        <f>LCI!E82</f>
        <v>0</v>
      </c>
      <c r="D20" s="11">
        <f>I_O!I215*C20</f>
        <v>0</v>
      </c>
    </row>
    <row r="21" spans="1:4" x14ac:dyDescent="0.25">
      <c r="A21" t="str">
        <f>I_O!A216</f>
        <v>Refused Derived Fuel (kg/yr)</v>
      </c>
      <c r="B21">
        <f>I_O!AA216</f>
        <v>0</v>
      </c>
      <c r="C21">
        <f>LCI!E83</f>
        <v>0</v>
      </c>
      <c r="D21" s="11">
        <f>I_O!I216*C21</f>
        <v>0</v>
      </c>
    </row>
    <row r="22" spans="1:4" x14ac:dyDescent="0.25">
      <c r="A22" t="str">
        <f>I_O!A217</f>
        <v>Slag (kg/yr)</v>
      </c>
      <c r="B22">
        <f>I_O!AA217</f>
        <v>0</v>
      </c>
      <c r="C22">
        <f>LCI!E84</f>
        <v>0</v>
      </c>
      <c r="D22" s="11">
        <f>I_O!I217*C22</f>
        <v>0</v>
      </c>
    </row>
    <row r="23" spans="1:4" x14ac:dyDescent="0.25">
      <c r="A23" t="str">
        <f>I_O!A218</f>
        <v>Soybean Meal (kg/yr)</v>
      </c>
      <c r="B23">
        <f>I_O!AA218</f>
        <v>0</v>
      </c>
      <c r="C23">
        <f>LCI!E87</f>
        <v>37</v>
      </c>
      <c r="D23" s="11">
        <f>I_O!I218*C23</f>
        <v>0</v>
      </c>
    </row>
    <row r="24" spans="1:4" x14ac:dyDescent="0.25">
      <c r="A24" t="str">
        <f>I_O!A219</f>
        <v>Soybean Oil (kg/yr)</v>
      </c>
      <c r="B24">
        <f>I_O!AA219</f>
        <v>0</v>
      </c>
      <c r="C24">
        <f>LCI!E88</f>
        <v>46</v>
      </c>
      <c r="D24" s="11">
        <f>I_O!I219*C24</f>
        <v>0</v>
      </c>
    </row>
    <row r="25" spans="1:4" x14ac:dyDescent="0.25">
      <c r="A25" t="str">
        <f>I_O!A220</f>
        <v>Soybeans (kg/yr)</v>
      </c>
      <c r="B25">
        <f>I_O!AA220</f>
        <v>0</v>
      </c>
      <c r="C25">
        <f>LCI!E89</f>
        <v>1</v>
      </c>
      <c r="D25" s="11">
        <f>I_O!I220*C25</f>
        <v>0</v>
      </c>
    </row>
    <row r="26" spans="1:4" x14ac:dyDescent="0.25">
      <c r="A26" t="str">
        <f>I_O!A221</f>
        <v>Syncrude (kg/yr)</v>
      </c>
      <c r="B26">
        <f>I_O!AA221</f>
        <v>0</v>
      </c>
      <c r="C26">
        <f>LCI!E90</f>
        <v>30</v>
      </c>
      <c r="D26" s="11">
        <f>I_O!I221*C26</f>
        <v>0</v>
      </c>
    </row>
    <row r="27" spans="1:4" x14ac:dyDescent="0.25">
      <c r="A27" t="str">
        <f>I_O!A222</f>
        <v>Wastewater, Gasification (kg/yr)</v>
      </c>
      <c r="B27" t="e">
        <f>I_O!AA222</f>
        <v>#REF!</v>
      </c>
      <c r="C27" t="e">
        <f>LCI!#REF!</f>
        <v>#REF!</v>
      </c>
      <c r="D27" s="11" t="e">
        <f>I_O!I222*C27</f>
        <v>#REF!</v>
      </c>
    </row>
    <row r="28" spans="1:4" x14ac:dyDescent="0.25">
      <c r="A28" t="str">
        <f>I_O!A223</f>
        <v>Water, Output (kg/yr)</v>
      </c>
      <c r="B28">
        <f>I_O!AA223</f>
        <v>-86567305499.999985</v>
      </c>
      <c r="C28">
        <f>LCI!E91</f>
        <v>46</v>
      </c>
      <c r="D28" s="11">
        <f>I_O!I223*C28</f>
        <v>3982096.0529999994</v>
      </c>
    </row>
    <row r="29" spans="1:4" x14ac:dyDescent="0.25">
      <c r="A29" t="str">
        <f>I_O!A224</f>
        <v>WDGS (kg/yr)</v>
      </c>
      <c r="B29">
        <f>I_O!AA224</f>
        <v>0</v>
      </c>
      <c r="C29">
        <f>LCI!E92</f>
        <v>141</v>
      </c>
      <c r="D29" s="11">
        <f>I_O!I224*C29</f>
        <v>0</v>
      </c>
    </row>
    <row r="30" spans="1:4" x14ac:dyDescent="0.25">
      <c r="A30" t="str">
        <f>I_O!A225</f>
        <v>WOG, Delivered (kg/yr)</v>
      </c>
      <c r="B30">
        <f>I_O!AA225</f>
        <v>0</v>
      </c>
      <c r="C30">
        <f>LCI!E93</f>
        <v>46</v>
      </c>
      <c r="D30" s="11">
        <f>I_O!I225*C30</f>
        <v>0</v>
      </c>
    </row>
    <row r="31" spans="1:4" x14ac:dyDescent="0.25">
      <c r="A31" t="str">
        <f>I_O!A226</f>
        <v>Woody Biomass (kg/yr)</v>
      </c>
      <c r="B31">
        <f>I_O!AA226</f>
        <v>0</v>
      </c>
      <c r="C31">
        <f>LCI!E94</f>
        <v>46</v>
      </c>
      <c r="D31" s="11">
        <f>I_O!I226*C31</f>
        <v>0</v>
      </c>
    </row>
    <row r="32" spans="1:4" x14ac:dyDescent="0.25">
      <c r="A32" t="str">
        <f>I_O!A227</f>
        <v>Biodiesel, Produced (kg/yr)</v>
      </c>
      <c r="B32">
        <f>I_O!AA227</f>
        <v>0</v>
      </c>
      <c r="C32">
        <f>LCI!E95</f>
        <v>46</v>
      </c>
      <c r="D32" s="11">
        <f>I_O!I227*C32</f>
        <v>0</v>
      </c>
    </row>
    <row r="33" spans="1:5" x14ac:dyDescent="0.25">
      <c r="A33" t="str">
        <f>I_O!A228</f>
        <v>Diesel, Produced (kg/yr)</v>
      </c>
      <c r="B33">
        <f>I_O!AA228</f>
        <v>-231841174500.00003</v>
      </c>
      <c r="C33">
        <f>LCI!E96</f>
        <v>46</v>
      </c>
      <c r="D33" s="11">
        <f>I_O!I228*C33</f>
        <v>10664694.027000001</v>
      </c>
    </row>
    <row r="34" spans="1:5" x14ac:dyDescent="0.25">
      <c r="A34" t="str">
        <f>I_O!A229</f>
        <v>Electricity, Generated (MJ/yr)</v>
      </c>
      <c r="B34">
        <f>I_O!AA229</f>
        <v>0</v>
      </c>
      <c r="C34">
        <f>LCI!E97</f>
        <v>49</v>
      </c>
      <c r="D34" s="11">
        <f>I_O!I229*C34</f>
        <v>0</v>
      </c>
    </row>
    <row r="35" spans="1:5" x14ac:dyDescent="0.25">
      <c r="A35" t="str">
        <f>I_O!A230</f>
        <v>Ethanol (kg/yr)</v>
      </c>
      <c r="B35">
        <f>I_O!AA230</f>
        <v>0</v>
      </c>
      <c r="C35">
        <f>LCI!E98</f>
        <v>48</v>
      </c>
      <c r="D35" s="11">
        <f>I_O!I230*C35</f>
        <v>0</v>
      </c>
    </row>
    <row r="36" spans="1:5" x14ac:dyDescent="0.25">
      <c r="A36" t="e">
        <f>I_O!#REF!</f>
        <v>#REF!</v>
      </c>
      <c r="B36" t="e">
        <f>I_O!#REF!</f>
        <v>#REF!</v>
      </c>
      <c r="C36">
        <f>LCI!E99</f>
        <v>50</v>
      </c>
      <c r="D36" s="11" t="e">
        <f>I_O!#REF!*C36</f>
        <v>#REF!</v>
      </c>
    </row>
    <row r="37" spans="1:5" x14ac:dyDescent="0.25">
      <c r="A37" s="5" t="s">
        <v>120</v>
      </c>
      <c r="C37">
        <f>SUM(B6:B7)</f>
        <v>0</v>
      </c>
      <c r="E37" s="11" t="e">
        <f>SUM(D5:D36)</f>
        <v>#REF!</v>
      </c>
    </row>
    <row r="39" spans="1:5" x14ac:dyDescent="0.25">
      <c r="A39" s="2" t="s">
        <v>121</v>
      </c>
      <c r="B39" s="74"/>
    </row>
    <row r="40" spans="1:5" x14ac:dyDescent="0.25">
      <c r="A40" s="2" t="s">
        <v>122</v>
      </c>
      <c r="B40" s="75" t="e">
        <f>B1/E37</f>
        <v>#REF!</v>
      </c>
    </row>
    <row r="41" spans="1:5" x14ac:dyDescent="0.25">
      <c r="A41" s="2"/>
      <c r="B41" s="75"/>
    </row>
    <row r="42" spans="1:5" x14ac:dyDescent="0.25">
      <c r="A42" s="2" t="s">
        <v>123</v>
      </c>
      <c r="B42" s="75">
        <f>B1/SUM(I_O!I226:I230)</f>
        <v>-26105713.264272645</v>
      </c>
    </row>
    <row r="43" spans="1:5" x14ac:dyDescent="0.25">
      <c r="A43" s="2"/>
      <c r="B43" s="75"/>
    </row>
    <row r="44" spans="1:5" x14ac:dyDescent="0.25">
      <c r="A44" s="2" t="s">
        <v>124</v>
      </c>
      <c r="B44" s="75">
        <f>B1/TEA!B10</f>
        <v>-53336645.011498913</v>
      </c>
    </row>
    <row r="45" spans="1:5" x14ac:dyDescent="0.25">
      <c r="A45" s="2"/>
      <c r="B45" s="75"/>
    </row>
    <row r="46" spans="1:5" x14ac:dyDescent="0.25">
      <c r="A46" s="2" t="s">
        <v>125</v>
      </c>
      <c r="B46" s="75" t="e">
        <f>(B1+B2)/SUM(D23:D24,D26:D28,D30:D35)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1B40-C4B7-F940-8748-C79A6F5F1B13}">
  <sheetPr codeName="Sheet9"/>
  <dimension ref="A1:S99"/>
  <sheetViews>
    <sheetView zoomScale="150" zoomScaleNormal="15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E57" sqref="E57"/>
    </sheetView>
  </sheetViews>
  <sheetFormatPr defaultColWidth="11" defaultRowHeight="15.75" x14ac:dyDescent="0.25"/>
  <cols>
    <col min="1" max="1" width="34.25" bestFit="1" customWidth="1"/>
    <col min="2" max="4" width="21.625" customWidth="1"/>
    <col min="5" max="6" width="19.5" bestFit="1" customWidth="1"/>
    <col min="7" max="7" width="17.625" customWidth="1"/>
    <col min="8" max="8" width="12.125" bestFit="1" customWidth="1"/>
  </cols>
  <sheetData>
    <row r="1" spans="1:19" x14ac:dyDescent="0.25">
      <c r="A1" t="s">
        <v>126</v>
      </c>
      <c r="B1" t="s">
        <v>127</v>
      </c>
      <c r="C1" t="s">
        <v>128</v>
      </c>
      <c r="D1" t="s">
        <v>129</v>
      </c>
      <c r="E1" s="264" t="s">
        <v>130</v>
      </c>
      <c r="F1" s="264" t="s">
        <v>131</v>
      </c>
      <c r="G1" s="264" t="s">
        <v>132</v>
      </c>
      <c r="H1" s="264" t="s">
        <v>133</v>
      </c>
      <c r="I1" s="264" t="s">
        <v>134</v>
      </c>
      <c r="J1" s="264" t="s">
        <v>135</v>
      </c>
      <c r="K1" s="264" t="s">
        <v>136</v>
      </c>
      <c r="L1" s="264" t="s">
        <v>137</v>
      </c>
      <c r="M1" s="264" t="s">
        <v>138</v>
      </c>
      <c r="N1" s="264" t="s">
        <v>139</v>
      </c>
      <c r="O1" s="264" t="s">
        <v>140</v>
      </c>
      <c r="P1" s="264" t="s">
        <v>141</v>
      </c>
      <c r="Q1" s="264" t="s">
        <v>142</v>
      </c>
      <c r="R1" s="264" t="s">
        <v>143</v>
      </c>
      <c r="S1" s="264" t="s">
        <v>144</v>
      </c>
    </row>
    <row r="2" spans="1:19" x14ac:dyDescent="0.25">
      <c r="A2" s="62" t="s">
        <v>145</v>
      </c>
      <c r="B2" t="s">
        <v>146</v>
      </c>
      <c r="C2" t="s">
        <v>147</v>
      </c>
      <c r="D2" t="s">
        <v>148</v>
      </c>
      <c r="F2">
        <v>0</v>
      </c>
      <c r="G2" s="94">
        <v>1</v>
      </c>
      <c r="H2">
        <v>0</v>
      </c>
      <c r="I2">
        <v>0</v>
      </c>
    </row>
    <row r="3" spans="1:19" x14ac:dyDescent="0.25">
      <c r="A3" s="62" t="s">
        <v>149</v>
      </c>
      <c r="B3" t="s">
        <v>150</v>
      </c>
      <c r="C3" t="s">
        <v>147</v>
      </c>
      <c r="D3" t="s">
        <v>148</v>
      </c>
      <c r="F3">
        <v>0</v>
      </c>
      <c r="G3" s="94">
        <v>1</v>
      </c>
      <c r="H3">
        <v>0</v>
      </c>
      <c r="I3">
        <v>0</v>
      </c>
    </row>
    <row r="4" spans="1:19" x14ac:dyDescent="0.25">
      <c r="A4" s="62" t="s">
        <v>151</v>
      </c>
      <c r="B4" t="s">
        <v>152</v>
      </c>
      <c r="C4" t="s">
        <v>147</v>
      </c>
      <c r="D4" t="s">
        <v>153</v>
      </c>
      <c r="F4">
        <v>0</v>
      </c>
      <c r="G4" s="94">
        <v>1</v>
      </c>
      <c r="H4">
        <v>0</v>
      </c>
      <c r="I4">
        <v>0</v>
      </c>
    </row>
    <row r="5" spans="1:19" x14ac:dyDescent="0.25">
      <c r="A5" s="63" t="s">
        <v>154</v>
      </c>
      <c r="B5" t="s">
        <v>155</v>
      </c>
      <c r="C5" t="s">
        <v>147</v>
      </c>
      <c r="D5" t="s">
        <v>156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</v>
      </c>
    </row>
    <row r="6" spans="1:19" x14ac:dyDescent="0.25">
      <c r="A6" s="63" t="s">
        <v>157</v>
      </c>
      <c r="B6" t="s">
        <v>158</v>
      </c>
      <c r="C6" t="s">
        <v>147</v>
      </c>
      <c r="D6" t="s">
        <v>156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</v>
      </c>
    </row>
    <row r="7" spans="1:19" x14ac:dyDescent="0.25">
      <c r="A7" s="64" t="s">
        <v>159</v>
      </c>
      <c r="B7" t="s">
        <v>160</v>
      </c>
      <c r="C7" t="s">
        <v>147</v>
      </c>
      <c r="D7" t="s">
        <v>161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v>0</v>
      </c>
    </row>
    <row r="8" spans="1:19" x14ac:dyDescent="0.25">
      <c r="A8" s="64" t="s">
        <v>162</v>
      </c>
      <c r="B8" t="s">
        <v>163</v>
      </c>
      <c r="C8" t="s">
        <v>147</v>
      </c>
      <c r="D8" t="s">
        <v>161</v>
      </c>
      <c r="G8">
        <v>3.31</v>
      </c>
      <c r="H8">
        <v>1200</v>
      </c>
    </row>
    <row r="9" spans="1:19" x14ac:dyDescent="0.25">
      <c r="A9" s="64" t="s">
        <v>164</v>
      </c>
      <c r="B9" t="s">
        <v>165</v>
      </c>
      <c r="C9" t="s">
        <v>147</v>
      </c>
      <c r="D9" t="s">
        <v>161</v>
      </c>
      <c r="F9">
        <v>38.700000000000003</v>
      </c>
      <c r="G9">
        <v>0.42</v>
      </c>
      <c r="H9">
        <v>3010.58</v>
      </c>
      <c r="I9">
        <v>2.7785600000000001</v>
      </c>
      <c r="J9">
        <v>1.9009999999999999E-2</v>
      </c>
      <c r="K9">
        <v>4.0345300000000002</v>
      </c>
      <c r="L9">
        <v>3.0000000000000001E-3</v>
      </c>
      <c r="M9" s="95">
        <v>3.9300000000000001E-8</v>
      </c>
      <c r="N9" s="95">
        <v>1.8799999999999999E-7</v>
      </c>
      <c r="O9" s="95">
        <v>7.8000000000000005E-7</v>
      </c>
      <c r="P9">
        <v>7.8869999999999996E-2</v>
      </c>
      <c r="Q9" s="95">
        <v>6.55</v>
      </c>
      <c r="R9">
        <v>2.7899999999999999E-3</v>
      </c>
      <c r="S9" t="s">
        <v>166</v>
      </c>
    </row>
    <row r="10" spans="1:19" x14ac:dyDescent="0.25">
      <c r="A10" s="64" t="s">
        <v>167</v>
      </c>
      <c r="B10" t="s">
        <v>168</v>
      </c>
      <c r="C10" t="s">
        <v>147</v>
      </c>
      <c r="D10" t="s">
        <v>161</v>
      </c>
      <c r="F10">
        <v>0</v>
      </c>
      <c r="G10">
        <v>0</v>
      </c>
      <c r="H10">
        <v>-1000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</row>
    <row r="11" spans="1:19" ht="16.5" customHeight="1" x14ac:dyDescent="0.25">
      <c r="A11" s="64" t="s">
        <v>169</v>
      </c>
      <c r="B11" t="s">
        <v>170</v>
      </c>
      <c r="C11" t="s">
        <v>147</v>
      </c>
      <c r="D11" t="s">
        <v>161</v>
      </c>
      <c r="F11">
        <v>8.93</v>
      </c>
      <c r="G11">
        <v>0.13200000000000001</v>
      </c>
      <c r="H11">
        <v>1610</v>
      </c>
      <c r="I11">
        <v>3.6579999999999998E-3</v>
      </c>
    </row>
    <row r="12" spans="1:19" ht="16.5" customHeight="1" x14ac:dyDescent="0.25">
      <c r="A12" s="64" t="s">
        <v>171</v>
      </c>
      <c r="B12" t="s">
        <v>172</v>
      </c>
      <c r="C12" t="s">
        <v>147</v>
      </c>
      <c r="D12" t="s">
        <v>161</v>
      </c>
      <c r="F12">
        <v>0</v>
      </c>
      <c r="G12">
        <v>0.14000000000000001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64" t="s">
        <v>173</v>
      </c>
      <c r="B13" t="s">
        <v>174</v>
      </c>
      <c r="C13" t="s">
        <v>147</v>
      </c>
      <c r="D13" t="s">
        <v>161</v>
      </c>
      <c r="F13">
        <v>40.9</v>
      </c>
      <c r="G13">
        <v>0.29399999999999998</v>
      </c>
      <c r="H13">
        <v>1508.13</v>
      </c>
      <c r="I13">
        <v>3.5615600000000001</v>
      </c>
      <c r="J13">
        <v>9.1999999999999998E-3</v>
      </c>
      <c r="K13">
        <v>8.2615800000000004</v>
      </c>
      <c r="L13">
        <v>2.4330000000000001E-2</v>
      </c>
      <c r="M13" s="95">
        <v>5.7700000000000001E-8</v>
      </c>
      <c r="N13" s="95">
        <v>2.04E-7</v>
      </c>
      <c r="O13" s="95">
        <v>1.15E-7</v>
      </c>
      <c r="P13">
        <v>0.10793999999999999</v>
      </c>
      <c r="Q13" s="95">
        <v>1.03</v>
      </c>
      <c r="R13">
        <v>1.2600000000000001E-3</v>
      </c>
      <c r="S13" t="s">
        <v>175</v>
      </c>
    </row>
    <row r="14" spans="1:19" x14ac:dyDescent="0.25">
      <c r="A14" s="64" t="s">
        <v>176</v>
      </c>
      <c r="B14" t="s">
        <v>177</v>
      </c>
      <c r="C14" t="s">
        <v>147</v>
      </c>
      <c r="D14" t="s">
        <v>161</v>
      </c>
      <c r="F14">
        <v>0</v>
      </c>
      <c r="G14">
        <v>8.2025000000000001E-2</v>
      </c>
      <c r="H14">
        <v>0</v>
      </c>
      <c r="I14">
        <v>0</v>
      </c>
      <c r="J14">
        <v>0</v>
      </c>
      <c r="K14">
        <v>0</v>
      </c>
      <c r="M14" s="95"/>
      <c r="N14" s="95"/>
      <c r="O14" s="95"/>
      <c r="Q14" s="95"/>
    </row>
    <row r="15" spans="1:19" x14ac:dyDescent="0.25">
      <c r="A15" s="64" t="s">
        <v>178</v>
      </c>
      <c r="B15" t="s">
        <v>179</v>
      </c>
      <c r="C15" t="s">
        <v>147</v>
      </c>
      <c r="D15" t="s">
        <v>161</v>
      </c>
      <c r="F15">
        <v>1.133E-2</v>
      </c>
      <c r="G15">
        <v>0</v>
      </c>
      <c r="H15">
        <v>8.2699999999999996E-3</v>
      </c>
      <c r="I15">
        <v>0</v>
      </c>
      <c r="J15">
        <v>8.4600000000000005E-3</v>
      </c>
      <c r="K15" s="95">
        <v>5.04E-6</v>
      </c>
      <c r="L15">
        <v>1.3999999999999999E-4</v>
      </c>
      <c r="M15" s="95">
        <v>3.1900000000000002E-14</v>
      </c>
      <c r="N15" s="95">
        <v>3.2600000000000001E-15</v>
      </c>
      <c r="O15">
        <v>0</v>
      </c>
      <c r="P15">
        <v>7.3999999999999999E-4</v>
      </c>
      <c r="R15">
        <v>5.1000000000000004E-4</v>
      </c>
    </row>
    <row r="16" spans="1:19" x14ac:dyDescent="0.25">
      <c r="A16" s="64" t="s">
        <v>180</v>
      </c>
      <c r="B16" t="s">
        <v>181</v>
      </c>
      <c r="C16" t="s">
        <v>147</v>
      </c>
      <c r="D16" t="s">
        <v>161</v>
      </c>
      <c r="F16">
        <v>191</v>
      </c>
      <c r="G16">
        <v>2.75</v>
      </c>
      <c r="H16">
        <v>8357</v>
      </c>
      <c r="I16">
        <v>0.21734000000000001</v>
      </c>
    </row>
    <row r="17" spans="1:19" x14ac:dyDescent="0.25">
      <c r="A17" s="64" t="s">
        <v>182</v>
      </c>
      <c r="B17" t="s">
        <v>183</v>
      </c>
      <c r="C17" t="s">
        <v>147</v>
      </c>
      <c r="D17" t="s">
        <v>161</v>
      </c>
      <c r="F17">
        <v>134.19999999999999</v>
      </c>
      <c r="G17">
        <v>70</v>
      </c>
      <c r="H17">
        <v>9576</v>
      </c>
      <c r="I17">
        <v>0.28749999999999998</v>
      </c>
    </row>
    <row r="18" spans="1:19" x14ac:dyDescent="0.25">
      <c r="A18" s="64" t="s">
        <v>184</v>
      </c>
      <c r="B18" t="s">
        <v>47</v>
      </c>
      <c r="C18" t="s">
        <v>147</v>
      </c>
      <c r="D18" t="s">
        <v>161</v>
      </c>
      <c r="F18">
        <v>0</v>
      </c>
      <c r="G18">
        <v>4.6076791999999998E-2</v>
      </c>
      <c r="H18">
        <v>0</v>
      </c>
      <c r="I18">
        <v>0</v>
      </c>
    </row>
    <row r="19" spans="1:19" x14ac:dyDescent="0.25">
      <c r="A19" s="64" t="s">
        <v>185</v>
      </c>
      <c r="B19" t="s">
        <v>186</v>
      </c>
      <c r="C19" t="s">
        <v>147</v>
      </c>
      <c r="D19" t="s">
        <v>187</v>
      </c>
      <c r="F19">
        <v>0.1</v>
      </c>
      <c r="G19">
        <v>0.06</v>
      </c>
      <c r="H19">
        <v>13</v>
      </c>
      <c r="I19">
        <v>0</v>
      </c>
    </row>
    <row r="20" spans="1:19" x14ac:dyDescent="0.25">
      <c r="A20" s="64" t="s">
        <v>188</v>
      </c>
      <c r="B20" t="s">
        <v>189</v>
      </c>
      <c r="C20" t="s">
        <v>147</v>
      </c>
      <c r="D20" t="s">
        <v>161</v>
      </c>
      <c r="F20">
        <v>134.19999999999999</v>
      </c>
      <c r="G20">
        <v>47.64</v>
      </c>
      <c r="H20">
        <v>9576</v>
      </c>
      <c r="I20">
        <v>0.28749999999999998</v>
      </c>
    </row>
    <row r="21" spans="1:19" x14ac:dyDescent="0.25">
      <c r="A21" s="64" t="s">
        <v>190</v>
      </c>
      <c r="B21" t="s">
        <v>191</v>
      </c>
      <c r="C21" t="s">
        <v>147</v>
      </c>
      <c r="D21" t="s">
        <v>161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95">
        <v>0</v>
      </c>
    </row>
    <row r="22" spans="1:19" x14ac:dyDescent="0.25">
      <c r="A22" s="64" t="s">
        <v>192</v>
      </c>
      <c r="B22" t="s">
        <v>193</v>
      </c>
      <c r="C22" t="s">
        <v>147</v>
      </c>
      <c r="D22" t="s">
        <v>161</v>
      </c>
      <c r="F22">
        <v>36.6</v>
      </c>
      <c r="G22">
        <v>0.66</v>
      </c>
      <c r="H22">
        <v>1448.71</v>
      </c>
      <c r="I22">
        <v>6.7860300000000002</v>
      </c>
      <c r="J22">
        <v>9.8600000000000007E-3</v>
      </c>
      <c r="K22">
        <v>9.9949200000000005</v>
      </c>
      <c r="L22">
        <v>1.9019999999999999E-2</v>
      </c>
      <c r="M22" s="95">
        <v>7.7900000000000003E-8</v>
      </c>
      <c r="N22" s="95">
        <v>3.9900000000000001E-7</v>
      </c>
      <c r="O22" s="95">
        <v>1.1600000000000001E-7</v>
      </c>
      <c r="P22">
        <v>8.165E-2</v>
      </c>
      <c r="Q22" s="95">
        <v>1.38</v>
      </c>
      <c r="R22">
        <v>1.41E-3</v>
      </c>
      <c r="S22" t="s">
        <v>194</v>
      </c>
    </row>
    <row r="23" spans="1:19" x14ac:dyDescent="0.25">
      <c r="A23" s="265" t="s">
        <v>195</v>
      </c>
      <c r="B23" s="266" t="s">
        <v>196</v>
      </c>
      <c r="C23" s="266" t="s">
        <v>147</v>
      </c>
      <c r="D23" s="266" t="s">
        <v>161</v>
      </c>
      <c r="F23" s="266">
        <v>25.8</v>
      </c>
      <c r="G23" s="266">
        <v>13.21</v>
      </c>
      <c r="H23" s="266">
        <v>12155</v>
      </c>
      <c r="I23" s="266">
        <v>36.488979999999998</v>
      </c>
      <c r="J23" s="266">
        <v>5.6309999999999999E-2</v>
      </c>
      <c r="K23" s="266">
        <v>71.737920000000003</v>
      </c>
      <c r="L23" s="266">
        <v>0.12973000000000001</v>
      </c>
      <c r="M23" s="267">
        <v>6.92E-7</v>
      </c>
      <c r="N23" s="267">
        <v>2.7999999999999999E-6</v>
      </c>
      <c r="O23" s="267">
        <v>2.74E-6</v>
      </c>
      <c r="P23" s="266">
        <v>0.66893999999999998</v>
      </c>
      <c r="Q23" s="267">
        <v>13.8</v>
      </c>
      <c r="R23" s="266">
        <v>1.3599999999999999E-2</v>
      </c>
    </row>
    <row r="24" spans="1:19" x14ac:dyDescent="0.25">
      <c r="A24" s="64" t="s">
        <v>197</v>
      </c>
      <c r="B24" t="s">
        <v>198</v>
      </c>
      <c r="C24" t="s">
        <v>147</v>
      </c>
      <c r="D24" t="s">
        <v>161</v>
      </c>
      <c r="F24">
        <v>34.4</v>
      </c>
      <c r="G24">
        <v>22</v>
      </c>
      <c r="H24">
        <v>1793.01</v>
      </c>
      <c r="I24">
        <v>3.2824300000000002</v>
      </c>
      <c r="J24">
        <v>4.8919999999999998E-2</v>
      </c>
      <c r="K24">
        <v>3.87852</v>
      </c>
      <c r="L24">
        <v>2.581E-2</v>
      </c>
      <c r="M24" s="95">
        <v>5.7399999999999998E-8</v>
      </c>
      <c r="N24" s="95">
        <v>1.74E-7</v>
      </c>
      <c r="O24" s="95">
        <v>1.18E-7</v>
      </c>
      <c r="P24" s="95">
        <v>0.157</v>
      </c>
      <c r="Q24" s="95">
        <v>1.08</v>
      </c>
      <c r="R24" s="95">
        <v>2.7499999999999998E-3</v>
      </c>
      <c r="S24" t="s">
        <v>199</v>
      </c>
    </row>
    <row r="25" spans="1:19" x14ac:dyDescent="0.25">
      <c r="A25" s="64" t="s">
        <v>200</v>
      </c>
      <c r="B25" t="s">
        <v>201</v>
      </c>
      <c r="C25" t="s">
        <v>147</v>
      </c>
      <c r="D25" t="s">
        <v>161</v>
      </c>
      <c r="F25">
        <v>25.8</v>
      </c>
      <c r="G25">
        <v>13.210039630000001</v>
      </c>
      <c r="H25">
        <v>8777.34</v>
      </c>
      <c r="I25">
        <v>36.488979999999998</v>
      </c>
      <c r="J25">
        <v>3.6990000000000002E-2</v>
      </c>
      <c r="K25">
        <v>42.392319999999998</v>
      </c>
      <c r="L25">
        <v>3.3360000000000001E-2</v>
      </c>
      <c r="M25" s="95">
        <v>4.5299999999999999E-7</v>
      </c>
      <c r="N25" s="95">
        <v>1.9800000000000001E-6</v>
      </c>
      <c r="O25" s="95">
        <v>1.9E-6</v>
      </c>
      <c r="P25">
        <v>0.43975999999999998</v>
      </c>
      <c r="Q25" s="95">
        <v>14.1</v>
      </c>
      <c r="R25">
        <v>7.4900000000000001E-3</v>
      </c>
      <c r="S25" t="s">
        <v>202</v>
      </c>
    </row>
    <row r="26" spans="1:19" x14ac:dyDescent="0.25">
      <c r="A26" s="64" t="s">
        <v>203</v>
      </c>
      <c r="B26" t="s">
        <v>204</v>
      </c>
      <c r="C26" t="s">
        <v>147</v>
      </c>
      <c r="D26" t="s">
        <v>161</v>
      </c>
      <c r="F26">
        <v>78.099999999999994</v>
      </c>
      <c r="G26">
        <v>0.91200000000000003</v>
      </c>
      <c r="H26">
        <v>961.05</v>
      </c>
      <c r="I26">
        <v>2.3998499999999998</v>
      </c>
      <c r="J26">
        <v>6.11E-3</v>
      </c>
      <c r="K26">
        <v>6.4685899999999998</v>
      </c>
      <c r="L26">
        <v>5.8999999999999999E-3</v>
      </c>
      <c r="M26" s="95">
        <v>5.0600000000000003E-8</v>
      </c>
      <c r="N26" s="95">
        <v>2.91E-7</v>
      </c>
      <c r="O26" s="95">
        <v>7.0900000000000001E-7</v>
      </c>
      <c r="P26" s="95">
        <v>5.8700000000000002E-2</v>
      </c>
      <c r="Q26" s="95">
        <v>6.04</v>
      </c>
      <c r="R26" s="95">
        <v>7.5000000000000002E-4</v>
      </c>
      <c r="S26" t="s">
        <v>205</v>
      </c>
    </row>
    <row r="27" spans="1:19" x14ac:dyDescent="0.25">
      <c r="A27" s="64" t="s">
        <v>206</v>
      </c>
      <c r="B27" t="s">
        <v>207</v>
      </c>
      <c r="C27" t="s">
        <v>147</v>
      </c>
      <c r="D27" t="s">
        <v>161</v>
      </c>
      <c r="F27">
        <v>25.8</v>
      </c>
      <c r="G27">
        <v>26.420079260000001</v>
      </c>
      <c r="H27">
        <v>1863</v>
      </c>
      <c r="I27">
        <v>9.2817999999999998E-3</v>
      </c>
    </row>
    <row r="28" spans="1:19" x14ac:dyDescent="0.25">
      <c r="A28" s="64" t="s">
        <v>208</v>
      </c>
      <c r="B28" t="s">
        <v>209</v>
      </c>
      <c r="C28" t="s">
        <v>147</v>
      </c>
      <c r="D28" t="s">
        <v>161</v>
      </c>
      <c r="F28">
        <v>16.5</v>
      </c>
      <c r="G28">
        <v>0.04</v>
      </c>
      <c r="H28">
        <v>41.75</v>
      </c>
      <c r="I28">
        <v>0.85246</v>
      </c>
      <c r="J28">
        <v>2.3000000000000001E-4</v>
      </c>
      <c r="K28">
        <v>0.10231</v>
      </c>
      <c r="L28" s="95">
        <v>9.2800000000000006E-5</v>
      </c>
      <c r="M28" s="95">
        <v>1.9000000000000001E-9</v>
      </c>
      <c r="N28" s="95">
        <v>4.3999999999999997E-9</v>
      </c>
      <c r="O28" s="95">
        <v>3.58E-9</v>
      </c>
      <c r="P28">
        <v>3.13E-3</v>
      </c>
      <c r="Q28" s="95">
        <v>4.3499999999999997E-2</v>
      </c>
      <c r="R28" s="95">
        <v>4.3900000000000003E-5</v>
      </c>
      <c r="S28" t="s">
        <v>210</v>
      </c>
    </row>
    <row r="29" spans="1:19" x14ac:dyDescent="0.25">
      <c r="A29" s="64" t="s">
        <v>211</v>
      </c>
      <c r="B29" t="s">
        <v>212</v>
      </c>
      <c r="C29" t="s">
        <v>147</v>
      </c>
      <c r="D29" t="s">
        <v>161</v>
      </c>
      <c r="F29">
        <v>0</v>
      </c>
      <c r="G29">
        <v>0</v>
      </c>
      <c r="H29">
        <v>906.23</v>
      </c>
      <c r="I29">
        <v>2.2619899999999999</v>
      </c>
      <c r="J29">
        <v>1.0399999999999999E-3</v>
      </c>
      <c r="K29">
        <v>0.19846</v>
      </c>
      <c r="L29">
        <v>2.7999999999999998E-4</v>
      </c>
      <c r="M29" s="95">
        <v>3.5100000000000001E-9</v>
      </c>
      <c r="N29" s="95">
        <v>8.5199999999999995E-9</v>
      </c>
      <c r="O29" s="95">
        <v>6.6899999999999997E-8</v>
      </c>
      <c r="P29" s="95">
        <v>1.37E-2</v>
      </c>
      <c r="Q29" s="95">
        <v>0.56200000000000006</v>
      </c>
      <c r="R29" s="95">
        <v>1.2999999999999999E-4</v>
      </c>
      <c r="S29" t="s">
        <v>213</v>
      </c>
    </row>
    <row r="30" spans="1:19" x14ac:dyDescent="0.25">
      <c r="A30" s="64" t="s">
        <v>214</v>
      </c>
      <c r="B30" t="s">
        <v>215</v>
      </c>
      <c r="C30" t="s">
        <v>147</v>
      </c>
      <c r="D30" t="s">
        <v>161</v>
      </c>
      <c r="F30">
        <v>0</v>
      </c>
      <c r="G30">
        <v>0.34</v>
      </c>
      <c r="H30">
        <v>11.4276</v>
      </c>
      <c r="I30">
        <v>0</v>
      </c>
      <c r="J30">
        <v>1.98E-3</v>
      </c>
      <c r="K30">
        <v>2.5272899999999998</v>
      </c>
      <c r="L30">
        <v>9.6000000000000002E-4</v>
      </c>
      <c r="M30" s="95">
        <v>1.51E-8</v>
      </c>
      <c r="N30" s="95">
        <v>1.1300000000000001E-7</v>
      </c>
      <c r="O30" s="95">
        <v>2.36E-7</v>
      </c>
      <c r="P30">
        <v>2.3879999999999998E-2</v>
      </c>
      <c r="R30">
        <v>2.2000000000000001E-4</v>
      </c>
    </row>
    <row r="31" spans="1:19" x14ac:dyDescent="0.25">
      <c r="A31" s="64" t="s">
        <v>216</v>
      </c>
      <c r="B31" t="s">
        <v>67</v>
      </c>
      <c r="C31" t="s">
        <v>147</v>
      </c>
      <c r="D31" t="s">
        <v>161</v>
      </c>
      <c r="F31">
        <v>0</v>
      </c>
      <c r="G31">
        <v>0</v>
      </c>
      <c r="H31">
        <v>0</v>
      </c>
      <c r="I31">
        <v>0</v>
      </c>
    </row>
    <row r="32" spans="1:19" x14ac:dyDescent="0.25">
      <c r="A32" s="64" t="s">
        <v>217</v>
      </c>
      <c r="B32" t="s">
        <v>218</v>
      </c>
      <c r="C32" t="s">
        <v>147</v>
      </c>
      <c r="D32" t="s">
        <v>161</v>
      </c>
      <c r="F32">
        <v>59.3</v>
      </c>
      <c r="G32">
        <v>0.56759999999999999</v>
      </c>
      <c r="H32">
        <v>3344.62</v>
      </c>
      <c r="I32">
        <v>5.8583800000000004</v>
      </c>
      <c r="J32">
        <v>2.4340000000000001E-2</v>
      </c>
      <c r="K32">
        <v>20.522670000000002</v>
      </c>
      <c r="L32">
        <v>1.1560000000000001E-2</v>
      </c>
      <c r="M32" s="95">
        <v>1.3E-7</v>
      </c>
      <c r="N32" s="95">
        <v>9.7999999999999993E-7</v>
      </c>
      <c r="O32" s="95">
        <v>5.75E-7</v>
      </c>
      <c r="P32">
        <v>0.25003999999999998</v>
      </c>
      <c r="Q32" s="95">
        <v>7.14</v>
      </c>
      <c r="R32">
        <v>3.15E-3</v>
      </c>
      <c r="S32" t="s">
        <v>219</v>
      </c>
    </row>
    <row r="33" spans="1:19" x14ac:dyDescent="0.25">
      <c r="A33" s="64" t="s">
        <v>220</v>
      </c>
      <c r="B33" t="s">
        <v>221</v>
      </c>
      <c r="C33" t="s">
        <v>147</v>
      </c>
      <c r="D33" t="s">
        <v>161</v>
      </c>
      <c r="F33">
        <v>0</v>
      </c>
      <c r="G33">
        <v>0</v>
      </c>
      <c r="H33">
        <v>2811.39</v>
      </c>
      <c r="I33">
        <v>0</v>
      </c>
      <c r="J33">
        <v>4.8009999999999997E-2</v>
      </c>
      <c r="K33">
        <v>39.138010000000001</v>
      </c>
      <c r="L33">
        <v>1.6670000000000001E-2</v>
      </c>
      <c r="M33" s="95">
        <v>2.0599999999999999E-7</v>
      </c>
      <c r="N33" s="95">
        <v>1.9599999999999999E-6</v>
      </c>
      <c r="O33" s="95">
        <v>4.7899999999999999E-7</v>
      </c>
      <c r="P33" s="95">
        <v>0.26500000000000001</v>
      </c>
      <c r="Q33" s="95">
        <v>7.01</v>
      </c>
      <c r="R33" s="95">
        <v>6.0800000000000003E-3</v>
      </c>
      <c r="S33" t="s">
        <v>222</v>
      </c>
    </row>
    <row r="34" spans="1:19" x14ac:dyDescent="0.25">
      <c r="A34" s="64" t="s">
        <v>223</v>
      </c>
      <c r="B34" t="s">
        <v>224</v>
      </c>
      <c r="C34" t="s">
        <v>147</v>
      </c>
      <c r="D34" t="s">
        <v>161</v>
      </c>
      <c r="F34">
        <v>96.88064516</v>
      </c>
      <c r="G34">
        <v>0.66236128999999999</v>
      </c>
      <c r="H34">
        <v>1935.61</v>
      </c>
      <c r="I34">
        <v>10.43909</v>
      </c>
      <c r="J34">
        <v>2.094E-2</v>
      </c>
      <c r="K34">
        <v>22.143049999999999</v>
      </c>
      <c r="L34">
        <v>2.7480000000000001E-2</v>
      </c>
      <c r="M34" s="95">
        <v>1.4100000000000001E-7</v>
      </c>
      <c r="N34" s="95">
        <v>1.1799999999999999E-6</v>
      </c>
      <c r="O34" s="95">
        <v>2.2999999999999999E-7</v>
      </c>
      <c r="P34">
        <v>0.14609</v>
      </c>
      <c r="Q34" s="95">
        <v>3.17</v>
      </c>
      <c r="R34">
        <v>3.5899999999999999E-3</v>
      </c>
      <c r="S34" t="s">
        <v>225</v>
      </c>
    </row>
    <row r="35" spans="1:19" x14ac:dyDescent="0.25">
      <c r="A35" s="64" t="s">
        <v>226</v>
      </c>
      <c r="B35" t="s">
        <v>227</v>
      </c>
      <c r="C35" t="s">
        <v>147</v>
      </c>
      <c r="D35" t="s">
        <v>161</v>
      </c>
      <c r="F35">
        <v>79.5</v>
      </c>
      <c r="G35">
        <v>8.6761290320000004</v>
      </c>
      <c r="H35">
        <v>703.58</v>
      </c>
      <c r="I35">
        <v>4.5171999999999999</v>
      </c>
      <c r="J35">
        <v>3.0300000000000001E-3</v>
      </c>
      <c r="K35">
        <v>2.2492700000000001</v>
      </c>
      <c r="L35">
        <v>2.3500000000000001E-3</v>
      </c>
      <c r="M35" s="95">
        <v>3.47E-8</v>
      </c>
      <c r="N35" s="95">
        <v>9.9400000000000003E-8</v>
      </c>
      <c r="O35" s="95">
        <v>3.6699999999999998E-8</v>
      </c>
      <c r="P35" s="95">
        <v>3.3599999999999998E-2</v>
      </c>
      <c r="Q35" s="95">
        <v>0.51400000000000001</v>
      </c>
      <c r="R35" s="95">
        <v>9.1E-4</v>
      </c>
      <c r="S35" t="s">
        <v>228</v>
      </c>
    </row>
    <row r="36" spans="1:19" x14ac:dyDescent="0.25">
      <c r="A36" s="64" t="s">
        <v>229</v>
      </c>
      <c r="B36" t="s">
        <v>230</v>
      </c>
      <c r="C36" t="s">
        <v>147</v>
      </c>
      <c r="D36" t="s">
        <v>161</v>
      </c>
      <c r="F36">
        <v>26.151282049999999</v>
      </c>
      <c r="G36">
        <v>0.27187692299999999</v>
      </c>
      <c r="H36">
        <v>3237.99</v>
      </c>
      <c r="I36">
        <v>2.6927300000000001</v>
      </c>
      <c r="J36">
        <v>1.3259999999999999E-2</v>
      </c>
      <c r="K36">
        <v>12.09928</v>
      </c>
      <c r="L36">
        <v>6.7099999999999998E-3</v>
      </c>
      <c r="M36" s="95">
        <v>7.6199999999999994E-8</v>
      </c>
      <c r="N36" s="95">
        <v>5.7899999999999998E-7</v>
      </c>
      <c r="O36" s="95">
        <v>1.99E-7</v>
      </c>
      <c r="P36">
        <v>0.15906000000000001</v>
      </c>
      <c r="Q36" s="95">
        <v>2.5</v>
      </c>
      <c r="R36">
        <v>1.0300000000000001E-3</v>
      </c>
      <c r="S36" t="s">
        <v>231</v>
      </c>
    </row>
    <row r="37" spans="1:19" x14ac:dyDescent="0.25">
      <c r="A37" s="64" t="s">
        <v>232</v>
      </c>
      <c r="B37" t="s">
        <v>233</v>
      </c>
      <c r="C37" t="s">
        <v>147</v>
      </c>
      <c r="D37" t="s">
        <v>161</v>
      </c>
      <c r="F37">
        <v>20.8</v>
      </c>
      <c r="G37">
        <v>0.45119999999999999</v>
      </c>
      <c r="H37">
        <v>1275</v>
      </c>
      <c r="I37">
        <v>5.1333999999999998E-3</v>
      </c>
      <c r="J37">
        <v>6.7600000000000004E-3</v>
      </c>
      <c r="K37">
        <v>7.3634199999999996</v>
      </c>
      <c r="L37">
        <v>5.7499999999999999E-3</v>
      </c>
      <c r="M37" s="95">
        <v>8.7600000000000004E-8</v>
      </c>
      <c r="N37" s="95">
        <v>3.4700000000000002E-7</v>
      </c>
      <c r="O37" s="95">
        <v>7.5700000000000002E-7</v>
      </c>
      <c r="P37">
        <v>7.6539999999999997E-2</v>
      </c>
      <c r="R37">
        <v>1.8E-3</v>
      </c>
    </row>
    <row r="38" spans="1:19" x14ac:dyDescent="0.25">
      <c r="A38" s="64" t="s">
        <v>234</v>
      </c>
      <c r="B38" t="s">
        <v>235</v>
      </c>
      <c r="C38" t="s">
        <v>147</v>
      </c>
      <c r="D38" t="s">
        <v>161</v>
      </c>
      <c r="F38">
        <v>52.8</v>
      </c>
      <c r="G38">
        <v>0.31559999999999999</v>
      </c>
      <c r="H38">
        <v>3810.6</v>
      </c>
      <c r="I38">
        <v>0.92410000000000003</v>
      </c>
      <c r="J38">
        <v>3.7299999999999998E-3</v>
      </c>
      <c r="K38">
        <v>16.430499999999999</v>
      </c>
      <c r="L38">
        <v>1.0330000000000001E-2</v>
      </c>
      <c r="M38" s="95">
        <v>1.7100000000000001E-8</v>
      </c>
      <c r="N38" s="95">
        <v>7.2499999999999994E-8</v>
      </c>
      <c r="O38" s="95">
        <v>7.2699999999999996E-8</v>
      </c>
      <c r="P38" s="95">
        <v>8.3000000000000004E-2</v>
      </c>
      <c r="Q38" s="95">
        <v>0.38100000000000001</v>
      </c>
      <c r="R38">
        <v>2.99E-3</v>
      </c>
      <c r="S38" t="s">
        <v>236</v>
      </c>
    </row>
    <row r="39" spans="1:19" x14ac:dyDescent="0.25">
      <c r="A39" s="64" t="s">
        <v>237</v>
      </c>
      <c r="B39" t="s">
        <v>238</v>
      </c>
      <c r="C39" t="s">
        <v>147</v>
      </c>
      <c r="D39" t="s">
        <v>161</v>
      </c>
      <c r="F39">
        <v>4.3</v>
      </c>
      <c r="G39">
        <v>1.7000000000000001E-2</v>
      </c>
      <c r="H39">
        <v>341.9</v>
      </c>
      <c r="I39">
        <v>0.23386999999999999</v>
      </c>
      <c r="J39">
        <v>1.14E-3</v>
      </c>
      <c r="K39">
        <v>0.33034999999999998</v>
      </c>
      <c r="L39">
        <v>3.6999999999999999E-4</v>
      </c>
      <c r="M39" s="95">
        <v>5.6500000000000001E-9</v>
      </c>
      <c r="N39" s="95">
        <v>1.4500000000000001E-8</v>
      </c>
      <c r="O39" s="95">
        <v>3.8199999999999998E-8</v>
      </c>
      <c r="P39">
        <v>1.0189999999999999E-2</v>
      </c>
      <c r="Q39" s="95">
        <v>0.499</v>
      </c>
      <c r="R39">
        <v>1.2E-4</v>
      </c>
      <c r="S39" t="s">
        <v>239</v>
      </c>
    </row>
    <row r="40" spans="1:19" x14ac:dyDescent="0.25">
      <c r="A40" s="64" t="s">
        <v>240</v>
      </c>
      <c r="B40" t="s">
        <v>241</v>
      </c>
      <c r="C40" t="s">
        <v>147</v>
      </c>
      <c r="D40" t="s">
        <v>161</v>
      </c>
      <c r="F40">
        <v>7.2</v>
      </c>
      <c r="G40">
        <v>0.11</v>
      </c>
      <c r="H40">
        <v>109.71</v>
      </c>
      <c r="I40">
        <v>0.60131000000000001</v>
      </c>
      <c r="J40">
        <v>7.1000000000000004E-3</v>
      </c>
      <c r="K40">
        <v>2.01356</v>
      </c>
      <c r="L40">
        <v>6.9999999999999999E-4</v>
      </c>
      <c r="M40" s="95">
        <v>1.29E-8</v>
      </c>
      <c r="N40" s="95">
        <v>9.4500000000000006E-8</v>
      </c>
      <c r="O40" s="95">
        <v>4.6800000000000002E-8</v>
      </c>
      <c r="P40">
        <v>1.8880000000000001E-2</v>
      </c>
      <c r="Q40" s="95">
        <v>0.90500000000000003</v>
      </c>
      <c r="R40">
        <v>4.8999999999999998E-4</v>
      </c>
      <c r="S40" t="s">
        <v>242</v>
      </c>
    </row>
    <row r="41" spans="1:19" x14ac:dyDescent="0.25">
      <c r="A41" s="64" t="s">
        <v>243</v>
      </c>
      <c r="B41" t="s">
        <v>244</v>
      </c>
      <c r="C41" t="s">
        <v>147</v>
      </c>
      <c r="D41" t="s">
        <v>161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95">
        <v>0</v>
      </c>
      <c r="N41" s="95">
        <v>0</v>
      </c>
      <c r="O41">
        <v>0</v>
      </c>
      <c r="P41">
        <v>0</v>
      </c>
      <c r="Q41">
        <v>0</v>
      </c>
      <c r="R41">
        <v>0</v>
      </c>
    </row>
    <row r="42" spans="1:19" x14ac:dyDescent="0.25">
      <c r="A42" s="64" t="s">
        <v>245</v>
      </c>
      <c r="B42" t="s">
        <v>246</v>
      </c>
      <c r="C42" t="s">
        <v>147</v>
      </c>
      <c r="D42" t="s">
        <v>161</v>
      </c>
      <c r="F42">
        <v>7.7999999999999999E-5</v>
      </c>
      <c r="G42">
        <v>5.5199999999999997E-4</v>
      </c>
      <c r="H42">
        <v>7.6379000000000004E-3</v>
      </c>
      <c r="I42">
        <v>1.0300000000000001E-3</v>
      </c>
      <c r="J42" s="95">
        <v>3.3400000000000002E-6</v>
      </c>
      <c r="K42">
        <v>2.3500000000000001E-3</v>
      </c>
      <c r="L42" s="95">
        <v>2.6400000000000001E-6</v>
      </c>
      <c r="M42" s="95">
        <v>4.1000000000000001E-11</v>
      </c>
      <c r="N42" s="95">
        <v>1.1100000000000001E-11</v>
      </c>
      <c r="O42" s="95">
        <v>4.3E-11</v>
      </c>
      <c r="P42" s="95">
        <v>3.7799999999999997E-5</v>
      </c>
      <c r="R42" s="95">
        <v>1.0899999999999999E-6</v>
      </c>
    </row>
    <row r="43" spans="1:19" x14ac:dyDescent="0.25">
      <c r="A43" s="64" t="s">
        <v>247</v>
      </c>
      <c r="B43" t="s">
        <v>248</v>
      </c>
      <c r="C43" t="s">
        <v>147</v>
      </c>
      <c r="D43" t="s">
        <v>249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R43">
        <v>0</v>
      </c>
    </row>
    <row r="44" spans="1:19" x14ac:dyDescent="0.25">
      <c r="A44" s="64" t="s">
        <v>250</v>
      </c>
      <c r="B44" t="s">
        <v>251</v>
      </c>
      <c r="C44" t="s">
        <v>147</v>
      </c>
      <c r="D44" t="s">
        <v>249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R44">
        <v>0</v>
      </c>
    </row>
    <row r="45" spans="1:19" x14ac:dyDescent="0.25">
      <c r="A45" s="64" t="s">
        <v>252</v>
      </c>
      <c r="B45" t="s">
        <v>253</v>
      </c>
      <c r="C45" t="s">
        <v>147</v>
      </c>
      <c r="D45" t="s">
        <v>161</v>
      </c>
      <c r="F45">
        <v>0</v>
      </c>
      <c r="G45">
        <v>0.7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9" x14ac:dyDescent="0.25">
      <c r="A46" s="64" t="s">
        <v>254</v>
      </c>
      <c r="B46" t="s">
        <v>255</v>
      </c>
      <c r="C46" t="s">
        <v>147</v>
      </c>
      <c r="D46" t="s">
        <v>161</v>
      </c>
      <c r="F46">
        <v>0</v>
      </c>
      <c r="G46">
        <v>0.57199999999999995</v>
      </c>
      <c r="H46">
        <v>0</v>
      </c>
      <c r="I46">
        <v>0</v>
      </c>
    </row>
    <row r="47" spans="1:19" x14ac:dyDescent="0.25">
      <c r="A47" s="64" t="s">
        <v>256</v>
      </c>
      <c r="B47" t="s">
        <v>257</v>
      </c>
      <c r="C47" t="s">
        <v>147</v>
      </c>
      <c r="D47" t="s">
        <v>161</v>
      </c>
      <c r="F47">
        <v>25.8</v>
      </c>
      <c r="G47">
        <v>5.5</v>
      </c>
      <c r="H47">
        <v>4306.59</v>
      </c>
      <c r="I47">
        <v>4.8228</v>
      </c>
      <c r="J47">
        <v>1.729E-2</v>
      </c>
      <c r="K47">
        <v>10.9397</v>
      </c>
      <c r="L47">
        <v>1.9599999999999999E-2</v>
      </c>
      <c r="M47" s="95">
        <v>8.7600000000000004E-8</v>
      </c>
      <c r="N47" s="95">
        <v>3.0199999999999998E-7</v>
      </c>
      <c r="O47" s="95">
        <v>1.66E-7</v>
      </c>
      <c r="P47" s="95">
        <v>0.122</v>
      </c>
      <c r="Q47" s="95">
        <v>1.85</v>
      </c>
      <c r="R47" s="95">
        <v>2.2000000000000001E-3</v>
      </c>
      <c r="S47" t="s">
        <v>258</v>
      </c>
    </row>
    <row r="48" spans="1:19" x14ac:dyDescent="0.25">
      <c r="A48" s="65" t="s">
        <v>259</v>
      </c>
      <c r="B48" t="s">
        <v>260</v>
      </c>
      <c r="C48" t="s">
        <v>147</v>
      </c>
      <c r="D48" t="s">
        <v>161</v>
      </c>
      <c r="E48">
        <v>46</v>
      </c>
      <c r="F48">
        <v>56.8</v>
      </c>
      <c r="G48">
        <v>0.48</v>
      </c>
      <c r="H48">
        <v>8235</v>
      </c>
      <c r="I48">
        <v>1.2398000000000001E-3</v>
      </c>
      <c r="J48">
        <v>3.6399159E-2</v>
      </c>
      <c r="K48">
        <v>22.883028970000002</v>
      </c>
      <c r="L48">
        <v>1.3683894E-2</v>
      </c>
      <c r="M48" s="95">
        <v>5.6599999999999996E-7</v>
      </c>
      <c r="N48" s="95">
        <v>9.7699999999999992E-7</v>
      </c>
      <c r="O48" s="95">
        <v>7.7100000000000001E-7</v>
      </c>
      <c r="P48">
        <v>0.74467752399999998</v>
      </c>
      <c r="R48">
        <v>7.1156250000000004E-3</v>
      </c>
    </row>
    <row r="49" spans="1:19" x14ac:dyDescent="0.25">
      <c r="A49" s="65" t="s">
        <v>261</v>
      </c>
      <c r="B49" t="s">
        <v>262</v>
      </c>
      <c r="C49" t="s">
        <v>147</v>
      </c>
      <c r="D49" t="s">
        <v>263</v>
      </c>
      <c r="E49">
        <v>1</v>
      </c>
      <c r="F49">
        <v>3.138888889</v>
      </c>
      <c r="G49">
        <v>1.8722222E-2</v>
      </c>
      <c r="H49">
        <v>214.47</v>
      </c>
      <c r="I49">
        <v>0.55903000000000003</v>
      </c>
      <c r="J49">
        <v>7.9000000000000001E-4</v>
      </c>
      <c r="K49">
        <v>1.6234900000000001</v>
      </c>
      <c r="L49">
        <v>2.2000000000000001E-3</v>
      </c>
      <c r="M49" s="95">
        <v>2.0100000000000001E-8</v>
      </c>
      <c r="N49" s="95">
        <v>6.5099999999999994E-8</v>
      </c>
      <c r="O49" s="95">
        <v>8.8100000000000008E-9</v>
      </c>
      <c r="P49">
        <v>6.9100000000000003E-3</v>
      </c>
      <c r="Q49" s="95">
        <v>4.6600000000000003E-2</v>
      </c>
      <c r="R49">
        <v>7.7999999999999999E-4</v>
      </c>
      <c r="S49" t="s">
        <v>264</v>
      </c>
    </row>
    <row r="50" spans="1:19" x14ac:dyDescent="0.25">
      <c r="A50" s="65" t="s">
        <v>265</v>
      </c>
      <c r="B50" s="94" t="s">
        <v>266</v>
      </c>
      <c r="C50" t="s">
        <v>147</v>
      </c>
      <c r="D50" t="s">
        <v>263</v>
      </c>
      <c r="E50">
        <v>1</v>
      </c>
      <c r="F50">
        <v>0.34166666699999998</v>
      </c>
      <c r="G50">
        <v>2.9722222E-2</v>
      </c>
      <c r="H50">
        <v>20.277777780000001</v>
      </c>
      <c r="I50">
        <v>1.2944399999999999E-4</v>
      </c>
    </row>
    <row r="51" spans="1:19" x14ac:dyDescent="0.25">
      <c r="A51" s="65" t="s">
        <v>267</v>
      </c>
      <c r="B51" t="s">
        <v>268</v>
      </c>
      <c r="C51" t="s">
        <v>147</v>
      </c>
      <c r="D51" t="s">
        <v>161</v>
      </c>
      <c r="E51">
        <v>46</v>
      </c>
      <c r="F51">
        <v>56.8</v>
      </c>
      <c r="G51">
        <v>0.48</v>
      </c>
      <c r="H51">
        <v>8235</v>
      </c>
      <c r="I51">
        <v>1.2398000000000001E-3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R51">
        <v>0</v>
      </c>
    </row>
    <row r="52" spans="1:19" x14ac:dyDescent="0.25">
      <c r="A52" s="268" t="s">
        <v>269</v>
      </c>
      <c r="B52" s="266" t="s">
        <v>270</v>
      </c>
      <c r="C52" s="266" t="s">
        <v>147</v>
      </c>
      <c r="D52" s="266" t="s">
        <v>263</v>
      </c>
      <c r="F52" s="266">
        <v>0</v>
      </c>
      <c r="G52" s="266">
        <v>9.4786000000000002E-4</v>
      </c>
      <c r="H52" s="266">
        <v>68.87</v>
      </c>
      <c r="I52" s="266">
        <v>1.387E-2</v>
      </c>
      <c r="J52" s="266">
        <v>6.5099999999999997E-5</v>
      </c>
      <c r="K52" s="266">
        <v>2.4549999999999999E-2</v>
      </c>
      <c r="L52" s="266">
        <v>1.1399999999999999E-5</v>
      </c>
      <c r="M52" s="267">
        <v>3.2600000000000001E-10</v>
      </c>
      <c r="N52" s="267">
        <v>6.7800000000000004E-10</v>
      </c>
      <c r="O52" s="267">
        <v>7.4199999999999996E-9</v>
      </c>
      <c r="P52" s="266">
        <v>8.5999999999999998E-4</v>
      </c>
      <c r="Q52" s="266">
        <v>0.15462000000000001</v>
      </c>
      <c r="R52" s="266">
        <v>5.6500000000000001E-6</v>
      </c>
      <c r="S52" s="266" t="s">
        <v>271</v>
      </c>
    </row>
    <row r="53" spans="1:19" x14ac:dyDescent="0.25">
      <c r="A53" s="65" t="s">
        <v>272</v>
      </c>
      <c r="B53" t="s">
        <v>273</v>
      </c>
      <c r="C53" t="s">
        <v>147</v>
      </c>
      <c r="D53" t="s">
        <v>161</v>
      </c>
      <c r="E53">
        <v>50</v>
      </c>
      <c r="G53">
        <f>G97</f>
        <v>0.64400000000000002</v>
      </c>
      <c r="H53">
        <v>456.37</v>
      </c>
      <c r="J53">
        <v>3.6600000000000001E-3</v>
      </c>
      <c r="K53">
        <v>0.71021999999999996</v>
      </c>
      <c r="L53">
        <v>1.4400000000000001E-3</v>
      </c>
      <c r="M53" s="95">
        <v>1.26609E-8</v>
      </c>
      <c r="N53" s="95">
        <v>2.81741E-8</v>
      </c>
      <c r="O53" s="95">
        <v>8.1562999999999995E-7</v>
      </c>
      <c r="P53" s="95">
        <v>3.8719999999999997E-2</v>
      </c>
      <c r="Q53" s="95">
        <v>6.7438599999999997</v>
      </c>
      <c r="R53" s="95">
        <v>3.5E-4</v>
      </c>
      <c r="S53" t="s">
        <v>777</v>
      </c>
    </row>
    <row r="54" spans="1:19" x14ac:dyDescent="0.25">
      <c r="A54" s="65" t="s">
        <v>274</v>
      </c>
      <c r="B54" t="s">
        <v>275</v>
      </c>
      <c r="C54" t="s">
        <v>147</v>
      </c>
      <c r="D54" t="s">
        <v>263</v>
      </c>
      <c r="E54">
        <v>1</v>
      </c>
      <c r="F54">
        <v>1.3</v>
      </c>
      <c r="G54">
        <v>4.4928909999999997E-3</v>
      </c>
      <c r="H54">
        <v>70</v>
      </c>
      <c r="I54">
        <v>1.1600000000000001E-5</v>
      </c>
    </row>
    <row r="55" spans="1:19" x14ac:dyDescent="0.25">
      <c r="A55" s="65" t="s">
        <v>276</v>
      </c>
      <c r="B55" t="s">
        <v>277</v>
      </c>
      <c r="C55" t="s">
        <v>147</v>
      </c>
      <c r="D55" t="s">
        <v>161</v>
      </c>
      <c r="E55">
        <v>141</v>
      </c>
      <c r="F55">
        <v>79.8</v>
      </c>
      <c r="G55">
        <v>3.2160000000000002</v>
      </c>
      <c r="H55">
        <v>1940</v>
      </c>
      <c r="I55">
        <v>8.1269999999999995E-2</v>
      </c>
      <c r="J55">
        <v>3.5400000000000002E-3</v>
      </c>
      <c r="K55">
        <v>0.52520999999999995</v>
      </c>
      <c r="L55">
        <v>2.5000000000000001E-4</v>
      </c>
      <c r="M55" s="95">
        <v>2.8200000000000001E-8</v>
      </c>
      <c r="N55" s="95">
        <v>1.0999999999999999E-8</v>
      </c>
      <c r="O55" s="95">
        <v>4.19E-10</v>
      </c>
      <c r="P55" s="95">
        <v>5.2999999999999999E-2</v>
      </c>
      <c r="Q55" s="95">
        <v>9.48</v>
      </c>
      <c r="R55" s="95">
        <v>2.5000000000000001E-4</v>
      </c>
      <c r="S55" t="s">
        <v>278</v>
      </c>
    </row>
    <row r="56" spans="1:19" x14ac:dyDescent="0.25">
      <c r="A56" s="65" t="s">
        <v>279</v>
      </c>
      <c r="B56" t="s">
        <v>280</v>
      </c>
      <c r="C56" t="s">
        <v>147</v>
      </c>
      <c r="D56" t="s">
        <v>161</v>
      </c>
      <c r="E56">
        <v>50</v>
      </c>
      <c r="G56">
        <v>0.25</v>
      </c>
      <c r="H56">
        <v>455.44</v>
      </c>
      <c r="J56">
        <v>2.8700000000000002E-3</v>
      </c>
      <c r="K56">
        <v>1.51075</v>
      </c>
      <c r="L56">
        <v>3.3E-4</v>
      </c>
      <c r="M56" s="95">
        <v>7.6613600000000005E-9</v>
      </c>
      <c r="N56" s="95">
        <v>3.2047100000000002E-9</v>
      </c>
      <c r="O56" s="95">
        <v>1.5950399999999999E-8</v>
      </c>
      <c r="P56" s="95">
        <v>1.048E-2</v>
      </c>
      <c r="Q56" s="95">
        <v>9.8275699999999997</v>
      </c>
      <c r="R56" s="95">
        <v>2.3000000000000001E-4</v>
      </c>
      <c r="S56" t="s">
        <v>778</v>
      </c>
    </row>
    <row r="57" spans="1:19" x14ac:dyDescent="0.25">
      <c r="A57" s="65" t="s">
        <v>281</v>
      </c>
      <c r="B57" t="s">
        <v>282</v>
      </c>
      <c r="C57" t="s">
        <v>147</v>
      </c>
    </row>
    <row r="58" spans="1:19" x14ac:dyDescent="0.25">
      <c r="A58" s="66" t="s">
        <v>283</v>
      </c>
      <c r="B58" t="s">
        <v>284</v>
      </c>
      <c r="C58" t="s">
        <v>285</v>
      </c>
      <c r="D58" t="s">
        <v>161</v>
      </c>
      <c r="F58">
        <v>0</v>
      </c>
      <c r="G58">
        <v>0</v>
      </c>
      <c r="H58" s="94">
        <v>36000</v>
      </c>
      <c r="I58">
        <v>0</v>
      </c>
    </row>
    <row r="59" spans="1:19" x14ac:dyDescent="0.25">
      <c r="A59" s="66" t="s">
        <v>286</v>
      </c>
      <c r="B59" t="s">
        <v>287</v>
      </c>
      <c r="C59" t="s">
        <v>285</v>
      </c>
      <c r="D59" t="s">
        <v>161</v>
      </c>
      <c r="F59">
        <v>0</v>
      </c>
      <c r="G59">
        <v>0</v>
      </c>
      <c r="H59" s="94">
        <v>1000</v>
      </c>
      <c r="I59">
        <v>0</v>
      </c>
    </row>
    <row r="60" spans="1:19" x14ac:dyDescent="0.25">
      <c r="A60" s="66" t="s">
        <v>288</v>
      </c>
      <c r="B60" t="s">
        <v>289</v>
      </c>
      <c r="C60" t="s">
        <v>285</v>
      </c>
      <c r="D60" t="s">
        <v>161</v>
      </c>
    </row>
    <row r="61" spans="1:19" x14ac:dyDescent="0.25">
      <c r="A61" s="66" t="s">
        <v>290</v>
      </c>
      <c r="B61" t="s">
        <v>291</v>
      </c>
      <c r="C61" t="s">
        <v>285</v>
      </c>
      <c r="D61" t="s">
        <v>161</v>
      </c>
      <c r="F61">
        <v>0</v>
      </c>
      <c r="G61">
        <v>0</v>
      </c>
      <c r="H61">
        <v>1000</v>
      </c>
      <c r="I61">
        <v>0</v>
      </c>
    </row>
    <row r="62" spans="1:19" x14ac:dyDescent="0.25">
      <c r="A62" s="66" t="s">
        <v>292</v>
      </c>
      <c r="B62" t="s">
        <v>293</v>
      </c>
      <c r="C62" t="s">
        <v>285</v>
      </c>
      <c r="D62" t="s">
        <v>161</v>
      </c>
      <c r="F62">
        <v>0</v>
      </c>
      <c r="G62">
        <v>0</v>
      </c>
      <c r="H62" s="94">
        <v>298000</v>
      </c>
      <c r="I62">
        <v>0</v>
      </c>
    </row>
    <row r="63" spans="1:19" x14ac:dyDescent="0.25">
      <c r="A63" s="66" t="s">
        <v>294</v>
      </c>
      <c r="B63" t="s">
        <v>295</v>
      </c>
      <c r="C63" t="s">
        <v>285</v>
      </c>
      <c r="H63" s="94"/>
    </row>
    <row r="64" spans="1:19" x14ac:dyDescent="0.25">
      <c r="A64" s="67" t="s">
        <v>296</v>
      </c>
      <c r="B64" t="s">
        <v>297</v>
      </c>
      <c r="C64" t="s">
        <v>285</v>
      </c>
      <c r="D64" t="s">
        <v>161</v>
      </c>
      <c r="H64" s="94"/>
    </row>
    <row r="65" spans="1:9" x14ac:dyDescent="0.25">
      <c r="A65" s="67" t="s">
        <v>298</v>
      </c>
      <c r="B65" t="s">
        <v>299</v>
      </c>
      <c r="C65" t="s">
        <v>285</v>
      </c>
      <c r="D65" t="s">
        <v>161</v>
      </c>
      <c r="E65" s="94">
        <v>20</v>
      </c>
      <c r="F65">
        <v>19.899999999999999</v>
      </c>
      <c r="G65">
        <v>0.35</v>
      </c>
      <c r="H65" s="94">
        <v>-2000</v>
      </c>
      <c r="I65">
        <v>0</v>
      </c>
    </row>
    <row r="66" spans="1:9" x14ac:dyDescent="0.25">
      <c r="A66" s="67" t="s">
        <v>300</v>
      </c>
      <c r="B66" t="s">
        <v>301</v>
      </c>
      <c r="C66" t="s">
        <v>285</v>
      </c>
      <c r="E66" s="94"/>
      <c r="H66" s="94"/>
    </row>
    <row r="67" spans="1:9" x14ac:dyDescent="0.25">
      <c r="A67" s="67" t="s">
        <v>754</v>
      </c>
      <c r="B67" t="s">
        <v>592</v>
      </c>
      <c r="C67" t="s">
        <v>285</v>
      </c>
      <c r="D67" t="s">
        <v>161</v>
      </c>
      <c r="E67" s="94"/>
      <c r="H67" s="94"/>
    </row>
    <row r="68" spans="1:9" x14ac:dyDescent="0.25">
      <c r="A68" s="67" t="s">
        <v>302</v>
      </c>
      <c r="B68" t="s">
        <v>303</v>
      </c>
      <c r="C68" t="s">
        <v>285</v>
      </c>
      <c r="D68" t="s">
        <v>161</v>
      </c>
      <c r="E68" s="94"/>
      <c r="F68">
        <v>0</v>
      </c>
      <c r="G68">
        <v>0</v>
      </c>
      <c r="H68" s="94">
        <v>1000</v>
      </c>
      <c r="I68">
        <v>0</v>
      </c>
    </row>
    <row r="69" spans="1:9" x14ac:dyDescent="0.25">
      <c r="A69" s="67" t="s">
        <v>171</v>
      </c>
      <c r="B69" t="s">
        <v>172</v>
      </c>
      <c r="C69" t="s">
        <v>285</v>
      </c>
      <c r="D69" t="s">
        <v>161</v>
      </c>
      <c r="E69" s="94">
        <v>20</v>
      </c>
      <c r="F69">
        <v>0</v>
      </c>
      <c r="G69" s="94">
        <v>0</v>
      </c>
      <c r="H69" s="94">
        <v>-2000</v>
      </c>
      <c r="I69">
        <v>0</v>
      </c>
    </row>
    <row r="70" spans="1:9" x14ac:dyDescent="0.25">
      <c r="A70" s="67" t="s">
        <v>304</v>
      </c>
      <c r="B70" t="s">
        <v>305</v>
      </c>
      <c r="C70" t="s">
        <v>285</v>
      </c>
      <c r="E70" s="94"/>
      <c r="G70" s="94"/>
      <c r="H70" s="94"/>
    </row>
    <row r="71" spans="1:9" x14ac:dyDescent="0.25">
      <c r="A71" s="67" t="s">
        <v>306</v>
      </c>
      <c r="B71" t="s">
        <v>307</v>
      </c>
      <c r="C71" t="s">
        <v>285</v>
      </c>
      <c r="D71" t="s">
        <v>161</v>
      </c>
      <c r="E71" s="94">
        <v>20</v>
      </c>
      <c r="F71">
        <v>0</v>
      </c>
      <c r="G71">
        <v>0</v>
      </c>
      <c r="H71" s="94">
        <v>-2000</v>
      </c>
      <c r="I71">
        <v>0</v>
      </c>
    </row>
    <row r="72" spans="1:9" x14ac:dyDescent="0.25">
      <c r="A72" s="67" t="s">
        <v>308</v>
      </c>
      <c r="B72" t="s">
        <v>309</v>
      </c>
      <c r="C72" t="s">
        <v>285</v>
      </c>
      <c r="D72" t="s">
        <v>161</v>
      </c>
      <c r="E72" s="94">
        <v>20</v>
      </c>
      <c r="F72">
        <v>16.71</v>
      </c>
      <c r="G72">
        <v>0.15435501700000001</v>
      </c>
      <c r="H72" s="94">
        <v>-2000</v>
      </c>
      <c r="I72">
        <v>0</v>
      </c>
    </row>
    <row r="73" spans="1:9" x14ac:dyDescent="0.25">
      <c r="A73" s="67" t="s">
        <v>310</v>
      </c>
      <c r="B73" t="s">
        <v>311</v>
      </c>
      <c r="C73" t="s">
        <v>285</v>
      </c>
      <c r="D73" t="s">
        <v>161</v>
      </c>
      <c r="F73">
        <v>19</v>
      </c>
      <c r="G73">
        <f>0.06*2.2</f>
        <v>0.13200000000000001</v>
      </c>
      <c r="H73">
        <v>0</v>
      </c>
      <c r="I73">
        <v>0</v>
      </c>
    </row>
    <row r="74" spans="1:9" x14ac:dyDescent="0.25">
      <c r="A74" s="67" t="s">
        <v>312</v>
      </c>
      <c r="B74" t="s">
        <v>313</v>
      </c>
      <c r="C74" t="s">
        <v>285</v>
      </c>
      <c r="D74" t="s">
        <v>161</v>
      </c>
      <c r="F74">
        <v>12.87234043</v>
      </c>
      <c r="G74">
        <v>0.33</v>
      </c>
      <c r="H74">
        <v>0</v>
      </c>
      <c r="I74">
        <v>0</v>
      </c>
    </row>
    <row r="75" spans="1:9" x14ac:dyDescent="0.25">
      <c r="A75" s="67" t="s">
        <v>314</v>
      </c>
      <c r="B75" t="s">
        <v>315</v>
      </c>
      <c r="C75" t="s">
        <v>285</v>
      </c>
      <c r="D75" t="s">
        <v>161</v>
      </c>
      <c r="E75" s="94"/>
      <c r="F75">
        <v>0</v>
      </c>
      <c r="G75">
        <v>0</v>
      </c>
      <c r="H75">
        <v>0</v>
      </c>
      <c r="I75">
        <v>0</v>
      </c>
    </row>
    <row r="76" spans="1:9" x14ac:dyDescent="0.25">
      <c r="A76" s="67" t="s">
        <v>316</v>
      </c>
      <c r="B76" t="s">
        <v>317</v>
      </c>
      <c r="C76" t="s">
        <v>285</v>
      </c>
      <c r="D76" t="s">
        <v>161</v>
      </c>
      <c r="E76" s="94"/>
    </row>
    <row r="77" spans="1:9" x14ac:dyDescent="0.25">
      <c r="A77" s="67" t="s">
        <v>318</v>
      </c>
      <c r="B77" t="s">
        <v>319</v>
      </c>
      <c r="C77" t="s">
        <v>285</v>
      </c>
      <c r="D77" t="s">
        <v>161</v>
      </c>
      <c r="E77" s="94"/>
      <c r="F77">
        <v>0</v>
      </c>
      <c r="G77">
        <v>-2.5899999999999999E-2</v>
      </c>
      <c r="H77">
        <v>3666.666667</v>
      </c>
      <c r="I77">
        <v>0</v>
      </c>
    </row>
    <row r="78" spans="1:9" x14ac:dyDescent="0.25">
      <c r="A78" s="67" t="s">
        <v>320</v>
      </c>
      <c r="B78" t="s">
        <v>321</v>
      </c>
      <c r="C78" t="s">
        <v>285</v>
      </c>
      <c r="D78" t="s">
        <v>161</v>
      </c>
      <c r="E78" s="94">
        <v>20</v>
      </c>
      <c r="F78">
        <v>19.899999999999999</v>
      </c>
      <c r="G78">
        <v>0.35</v>
      </c>
      <c r="H78" s="94">
        <v>-2000</v>
      </c>
      <c r="I78">
        <v>0</v>
      </c>
    </row>
    <row r="79" spans="1:9" x14ac:dyDescent="0.25">
      <c r="A79" s="67" t="s">
        <v>322</v>
      </c>
      <c r="B79" t="s">
        <v>323</v>
      </c>
      <c r="C79" t="s">
        <v>285</v>
      </c>
      <c r="E79" s="94"/>
      <c r="H79" s="94"/>
    </row>
    <row r="80" spans="1:9" x14ac:dyDescent="0.25">
      <c r="A80" s="67" t="s">
        <v>324</v>
      </c>
      <c r="B80" t="s">
        <v>325</v>
      </c>
      <c r="C80" t="s">
        <v>285</v>
      </c>
      <c r="D80" t="s">
        <v>161</v>
      </c>
      <c r="E80" s="94">
        <v>20</v>
      </c>
      <c r="F80">
        <v>0</v>
      </c>
      <c r="G80" s="94">
        <v>0.55000000000000004</v>
      </c>
      <c r="H80" s="94">
        <v>-2000</v>
      </c>
      <c r="I80">
        <v>0</v>
      </c>
    </row>
    <row r="81" spans="1:19" x14ac:dyDescent="0.25">
      <c r="A81" s="67" t="s">
        <v>326</v>
      </c>
      <c r="B81" t="s">
        <v>748</v>
      </c>
      <c r="C81" t="s">
        <v>285</v>
      </c>
      <c r="E81" s="94"/>
      <c r="G81" s="94"/>
      <c r="H81" s="94"/>
    </row>
    <row r="82" spans="1:19" x14ac:dyDescent="0.25">
      <c r="A82" s="67" t="s">
        <v>327</v>
      </c>
      <c r="B82" t="s">
        <v>328</v>
      </c>
      <c r="C82" t="s">
        <v>285</v>
      </c>
      <c r="D82" t="s">
        <v>161</v>
      </c>
      <c r="E82" s="94"/>
      <c r="F82">
        <v>0</v>
      </c>
      <c r="G82">
        <v>-1.17E-3</v>
      </c>
      <c r="H82">
        <v>0</v>
      </c>
      <c r="I82">
        <v>0</v>
      </c>
    </row>
    <row r="83" spans="1:19" x14ac:dyDescent="0.25">
      <c r="A83" s="67" t="s">
        <v>329</v>
      </c>
      <c r="B83" t="s">
        <v>246</v>
      </c>
      <c r="C83" t="s">
        <v>285</v>
      </c>
      <c r="D83" t="s">
        <v>161</v>
      </c>
      <c r="E83" s="94"/>
      <c r="F83" s="94">
        <v>0</v>
      </c>
      <c r="G83" s="94">
        <v>0</v>
      </c>
      <c r="H83" s="94">
        <v>0</v>
      </c>
      <c r="I83">
        <v>1.0300000000000001E-3</v>
      </c>
      <c r="J83" s="95">
        <v>3.3400000000000002E-6</v>
      </c>
      <c r="K83">
        <v>2.3500000000000001E-3</v>
      </c>
      <c r="L83" s="95">
        <v>2.6400000000000001E-6</v>
      </c>
      <c r="M83" s="95">
        <v>4.1000000000000001E-11</v>
      </c>
      <c r="N83" s="95">
        <v>1.1100000000000001E-11</v>
      </c>
      <c r="O83" s="95">
        <v>4.3E-11</v>
      </c>
      <c r="P83" s="95">
        <v>3.7799999999999997E-5</v>
      </c>
      <c r="R83" s="95">
        <v>1.0899999999999999E-6</v>
      </c>
    </row>
    <row r="84" spans="1:19" x14ac:dyDescent="0.25">
      <c r="A84" s="67" t="s">
        <v>330</v>
      </c>
      <c r="B84" s="94" t="s">
        <v>331</v>
      </c>
      <c r="C84" t="s">
        <v>285</v>
      </c>
      <c r="D84" t="s">
        <v>161</v>
      </c>
      <c r="E84" s="94"/>
    </row>
    <row r="85" spans="1:19" x14ac:dyDescent="0.25">
      <c r="A85" s="67" t="s">
        <v>332</v>
      </c>
      <c r="B85" s="94" t="s">
        <v>333</v>
      </c>
      <c r="C85" t="s">
        <v>285</v>
      </c>
      <c r="E85" s="94"/>
    </row>
    <row r="86" spans="1:19" x14ac:dyDescent="0.25">
      <c r="A86" s="67" t="s">
        <v>252</v>
      </c>
      <c r="B86" s="94" t="s">
        <v>253</v>
      </c>
      <c r="C86" t="s">
        <v>285</v>
      </c>
      <c r="E86" s="94"/>
    </row>
    <row r="87" spans="1:19" x14ac:dyDescent="0.25">
      <c r="A87" s="68" t="s">
        <v>334</v>
      </c>
      <c r="B87" t="s">
        <v>335</v>
      </c>
      <c r="C87" t="s">
        <v>285</v>
      </c>
      <c r="D87" t="s">
        <v>161</v>
      </c>
      <c r="E87" s="94">
        <v>37</v>
      </c>
      <c r="F87">
        <v>37.799999999999997</v>
      </c>
      <c r="G87" s="94">
        <v>0.5</v>
      </c>
      <c r="H87" s="94">
        <v>-100</v>
      </c>
      <c r="I87">
        <v>0</v>
      </c>
    </row>
    <row r="88" spans="1:19" x14ac:dyDescent="0.25">
      <c r="A88" s="68" t="s">
        <v>336</v>
      </c>
      <c r="B88" t="s">
        <v>337</v>
      </c>
      <c r="C88" t="s">
        <v>285</v>
      </c>
      <c r="D88" t="s">
        <v>161</v>
      </c>
      <c r="E88" s="94">
        <v>46</v>
      </c>
      <c r="F88">
        <v>57.417769999999997</v>
      </c>
      <c r="G88" s="94">
        <v>0.58711287199999995</v>
      </c>
      <c r="H88" s="94">
        <v>-100</v>
      </c>
      <c r="I88">
        <v>0</v>
      </c>
    </row>
    <row r="89" spans="1:19" x14ac:dyDescent="0.25">
      <c r="A89" s="68" t="s">
        <v>338</v>
      </c>
      <c r="B89" t="s">
        <v>339</v>
      </c>
      <c r="C89" t="s">
        <v>285</v>
      </c>
      <c r="D89" t="s">
        <v>263</v>
      </c>
      <c r="E89" s="94">
        <v>1</v>
      </c>
      <c r="F89">
        <v>3.138888889</v>
      </c>
      <c r="G89">
        <v>1.8722222E-2</v>
      </c>
      <c r="H89">
        <v>214.47</v>
      </c>
      <c r="I89">
        <v>0.55903000000000003</v>
      </c>
      <c r="J89">
        <v>7.9000000000000001E-4</v>
      </c>
      <c r="K89">
        <v>1.6234900000000001</v>
      </c>
      <c r="L89">
        <v>2.2000000000000001E-3</v>
      </c>
      <c r="M89" s="95">
        <v>2.0100000000000001E-8</v>
      </c>
      <c r="N89" s="95">
        <v>6.5099999999999994E-8</v>
      </c>
      <c r="O89" s="95">
        <v>8.8100000000000008E-9</v>
      </c>
      <c r="P89">
        <v>6.9100000000000003E-3</v>
      </c>
      <c r="Q89" s="95">
        <v>4.6600000000000003E-2</v>
      </c>
      <c r="R89">
        <v>7.7999999999999999E-4</v>
      </c>
      <c r="S89" t="s">
        <v>264</v>
      </c>
    </row>
    <row r="90" spans="1:19" x14ac:dyDescent="0.25">
      <c r="A90" s="68" t="s">
        <v>340</v>
      </c>
      <c r="B90" t="s">
        <v>341</v>
      </c>
      <c r="C90" t="s">
        <v>285</v>
      </c>
      <c r="D90" t="s">
        <v>161</v>
      </c>
      <c r="E90" s="94">
        <v>30</v>
      </c>
      <c r="F90">
        <v>29.7</v>
      </c>
      <c r="G90">
        <v>0.42</v>
      </c>
      <c r="H90" s="94">
        <v>-100</v>
      </c>
      <c r="I90">
        <v>0</v>
      </c>
    </row>
    <row r="91" spans="1:19" x14ac:dyDescent="0.25">
      <c r="A91" s="68" t="s">
        <v>342</v>
      </c>
      <c r="B91" t="s">
        <v>343</v>
      </c>
      <c r="C91" t="s">
        <v>285</v>
      </c>
      <c r="D91" t="s">
        <v>161</v>
      </c>
      <c r="E91" s="94">
        <v>46</v>
      </c>
      <c r="F91">
        <v>52.2</v>
      </c>
      <c r="G91" s="94">
        <v>0.58711287199999995</v>
      </c>
      <c r="H91" s="94">
        <v>-100</v>
      </c>
      <c r="I91">
        <v>0</v>
      </c>
    </row>
    <row r="92" spans="1:19" x14ac:dyDescent="0.25">
      <c r="A92" s="68" t="s">
        <v>344</v>
      </c>
      <c r="B92" t="s">
        <v>345</v>
      </c>
      <c r="C92" t="s">
        <v>285</v>
      </c>
      <c r="D92" t="s">
        <v>161</v>
      </c>
      <c r="E92" s="94">
        <v>141</v>
      </c>
      <c r="F92">
        <v>79.8</v>
      </c>
      <c r="G92">
        <v>3.2160000000000002</v>
      </c>
      <c r="H92">
        <v>1940</v>
      </c>
      <c r="I92">
        <v>8.1269999999999995E-2</v>
      </c>
      <c r="J92">
        <v>3.5400000000000002E-3</v>
      </c>
      <c r="K92">
        <v>0.52520999999999995</v>
      </c>
      <c r="L92">
        <v>2.5000000000000001E-4</v>
      </c>
      <c r="M92" s="95">
        <v>2.8200000000000001E-8</v>
      </c>
      <c r="N92" s="95">
        <v>1.0999999999999999E-8</v>
      </c>
      <c r="O92" s="95">
        <v>4.19E-10</v>
      </c>
      <c r="P92" s="95">
        <v>5.2999999999999999E-2</v>
      </c>
      <c r="Q92" s="95">
        <v>9.48</v>
      </c>
      <c r="R92" s="95">
        <v>2.5000000000000001E-4</v>
      </c>
      <c r="S92" t="s">
        <v>278</v>
      </c>
    </row>
    <row r="93" spans="1:19" x14ac:dyDescent="0.25">
      <c r="A93" s="68" t="s">
        <v>346</v>
      </c>
      <c r="B93" t="s">
        <v>347</v>
      </c>
      <c r="C93" t="s">
        <v>285</v>
      </c>
      <c r="D93" t="s">
        <v>161</v>
      </c>
      <c r="E93" s="94">
        <v>46</v>
      </c>
      <c r="F93">
        <v>54</v>
      </c>
      <c r="G93" s="94">
        <f>(2/3.785)/0.87</f>
        <v>0.60735814391351217</v>
      </c>
      <c r="H93" s="94">
        <v>-100</v>
      </c>
      <c r="I93">
        <v>0</v>
      </c>
    </row>
    <row r="94" spans="1:19" x14ac:dyDescent="0.25">
      <c r="A94" s="68" t="s">
        <v>348</v>
      </c>
      <c r="B94" t="s">
        <v>349</v>
      </c>
      <c r="C94" t="s">
        <v>285</v>
      </c>
      <c r="D94" t="s">
        <v>161</v>
      </c>
      <c r="E94" s="94">
        <v>46</v>
      </c>
      <c r="F94">
        <v>54</v>
      </c>
      <c r="G94" s="94">
        <f>(2/3.785)/0.87</f>
        <v>0.60735814391351217</v>
      </c>
      <c r="H94" s="94">
        <v>-100</v>
      </c>
      <c r="I94">
        <v>0</v>
      </c>
    </row>
    <row r="95" spans="1:19" x14ac:dyDescent="0.25">
      <c r="A95" s="68" t="s">
        <v>350</v>
      </c>
      <c r="B95" t="s">
        <v>351</v>
      </c>
      <c r="C95" t="s">
        <v>285</v>
      </c>
      <c r="D95" t="s">
        <v>161</v>
      </c>
      <c r="E95" s="94">
        <v>46</v>
      </c>
      <c r="F95">
        <v>54</v>
      </c>
      <c r="G95" s="94">
        <f>(2/3.785)/0.87</f>
        <v>0.60735814391351217</v>
      </c>
      <c r="H95" s="94">
        <v>-100</v>
      </c>
      <c r="I95">
        <v>0</v>
      </c>
    </row>
    <row r="96" spans="1:19" x14ac:dyDescent="0.25">
      <c r="A96" s="68" t="s">
        <v>352</v>
      </c>
      <c r="B96" t="s">
        <v>353</v>
      </c>
      <c r="C96" t="s">
        <v>285</v>
      </c>
      <c r="D96" t="s">
        <v>161</v>
      </c>
      <c r="E96" s="94">
        <v>46</v>
      </c>
      <c r="F96">
        <v>54</v>
      </c>
      <c r="G96" s="94">
        <f>(2/3.785)/0.87</f>
        <v>0.60735814391351217</v>
      </c>
      <c r="H96" s="94">
        <v>-100</v>
      </c>
      <c r="I96">
        <v>0</v>
      </c>
    </row>
    <row r="97" spans="1:9" x14ac:dyDescent="0.25">
      <c r="A97" s="68" t="s">
        <v>354</v>
      </c>
      <c r="B97" t="s">
        <v>355</v>
      </c>
      <c r="C97" t="s">
        <v>285</v>
      </c>
      <c r="D97" t="s">
        <v>161</v>
      </c>
      <c r="E97" s="94">
        <v>49</v>
      </c>
      <c r="F97">
        <v>58</v>
      </c>
      <c r="G97" s="94">
        <v>0.64400000000000002</v>
      </c>
      <c r="H97" s="94">
        <v>-100</v>
      </c>
      <c r="I97">
        <v>0</v>
      </c>
    </row>
    <row r="98" spans="1:9" x14ac:dyDescent="0.25">
      <c r="A98" s="68" t="s">
        <v>356</v>
      </c>
      <c r="B98" t="s">
        <v>357</v>
      </c>
      <c r="C98" t="s">
        <v>285</v>
      </c>
      <c r="D98" t="s">
        <v>161</v>
      </c>
      <c r="E98" s="94">
        <v>48</v>
      </c>
      <c r="F98">
        <v>52.2</v>
      </c>
      <c r="G98" s="94">
        <v>0.55000000000000004</v>
      </c>
      <c r="H98" s="94">
        <v>-100</v>
      </c>
      <c r="I98">
        <v>0</v>
      </c>
    </row>
    <row r="99" spans="1:9" x14ac:dyDescent="0.25">
      <c r="A99" s="68" t="s">
        <v>358</v>
      </c>
      <c r="B99" t="s">
        <v>359</v>
      </c>
      <c r="C99" t="s">
        <v>285</v>
      </c>
      <c r="D99" t="s">
        <v>161</v>
      </c>
      <c r="E99" s="94">
        <v>50</v>
      </c>
      <c r="F99">
        <v>52.2</v>
      </c>
      <c r="G99" s="94">
        <v>0.19768720400000001</v>
      </c>
      <c r="H99" s="94">
        <v>-100</v>
      </c>
      <c r="I9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C1A4-17E9-492A-B5CC-E19EC441C020}">
  <dimension ref="A1:B115"/>
  <sheetViews>
    <sheetView topLeftCell="A37" zoomScale="250" zoomScaleNormal="250" workbookViewId="0">
      <selection activeCell="A51" sqref="A51"/>
    </sheetView>
  </sheetViews>
  <sheetFormatPr defaultRowHeight="15.75" x14ac:dyDescent="0.25"/>
  <cols>
    <col min="1" max="1" width="27.625" bestFit="1" customWidth="1"/>
    <col min="2" max="2" width="21.5" bestFit="1" customWidth="1"/>
  </cols>
  <sheetData>
    <row r="1" spans="1:2" x14ac:dyDescent="0.25">
      <c r="A1" s="273" t="s">
        <v>127</v>
      </c>
      <c r="B1" s="273" t="s">
        <v>658</v>
      </c>
    </row>
    <row r="2" spans="1:2" x14ac:dyDescent="0.25">
      <c r="A2" s="273" t="s">
        <v>209</v>
      </c>
      <c r="B2" s="273" t="s">
        <v>756</v>
      </c>
    </row>
    <row r="3" spans="1:2" x14ac:dyDescent="0.25">
      <c r="A3" s="273" t="s">
        <v>160</v>
      </c>
      <c r="B3" s="273" t="s">
        <v>662</v>
      </c>
    </row>
    <row r="4" spans="1:2" x14ac:dyDescent="0.25">
      <c r="A4" s="273" t="s">
        <v>299</v>
      </c>
      <c r="B4" s="273" t="s">
        <v>745</v>
      </c>
    </row>
    <row r="5" spans="1:2" x14ac:dyDescent="0.25">
      <c r="A5" s="273" t="s">
        <v>297</v>
      </c>
      <c r="B5" s="273" t="s">
        <v>734</v>
      </c>
    </row>
    <row r="6" spans="1:2" x14ac:dyDescent="0.25">
      <c r="A6" s="273" t="s">
        <v>301</v>
      </c>
      <c r="B6" s="273" t="s">
        <v>713</v>
      </c>
    </row>
    <row r="7" spans="1:2" x14ac:dyDescent="0.25">
      <c r="A7" s="273" t="s">
        <v>163</v>
      </c>
      <c r="B7" s="273" t="s">
        <v>663</v>
      </c>
    </row>
    <row r="8" spans="1:2" x14ac:dyDescent="0.25">
      <c r="A8" s="273" t="s">
        <v>165</v>
      </c>
      <c r="B8" s="273" t="s">
        <v>664</v>
      </c>
    </row>
    <row r="9" spans="1:2" x14ac:dyDescent="0.25">
      <c r="A9" s="273" t="s">
        <v>757</v>
      </c>
      <c r="B9" s="273" t="s">
        <v>758</v>
      </c>
    </row>
    <row r="10" spans="1:2" x14ac:dyDescent="0.25">
      <c r="A10" s="273" t="s">
        <v>155</v>
      </c>
      <c r="B10" s="273" t="s">
        <v>690</v>
      </c>
    </row>
    <row r="11" spans="1:2" x14ac:dyDescent="0.25">
      <c r="A11" s="273" t="s">
        <v>592</v>
      </c>
      <c r="B11" s="273" t="s">
        <v>755</v>
      </c>
    </row>
    <row r="12" spans="1:2" x14ac:dyDescent="0.25">
      <c r="A12" s="273" t="s">
        <v>591</v>
      </c>
      <c r="B12" s="273" t="s">
        <v>759</v>
      </c>
    </row>
    <row r="13" spans="1:2" x14ac:dyDescent="0.25">
      <c r="A13" s="273" t="s">
        <v>335</v>
      </c>
      <c r="B13" s="273" t="s">
        <v>720</v>
      </c>
    </row>
    <row r="14" spans="1:2" x14ac:dyDescent="0.25">
      <c r="A14" s="273" t="s">
        <v>760</v>
      </c>
      <c r="B14" s="273" t="s">
        <v>761</v>
      </c>
    </row>
    <row r="15" spans="1:2" x14ac:dyDescent="0.25">
      <c r="A15" s="273" t="s">
        <v>150</v>
      </c>
      <c r="B15" s="273" t="s">
        <v>660</v>
      </c>
    </row>
    <row r="16" spans="1:2" x14ac:dyDescent="0.25">
      <c r="A16" s="273" t="s">
        <v>284</v>
      </c>
      <c r="B16" s="273" t="s">
        <v>742</v>
      </c>
    </row>
    <row r="17" spans="1:2" x14ac:dyDescent="0.25">
      <c r="A17" s="273" t="s">
        <v>289</v>
      </c>
      <c r="B17" s="273" t="s">
        <v>710</v>
      </c>
    </row>
    <row r="18" spans="1:2" x14ac:dyDescent="0.25">
      <c r="A18" s="273" t="s">
        <v>287</v>
      </c>
      <c r="B18" s="273" t="s">
        <v>739</v>
      </c>
    </row>
    <row r="19" spans="1:2" x14ac:dyDescent="0.25">
      <c r="A19" s="273" t="s">
        <v>303</v>
      </c>
      <c r="B19" s="273" t="s">
        <v>747</v>
      </c>
    </row>
    <row r="20" spans="1:2" x14ac:dyDescent="0.25">
      <c r="A20" s="273" t="s">
        <v>402</v>
      </c>
      <c r="B20" s="273" t="s">
        <v>740</v>
      </c>
    </row>
    <row r="21" spans="1:2" x14ac:dyDescent="0.25">
      <c r="A21" s="273" t="s">
        <v>170</v>
      </c>
      <c r="B21" s="273" t="s">
        <v>741</v>
      </c>
    </row>
    <row r="22" spans="1:2" x14ac:dyDescent="0.25">
      <c r="A22" s="273" t="s">
        <v>762</v>
      </c>
      <c r="B22" s="273" t="s">
        <v>763</v>
      </c>
    </row>
    <row r="23" spans="1:2" x14ac:dyDescent="0.25">
      <c r="A23" s="273" t="s">
        <v>172</v>
      </c>
      <c r="B23" s="273" t="s">
        <v>692</v>
      </c>
    </row>
    <row r="24" spans="1:2" x14ac:dyDescent="0.25">
      <c r="A24" s="273" t="s">
        <v>172</v>
      </c>
      <c r="B24" s="273" t="s">
        <v>692</v>
      </c>
    </row>
    <row r="25" spans="1:2" x14ac:dyDescent="0.25">
      <c r="A25" s="273" t="s">
        <v>764</v>
      </c>
      <c r="B25" s="273" t="s">
        <v>765</v>
      </c>
    </row>
    <row r="26" spans="1:2" x14ac:dyDescent="0.25">
      <c r="A26" s="273" t="s">
        <v>174</v>
      </c>
      <c r="B26" s="273" t="s">
        <v>693</v>
      </c>
    </row>
    <row r="27" spans="1:2" x14ac:dyDescent="0.25">
      <c r="A27" s="273" t="s">
        <v>179</v>
      </c>
      <c r="B27" s="273" t="s">
        <v>733</v>
      </c>
    </row>
    <row r="28" spans="1:2" x14ac:dyDescent="0.25">
      <c r="A28" s="273" t="s">
        <v>177</v>
      </c>
      <c r="B28" s="273" t="s">
        <v>694</v>
      </c>
    </row>
    <row r="29" spans="1:2" x14ac:dyDescent="0.25">
      <c r="A29" s="273" t="s">
        <v>305</v>
      </c>
      <c r="B29" s="273" t="s">
        <v>735</v>
      </c>
    </row>
    <row r="30" spans="1:2" x14ac:dyDescent="0.25">
      <c r="A30" s="273" t="s">
        <v>307</v>
      </c>
      <c r="B30" s="273" t="s">
        <v>736</v>
      </c>
    </row>
    <row r="31" spans="1:2" x14ac:dyDescent="0.25">
      <c r="A31" s="273" t="s">
        <v>309</v>
      </c>
      <c r="B31" s="273" t="s">
        <v>683</v>
      </c>
    </row>
    <row r="32" spans="1:2" x14ac:dyDescent="0.25">
      <c r="A32" s="273" t="s">
        <v>549</v>
      </c>
      <c r="B32" s="273" t="s">
        <v>766</v>
      </c>
    </row>
    <row r="33" spans="1:2" x14ac:dyDescent="0.25">
      <c r="A33" s="273" t="s">
        <v>260</v>
      </c>
      <c r="B33" s="273" t="s">
        <v>677</v>
      </c>
    </row>
    <row r="34" spans="1:2" x14ac:dyDescent="0.25">
      <c r="A34" s="273" t="s">
        <v>337</v>
      </c>
      <c r="B34" s="273" t="s">
        <v>721</v>
      </c>
    </row>
    <row r="35" spans="1:2" x14ac:dyDescent="0.25">
      <c r="A35" s="273" t="s">
        <v>339</v>
      </c>
      <c r="B35" s="273" t="s">
        <v>722</v>
      </c>
    </row>
    <row r="36" spans="1:2" x14ac:dyDescent="0.25">
      <c r="A36" s="273" t="s">
        <v>262</v>
      </c>
      <c r="B36" s="273" t="s">
        <v>707</v>
      </c>
    </row>
    <row r="37" spans="1:2" x14ac:dyDescent="0.25">
      <c r="A37" s="274" t="s">
        <v>266</v>
      </c>
      <c r="B37" s="273" t="s">
        <v>753</v>
      </c>
    </row>
    <row r="38" spans="1:2" x14ac:dyDescent="0.25">
      <c r="A38" s="273" t="s">
        <v>181</v>
      </c>
      <c r="B38" s="273" t="s">
        <v>665</v>
      </c>
    </row>
    <row r="39" spans="1:2" x14ac:dyDescent="0.25">
      <c r="A39" s="273" t="s">
        <v>341</v>
      </c>
      <c r="B39" s="273" t="s">
        <v>688</v>
      </c>
    </row>
    <row r="40" spans="1:2" x14ac:dyDescent="0.25">
      <c r="A40" s="273" t="s">
        <v>183</v>
      </c>
      <c r="B40" s="273" t="s">
        <v>695</v>
      </c>
    </row>
    <row r="41" spans="1:2" x14ac:dyDescent="0.25">
      <c r="A41" s="273" t="s">
        <v>439</v>
      </c>
      <c r="B41" s="273" t="s">
        <v>767</v>
      </c>
    </row>
    <row r="42" spans="1:2" x14ac:dyDescent="0.25">
      <c r="A42" s="273" t="s">
        <v>47</v>
      </c>
      <c r="B42" s="273" t="s">
        <v>696</v>
      </c>
    </row>
    <row r="43" spans="1:2" x14ac:dyDescent="0.25">
      <c r="A43" s="273" t="s">
        <v>186</v>
      </c>
      <c r="B43" s="273" t="s">
        <v>697</v>
      </c>
    </row>
    <row r="44" spans="1:2" x14ac:dyDescent="0.25">
      <c r="A44" s="273" t="s">
        <v>189</v>
      </c>
      <c r="B44" s="273" t="s">
        <v>698</v>
      </c>
    </row>
    <row r="45" spans="1:2" x14ac:dyDescent="0.25">
      <c r="A45" s="273" t="s">
        <v>268</v>
      </c>
      <c r="B45" s="273" t="s">
        <v>678</v>
      </c>
    </row>
    <row r="46" spans="1:2" x14ac:dyDescent="0.25">
      <c r="A46" s="273" t="s">
        <v>343</v>
      </c>
      <c r="B46" s="273" t="s">
        <v>723</v>
      </c>
    </row>
    <row r="47" spans="1:2" x14ac:dyDescent="0.25">
      <c r="A47" s="273" t="s">
        <v>191</v>
      </c>
      <c r="B47" s="273" t="s">
        <v>666</v>
      </c>
    </row>
    <row r="48" spans="1:2" x14ac:dyDescent="0.25">
      <c r="A48" s="273" t="s">
        <v>193</v>
      </c>
      <c r="B48" s="273" t="s">
        <v>667</v>
      </c>
    </row>
    <row r="49" spans="1:2" x14ac:dyDescent="0.25">
      <c r="A49" s="273" t="s">
        <v>311</v>
      </c>
      <c r="B49" s="273" t="s">
        <v>684</v>
      </c>
    </row>
    <row r="50" spans="1:2" x14ac:dyDescent="0.25">
      <c r="A50" s="273" t="s">
        <v>196</v>
      </c>
      <c r="B50" s="273" t="s">
        <v>668</v>
      </c>
    </row>
    <row r="51" spans="1:2" x14ac:dyDescent="0.25">
      <c r="A51" s="273" t="s">
        <v>198</v>
      </c>
      <c r="B51" s="273" t="s">
        <v>699</v>
      </c>
    </row>
    <row r="52" spans="1:2" x14ac:dyDescent="0.25">
      <c r="A52" s="273" t="s">
        <v>775</v>
      </c>
      <c r="B52" s="273" t="s">
        <v>776</v>
      </c>
    </row>
    <row r="53" spans="1:2" x14ac:dyDescent="0.25">
      <c r="A53" s="273" t="s">
        <v>275</v>
      </c>
      <c r="B53" s="273" t="s">
        <v>681</v>
      </c>
    </row>
    <row r="54" spans="1:2" x14ac:dyDescent="0.25">
      <c r="A54" s="273" t="s">
        <v>201</v>
      </c>
      <c r="B54" s="273" t="s">
        <v>669</v>
      </c>
    </row>
    <row r="55" spans="1:2" x14ac:dyDescent="0.25">
      <c r="A55" s="273" t="s">
        <v>204</v>
      </c>
      <c r="B55" s="273" t="s">
        <v>752</v>
      </c>
    </row>
    <row r="56" spans="1:2" x14ac:dyDescent="0.25">
      <c r="A56" s="273" t="s">
        <v>277</v>
      </c>
      <c r="B56" s="273" t="s">
        <v>682</v>
      </c>
    </row>
    <row r="57" spans="1:2" x14ac:dyDescent="0.25">
      <c r="A57" s="273" t="s">
        <v>345</v>
      </c>
      <c r="B57" s="273" t="s">
        <v>724</v>
      </c>
    </row>
    <row r="58" spans="1:2" x14ac:dyDescent="0.25">
      <c r="A58" s="273" t="s">
        <v>207</v>
      </c>
      <c r="B58" s="273" t="s">
        <v>670</v>
      </c>
    </row>
    <row r="59" spans="1:2" x14ac:dyDescent="0.25">
      <c r="A59" s="273" t="s">
        <v>347</v>
      </c>
      <c r="B59" s="273" t="s">
        <v>725</v>
      </c>
    </row>
    <row r="60" spans="1:2" x14ac:dyDescent="0.25">
      <c r="A60" s="273" t="s">
        <v>349</v>
      </c>
      <c r="B60" s="273" t="s">
        <v>726</v>
      </c>
    </row>
    <row r="61" spans="1:2" x14ac:dyDescent="0.25">
      <c r="A61" s="273" t="s">
        <v>351</v>
      </c>
      <c r="B61" s="273" t="s">
        <v>750</v>
      </c>
    </row>
    <row r="62" spans="1:2" x14ac:dyDescent="0.25">
      <c r="A62" s="273" t="s">
        <v>353</v>
      </c>
      <c r="B62" s="273" t="s">
        <v>751</v>
      </c>
    </row>
    <row r="63" spans="1:2" x14ac:dyDescent="0.25">
      <c r="A63" s="273" t="s">
        <v>152</v>
      </c>
      <c r="B63" s="273" t="s">
        <v>661</v>
      </c>
    </row>
    <row r="64" spans="1:2" x14ac:dyDescent="0.25">
      <c r="A64" s="273" t="s">
        <v>392</v>
      </c>
      <c r="B64" s="273" t="s">
        <v>768</v>
      </c>
    </row>
    <row r="65" spans="1:2" x14ac:dyDescent="0.25">
      <c r="A65" s="273" t="s">
        <v>146</v>
      </c>
      <c r="B65" s="273" t="s">
        <v>659</v>
      </c>
    </row>
    <row r="66" spans="1:2" x14ac:dyDescent="0.25">
      <c r="A66" s="273" t="s">
        <v>212</v>
      </c>
      <c r="B66" s="273" t="s">
        <v>700</v>
      </c>
    </row>
    <row r="67" spans="1:2" x14ac:dyDescent="0.25">
      <c r="A67" s="273" t="s">
        <v>270</v>
      </c>
      <c r="B67" s="273" t="s">
        <v>679</v>
      </c>
    </row>
    <row r="68" spans="1:2" x14ac:dyDescent="0.25">
      <c r="A68" s="273" t="s">
        <v>273</v>
      </c>
      <c r="B68" s="273" t="s">
        <v>680</v>
      </c>
    </row>
    <row r="69" spans="1:2" x14ac:dyDescent="0.25">
      <c r="A69" s="273" t="s">
        <v>355</v>
      </c>
      <c r="B69" s="273" t="s">
        <v>727</v>
      </c>
    </row>
    <row r="70" spans="1:2" x14ac:dyDescent="0.25">
      <c r="A70" s="273" t="s">
        <v>291</v>
      </c>
      <c r="B70" s="273" t="s">
        <v>711</v>
      </c>
    </row>
    <row r="71" spans="1:2" x14ac:dyDescent="0.25">
      <c r="A71" s="273" t="s">
        <v>158</v>
      </c>
      <c r="B71" s="273" t="s">
        <v>691</v>
      </c>
    </row>
    <row r="72" spans="1:2" x14ac:dyDescent="0.25">
      <c r="A72" s="273" t="s">
        <v>215</v>
      </c>
      <c r="B72" s="273" t="s">
        <v>671</v>
      </c>
    </row>
    <row r="73" spans="1:2" x14ac:dyDescent="0.25">
      <c r="A73" s="273" t="s">
        <v>471</v>
      </c>
      <c r="B73" s="273" t="s">
        <v>769</v>
      </c>
    </row>
    <row r="74" spans="1:2" x14ac:dyDescent="0.25">
      <c r="A74" s="273" t="s">
        <v>67</v>
      </c>
      <c r="B74" s="273" t="s">
        <v>672</v>
      </c>
    </row>
    <row r="75" spans="1:2" x14ac:dyDescent="0.25">
      <c r="A75" s="273" t="s">
        <v>313</v>
      </c>
      <c r="B75" s="273" t="s">
        <v>714</v>
      </c>
    </row>
    <row r="76" spans="1:2" x14ac:dyDescent="0.25">
      <c r="A76" s="273" t="s">
        <v>293</v>
      </c>
      <c r="B76" s="273" t="s">
        <v>743</v>
      </c>
    </row>
    <row r="77" spans="1:2" x14ac:dyDescent="0.25">
      <c r="A77" s="273" t="s">
        <v>357</v>
      </c>
      <c r="B77" s="273" t="s">
        <v>689</v>
      </c>
    </row>
    <row r="78" spans="1:2" x14ac:dyDescent="0.25">
      <c r="A78" s="273" t="s">
        <v>280</v>
      </c>
      <c r="B78" s="273" t="s">
        <v>708</v>
      </c>
    </row>
    <row r="79" spans="1:2" x14ac:dyDescent="0.25">
      <c r="A79" s="273" t="s">
        <v>315</v>
      </c>
      <c r="B79" s="273" t="s">
        <v>715</v>
      </c>
    </row>
    <row r="80" spans="1:2" x14ac:dyDescent="0.25">
      <c r="A80" s="273" t="s">
        <v>218</v>
      </c>
      <c r="B80" s="273" t="s">
        <v>729</v>
      </c>
    </row>
    <row r="81" spans="1:2" x14ac:dyDescent="0.25">
      <c r="A81" s="273" t="s">
        <v>295</v>
      </c>
      <c r="B81" s="273" t="s">
        <v>712</v>
      </c>
    </row>
    <row r="82" spans="1:2" x14ac:dyDescent="0.25">
      <c r="A82" s="273" t="s">
        <v>221</v>
      </c>
      <c r="B82" s="273" t="s">
        <v>701</v>
      </c>
    </row>
    <row r="83" spans="1:2" x14ac:dyDescent="0.25">
      <c r="A83" s="273" t="s">
        <v>224</v>
      </c>
      <c r="B83" s="273" t="s">
        <v>730</v>
      </c>
    </row>
    <row r="84" spans="1:2" x14ac:dyDescent="0.25">
      <c r="A84" s="273" t="s">
        <v>227</v>
      </c>
      <c r="B84" s="273" t="s">
        <v>673</v>
      </c>
    </row>
    <row r="85" spans="1:2" x14ac:dyDescent="0.25">
      <c r="A85" s="273" t="s">
        <v>230</v>
      </c>
      <c r="B85" s="273" t="s">
        <v>731</v>
      </c>
    </row>
    <row r="86" spans="1:2" x14ac:dyDescent="0.25">
      <c r="A86" s="273" t="s">
        <v>282</v>
      </c>
      <c r="B86" s="273" t="s">
        <v>709</v>
      </c>
    </row>
    <row r="87" spans="1:2" x14ac:dyDescent="0.25">
      <c r="A87" s="273" t="s">
        <v>359</v>
      </c>
      <c r="B87" s="273" t="s">
        <v>728</v>
      </c>
    </row>
    <row r="88" spans="1:2" x14ac:dyDescent="0.25">
      <c r="A88" s="273" t="s">
        <v>423</v>
      </c>
      <c r="B88" s="273" t="s">
        <v>770</v>
      </c>
    </row>
    <row r="89" spans="1:2" x14ac:dyDescent="0.25">
      <c r="A89" s="273" t="s">
        <v>317</v>
      </c>
      <c r="B89" s="273" t="s">
        <v>737</v>
      </c>
    </row>
    <row r="90" spans="1:2" x14ac:dyDescent="0.25">
      <c r="A90" s="273" t="s">
        <v>465</v>
      </c>
      <c r="B90" s="273" t="s">
        <v>771</v>
      </c>
    </row>
    <row r="91" spans="1:2" x14ac:dyDescent="0.25">
      <c r="A91" s="273" t="s">
        <v>319</v>
      </c>
      <c r="B91" s="273" t="s">
        <v>685</v>
      </c>
    </row>
    <row r="92" spans="1:2" x14ac:dyDescent="0.25">
      <c r="A92" s="273" t="s">
        <v>233</v>
      </c>
      <c r="B92" s="273" t="s">
        <v>702</v>
      </c>
    </row>
    <row r="93" spans="1:2" x14ac:dyDescent="0.25">
      <c r="A93" s="273" t="s">
        <v>321</v>
      </c>
      <c r="B93" s="273" t="s">
        <v>716</v>
      </c>
    </row>
    <row r="94" spans="1:2" x14ac:dyDescent="0.25">
      <c r="A94" s="273" t="s">
        <v>323</v>
      </c>
      <c r="B94" s="273" t="s">
        <v>717</v>
      </c>
    </row>
    <row r="95" spans="1:2" x14ac:dyDescent="0.25">
      <c r="A95" s="273" t="s">
        <v>235</v>
      </c>
      <c r="B95" s="273" t="s">
        <v>703</v>
      </c>
    </row>
    <row r="96" spans="1:2" x14ac:dyDescent="0.25">
      <c r="A96" s="273" t="s">
        <v>325</v>
      </c>
      <c r="B96" s="273" t="s">
        <v>686</v>
      </c>
    </row>
    <row r="97" spans="1:2" x14ac:dyDescent="0.25">
      <c r="A97" s="273" t="s">
        <v>238</v>
      </c>
      <c r="B97" s="273" t="s">
        <v>674</v>
      </c>
    </row>
    <row r="98" spans="1:2" x14ac:dyDescent="0.25">
      <c r="A98" s="273" t="s">
        <v>550</v>
      </c>
      <c r="B98" s="273" t="s">
        <v>772</v>
      </c>
    </row>
    <row r="99" spans="1:2" x14ac:dyDescent="0.25">
      <c r="A99" s="273" t="s">
        <v>241</v>
      </c>
      <c r="B99" s="273" t="s">
        <v>704</v>
      </c>
    </row>
    <row r="100" spans="1:2" x14ac:dyDescent="0.25">
      <c r="A100" s="273" t="s">
        <v>748</v>
      </c>
      <c r="B100" s="273" t="s">
        <v>749</v>
      </c>
    </row>
    <row r="101" spans="1:2" x14ac:dyDescent="0.25">
      <c r="A101" s="273" t="s">
        <v>244</v>
      </c>
      <c r="B101" s="273" t="s">
        <v>675</v>
      </c>
    </row>
    <row r="102" spans="1:2" x14ac:dyDescent="0.25">
      <c r="A102" s="273" t="s">
        <v>773</v>
      </c>
      <c r="B102" s="273" t="s">
        <v>774</v>
      </c>
    </row>
    <row r="103" spans="1:2" x14ac:dyDescent="0.25">
      <c r="A103" s="273" t="s">
        <v>328</v>
      </c>
      <c r="B103" s="273" t="s">
        <v>718</v>
      </c>
    </row>
    <row r="104" spans="1:2" x14ac:dyDescent="0.25">
      <c r="A104" s="273" t="s">
        <v>246</v>
      </c>
      <c r="B104" s="273" t="s">
        <v>746</v>
      </c>
    </row>
    <row r="105" spans="1:2" x14ac:dyDescent="0.25">
      <c r="A105" s="273" t="s">
        <v>246</v>
      </c>
      <c r="B105" s="273" t="s">
        <v>744</v>
      </c>
    </row>
    <row r="106" spans="1:2" x14ac:dyDescent="0.25">
      <c r="A106" s="273" t="s">
        <v>248</v>
      </c>
      <c r="B106" s="273" t="s">
        <v>732</v>
      </c>
    </row>
    <row r="107" spans="1:2" x14ac:dyDescent="0.25">
      <c r="A107" s="273" t="s">
        <v>251</v>
      </c>
      <c r="B107" s="273" t="s">
        <v>705</v>
      </c>
    </row>
    <row r="108" spans="1:2" x14ac:dyDescent="0.25">
      <c r="A108" s="274" t="s">
        <v>331</v>
      </c>
      <c r="B108" s="273" t="s">
        <v>687</v>
      </c>
    </row>
    <row r="109" spans="1:2" x14ac:dyDescent="0.25">
      <c r="A109" s="274" t="s">
        <v>333</v>
      </c>
      <c r="B109" s="273" t="s">
        <v>719</v>
      </c>
    </row>
    <row r="110" spans="1:2" x14ac:dyDescent="0.25">
      <c r="A110" s="273" t="s">
        <v>255</v>
      </c>
      <c r="B110" s="273" t="s">
        <v>738</v>
      </c>
    </row>
    <row r="111" spans="1:2" x14ac:dyDescent="0.25">
      <c r="A111" s="273" t="s">
        <v>253</v>
      </c>
      <c r="B111" s="273" t="s">
        <v>706</v>
      </c>
    </row>
    <row r="112" spans="1:2" x14ac:dyDescent="0.25">
      <c r="A112" s="274" t="s">
        <v>253</v>
      </c>
      <c r="B112" s="273" t="s">
        <v>706</v>
      </c>
    </row>
    <row r="113" spans="1:2" x14ac:dyDescent="0.25">
      <c r="A113" s="273" t="s">
        <v>257</v>
      </c>
      <c r="B113" s="273" t="s">
        <v>676</v>
      </c>
    </row>
    <row r="114" spans="1:2" x14ac:dyDescent="0.25">
      <c r="A114" s="273"/>
      <c r="B114" s="273"/>
    </row>
    <row r="115" spans="1:2" x14ac:dyDescent="0.25">
      <c r="A115" s="273"/>
      <c r="B115" s="2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README</vt:lpstr>
      <vt:lpstr>ExpData</vt:lpstr>
      <vt:lpstr>General</vt:lpstr>
      <vt:lpstr>TEA</vt:lpstr>
      <vt:lpstr>NPV Solver</vt:lpstr>
      <vt:lpstr>Baseline NPV</vt:lpstr>
      <vt:lpstr>LCA</vt:lpstr>
      <vt:lpstr>LCI</vt:lpstr>
      <vt:lpstr>SubstanceList</vt:lpstr>
      <vt:lpstr>I_O</vt:lpstr>
      <vt:lpstr>SoyCult</vt:lpstr>
      <vt:lpstr>CornCult</vt:lpstr>
      <vt:lpstr>MiscCult</vt:lpstr>
      <vt:lpstr>SwitchCult</vt:lpstr>
      <vt:lpstr>PopCult</vt:lpstr>
      <vt:lpstr>AlgaeCult</vt:lpstr>
      <vt:lpstr>StarchFerm</vt:lpstr>
      <vt:lpstr>AcidHydFerm</vt:lpstr>
      <vt:lpstr>HTL</vt:lpstr>
      <vt:lpstr>Pyrol</vt:lpstr>
      <vt:lpstr>HexExt</vt:lpstr>
      <vt:lpstr>Transest</vt:lpstr>
      <vt:lpstr>Fischer-Tropsch</vt:lpstr>
      <vt:lpstr>Gasification</vt:lpstr>
      <vt:lpstr>HydroProc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 Beal</dc:creator>
  <cp:keywords/>
  <dc:description/>
  <cp:lastModifiedBy>Jack Smith</cp:lastModifiedBy>
  <cp:revision/>
  <dcterms:created xsi:type="dcterms:W3CDTF">2021-04-30T22:11:58Z</dcterms:created>
  <dcterms:modified xsi:type="dcterms:W3CDTF">2021-07-21T15:46:35Z</dcterms:modified>
  <cp:category/>
  <cp:contentStatus/>
</cp:coreProperties>
</file>