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32C9BAEE-D270-47A8-B5FD-542A65539B71}" xr6:coauthVersionLast="47" xr6:coauthVersionMax="47" xr10:uidLastSave="{00000000-0000-0000-0000-000000000000}"/>
  <bookViews>
    <workbookView xWindow="-120" yWindow="-120" windowWidth="51840" windowHeight="21240" firstSheet="2" activeTab="3" xr2:uid="{828EDBD2-2078-5D4F-A1A0-69F25A94E2E3}"/>
  </bookViews>
  <sheets>
    <sheet name="README" sheetId="3" r:id="rId1"/>
    <sheet name="ExpData" sheetId="10" r:id="rId2"/>
    <sheet name="General" sheetId="8" r:id="rId3"/>
    <sheet name="TEA" sheetId="1" r:id="rId4"/>
    <sheet name="YieldsAct" sheetId="32" r:id="rId5"/>
    <sheet name="YieldXX" sheetId="33" r:id="rId6"/>
    <sheet name="NPV Solver" sheetId="5" r:id="rId7"/>
    <sheet name="Baseline NPV" sheetId="21" r:id="rId8"/>
    <sheet name="LCA" sheetId="2" r:id="rId9"/>
    <sheet name="LCI" sheetId="9" r:id="rId10"/>
    <sheet name="SubstanceList" sheetId="31" r:id="rId11"/>
    <sheet name="I_O" sheetId="7" r:id="rId12"/>
    <sheet name="SoyCult" sheetId="23" r:id="rId13"/>
    <sheet name="CornCult" sheetId="13" r:id="rId14"/>
    <sheet name="MiscCult" sheetId="17" r:id="rId15"/>
    <sheet name="SwitchCult" sheetId="25" r:id="rId16"/>
    <sheet name="PopCult" sheetId="26" r:id="rId17"/>
    <sheet name="AlgaeCult" sheetId="18" r:id="rId18"/>
    <sheet name="StarchFerm" sheetId="14" r:id="rId19"/>
    <sheet name="AcidHydFerm" sheetId="16" r:id="rId20"/>
    <sheet name="HTL" sheetId="19" r:id="rId21"/>
    <sheet name="Pyrol" sheetId="28" r:id="rId22"/>
    <sheet name="HexExt" sheetId="15" r:id="rId23"/>
    <sheet name="Transest" sheetId="24" r:id="rId24"/>
    <sheet name="Fischer-Tropsch" sheetId="30" r:id="rId25"/>
    <sheet name="Gasification" sheetId="29" r:id="rId26"/>
    <sheet name="HydroProc" sheetId="27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0" hidden="1">SubstanceList!$B$1:$B$114</definedName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12">[5]TEA!$C$95</definedName>
    <definedName name="Full_Prod">[6]TEA!$C$100</definedName>
    <definedName name="Gal_BD_Out" localSheetId="12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12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12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32" l="1"/>
  <c r="T1" i="32"/>
  <c r="G1" i="32"/>
  <c r="H1" i="32"/>
  <c r="I1" i="32"/>
  <c r="J1" i="32"/>
  <c r="K1" i="32"/>
  <c r="L1" i="32"/>
  <c r="M1" i="32"/>
  <c r="N1" i="32"/>
  <c r="O1" i="32"/>
  <c r="P1" i="32"/>
  <c r="Q1" i="32"/>
  <c r="R1" i="32"/>
  <c r="F1" i="32"/>
  <c r="B14" i="23"/>
  <c r="B80" i="1"/>
  <c r="G73" i="9"/>
  <c r="C173" i="7"/>
  <c r="D173" i="7"/>
  <c r="E173" i="7"/>
  <c r="F173" i="7"/>
  <c r="G173" i="7"/>
  <c r="H173" i="7"/>
  <c r="I173" i="7"/>
  <c r="J173" i="7"/>
  <c r="K173" i="7"/>
  <c r="L173" i="7"/>
  <c r="G53" i="9"/>
  <c r="D191" i="7"/>
  <c r="E191" i="7"/>
  <c r="F191" i="7"/>
  <c r="G191" i="7"/>
  <c r="H191" i="7"/>
  <c r="I191" i="7"/>
  <c r="J191" i="7"/>
  <c r="K191" i="7"/>
  <c r="L191" i="7"/>
  <c r="B35" i="28"/>
  <c r="B34" i="28"/>
  <c r="B33" i="28"/>
  <c r="B23" i="28"/>
  <c r="B24" i="28"/>
  <c r="B25" i="28"/>
  <c r="B26" i="28"/>
  <c r="B27" i="28"/>
  <c r="B28" i="28"/>
  <c r="B29" i="28"/>
  <c r="B22" i="28"/>
  <c r="B21" i="28"/>
  <c r="B33" i="19" l="1"/>
  <c r="O12" i="23"/>
  <c r="O5" i="23"/>
  <c r="O18" i="23"/>
  <c r="K6" i="13"/>
  <c r="O24" i="23"/>
  <c r="O10" i="23"/>
  <c r="F6" i="10"/>
  <c r="I6" i="10"/>
  <c r="F7" i="10"/>
  <c r="F8" i="10"/>
  <c r="F9" i="10"/>
  <c r="F10" i="10"/>
  <c r="F11" i="10"/>
  <c r="F12" i="10"/>
  <c r="I12" i="10"/>
  <c r="F13" i="10"/>
  <c r="F14" i="10"/>
  <c r="F15" i="10"/>
  <c r="I15" i="10"/>
  <c r="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B7" i="10"/>
  <c r="B8" i="10"/>
  <c r="B9" i="10"/>
  <c r="B10" i="10"/>
  <c r="B11" i="10"/>
  <c r="B12" i="10"/>
  <c r="B13" i="10"/>
  <c r="B14" i="10"/>
  <c r="B15" i="10"/>
  <c r="C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4" i="7"/>
  <c r="A44" i="7"/>
  <c r="A50" i="7"/>
  <c r="K21" i="25"/>
  <c r="K9" i="25" s="1"/>
  <c r="K4" i="25"/>
  <c r="K6" i="25"/>
  <c r="K7" i="25"/>
  <c r="K5" i="25" s="1"/>
  <c r="E11" i="7"/>
  <c r="D13" i="7"/>
  <c r="D11" i="7"/>
  <c r="K9" i="13"/>
  <c r="E13" i="7" s="1"/>
  <c r="K14" i="17"/>
  <c r="K13" i="17"/>
  <c r="K12" i="17"/>
  <c r="K11" i="17"/>
  <c r="K10" i="17"/>
  <c r="K9" i="17"/>
  <c r="K18" i="17"/>
  <c r="K4" i="17" s="1"/>
  <c r="K5" i="17"/>
  <c r="B31" i="19"/>
  <c r="F1" i="10"/>
  <c r="G1" i="10"/>
  <c r="F2" i="1"/>
  <c r="F2" i="5"/>
  <c r="F2" i="21"/>
  <c r="G2" i="21"/>
  <c r="F2" i="7"/>
  <c r="K25" i="13"/>
  <c r="L4" i="16" s="1"/>
  <c r="L18" i="16" s="1"/>
  <c r="O17" i="23" l="1"/>
  <c r="O4" i="23"/>
  <c r="O14" i="23"/>
  <c r="O6" i="23"/>
  <c r="O8" i="23"/>
  <c r="O7" i="23"/>
  <c r="O13" i="23"/>
  <c r="K17" i="25"/>
  <c r="K16" i="25"/>
  <c r="K14" i="25"/>
  <c r="K15" i="25"/>
  <c r="K13" i="25"/>
  <c r="K12" i="25"/>
  <c r="K11" i="25"/>
  <c r="K10" i="25"/>
  <c r="K8" i="25"/>
  <c r="B36" i="19"/>
  <c r="B35" i="19"/>
  <c r="B34" i="19"/>
  <c r="B32" i="19"/>
  <c r="B41" i="19"/>
  <c r="B40" i="19"/>
  <c r="K7" i="17"/>
  <c r="K8" i="17"/>
  <c r="K6" i="17"/>
  <c r="Q16" i="15"/>
  <c r="Q15" i="15"/>
  <c r="Q11" i="15"/>
  <c r="Q10" i="15"/>
  <c r="I40" i="7" s="1"/>
  <c r="Q9" i="15"/>
  <c r="Q8" i="15"/>
  <c r="Q7" i="15"/>
  <c r="Q6" i="15"/>
  <c r="Q5" i="15"/>
  <c r="L15" i="16"/>
  <c r="L16" i="16"/>
  <c r="L24" i="16"/>
  <c r="L14" i="16"/>
  <c r="L23" i="16" s="1"/>
  <c r="L13" i="16"/>
  <c r="L10" i="16"/>
  <c r="L9" i="16"/>
  <c r="L8" i="16"/>
  <c r="L5" i="16"/>
  <c r="L7" i="16"/>
  <c r="L12" i="16"/>
  <c r="L11" i="16"/>
  <c r="L19" i="16"/>
  <c r="L6" i="16"/>
  <c r="L17" i="16"/>
  <c r="K24" i="13" l="1"/>
  <c r="K19" i="13"/>
  <c r="K18" i="13"/>
  <c r="K13" i="13"/>
  <c r="K14" i="13"/>
  <c r="K15" i="13"/>
  <c r="K16" i="13"/>
  <c r="K17" i="13"/>
  <c r="K12" i="13"/>
  <c r="K11" i="13"/>
  <c r="K7" i="13"/>
  <c r="K8" i="13"/>
  <c r="K10" i="13"/>
  <c r="K5" i="13"/>
  <c r="B19" i="23"/>
  <c r="O15" i="23" s="1"/>
  <c r="D24" i="7" l="1"/>
  <c r="E24" i="7"/>
  <c r="D28" i="7"/>
  <c r="E28" i="7"/>
  <c r="E33" i="7"/>
  <c r="D33" i="7"/>
  <c r="E26" i="7"/>
  <c r="D26" i="7"/>
  <c r="D21" i="7"/>
  <c r="E21" i="7"/>
  <c r="E35" i="7"/>
  <c r="D35" i="7"/>
  <c r="E31" i="7"/>
  <c r="D31" i="7"/>
  <c r="E16" i="7"/>
  <c r="D16" i="7"/>
  <c r="E9" i="7"/>
  <c r="D9" i="7"/>
  <c r="E23" i="7"/>
  <c r="D23" i="7"/>
  <c r="D8" i="7"/>
  <c r="E8" i="7"/>
  <c r="E20" i="7"/>
  <c r="D20" i="7"/>
  <c r="K4" i="13"/>
  <c r="K4" i="14"/>
  <c r="E32" i="7"/>
  <c r="D32" i="7"/>
  <c r="B5" i="13"/>
  <c r="K20" i="13" s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G80" i="1"/>
  <c r="H80" i="1"/>
  <c r="I80" i="1"/>
  <c r="J80" i="1"/>
  <c r="K80" i="1"/>
  <c r="L80" i="1"/>
  <c r="M80" i="1"/>
  <c r="N80" i="1"/>
  <c r="O80" i="1"/>
  <c r="P80" i="1"/>
  <c r="Q80" i="1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B90" i="1"/>
  <c r="B89" i="1"/>
  <c r="B88" i="1"/>
  <c r="B87" i="1"/>
  <c r="B86" i="1"/>
  <c r="B85" i="1"/>
  <c r="B83" i="1"/>
  <c r="B82" i="1"/>
  <c r="B79" i="1"/>
  <c r="J15" i="27"/>
  <c r="J16" i="27"/>
  <c r="J17" i="27"/>
  <c r="J18" i="27"/>
  <c r="J19" i="27"/>
  <c r="J20" i="27"/>
  <c r="J14" i="27"/>
  <c r="J10" i="27"/>
  <c r="J9" i="27"/>
  <c r="J8" i="27"/>
  <c r="J7" i="27"/>
  <c r="J6" i="27"/>
  <c r="J5" i="27"/>
  <c r="J4" i="27"/>
  <c r="B8" i="27"/>
  <c r="C11" i="7"/>
  <c r="B11" i="7"/>
  <c r="I80" i="7"/>
  <c r="I79" i="7"/>
  <c r="I77" i="7"/>
  <c r="I75" i="7"/>
  <c r="I70" i="7"/>
  <c r="I69" i="7"/>
  <c r="I68" i="7"/>
  <c r="I62" i="7"/>
  <c r="I61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4" i="7"/>
  <c r="J124" i="7"/>
  <c r="K124" i="7"/>
  <c r="I108" i="7"/>
  <c r="J108" i="7"/>
  <c r="I92" i="7"/>
  <c r="J92" i="7"/>
  <c r="K92" i="7"/>
  <c r="L92" i="7"/>
  <c r="D10" i="7" l="1"/>
  <c r="E10" i="7"/>
  <c r="E14" i="7"/>
  <c r="E156" i="7" s="1"/>
  <c r="D14" i="7"/>
  <c r="D156" i="7" s="1"/>
  <c r="K25" i="14"/>
  <c r="K17" i="14"/>
  <c r="D61" i="7" s="1"/>
  <c r="K19" i="14"/>
  <c r="D46" i="7"/>
  <c r="D209" i="7" s="1"/>
  <c r="K16" i="14"/>
  <c r="K18" i="14"/>
  <c r="D40" i="7" s="1"/>
  <c r="D149" i="7" s="1"/>
  <c r="K13" i="14"/>
  <c r="K24" i="14" s="1"/>
  <c r="K12" i="14"/>
  <c r="D60" i="7" s="1"/>
  <c r="D189" i="7" s="1"/>
  <c r="K11" i="14"/>
  <c r="D57" i="7" s="1"/>
  <c r="K10" i="14"/>
  <c r="K14" i="14"/>
  <c r="D56" i="7" s="1"/>
  <c r="K9" i="14"/>
  <c r="K20" i="14"/>
  <c r="D41" i="7" s="1"/>
  <c r="D150" i="7" s="1"/>
  <c r="K15" i="14"/>
  <c r="K8" i="14"/>
  <c r="K7" i="14"/>
  <c r="K5" i="14"/>
  <c r="D58" i="7" s="1"/>
  <c r="D185" i="7" s="1"/>
  <c r="K6" i="14"/>
  <c r="D54" i="7" s="1"/>
  <c r="D180" i="7" s="1"/>
  <c r="C200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C202" i="7"/>
  <c r="D202" i="7"/>
  <c r="E202" i="7"/>
  <c r="G202" i="7"/>
  <c r="H202" i="7"/>
  <c r="I202" i="7"/>
  <c r="J202" i="7"/>
  <c r="K202" i="7"/>
  <c r="L202" i="7"/>
  <c r="C203" i="7"/>
  <c r="D203" i="7"/>
  <c r="E203" i="7"/>
  <c r="G203" i="7"/>
  <c r="H203" i="7"/>
  <c r="I203" i="7"/>
  <c r="J203" i="7"/>
  <c r="K203" i="7"/>
  <c r="L203" i="7"/>
  <c r="D204" i="7"/>
  <c r="E204" i="7"/>
  <c r="G204" i="7"/>
  <c r="H204" i="7"/>
  <c r="I204" i="7"/>
  <c r="J204" i="7"/>
  <c r="K204" i="7"/>
  <c r="L204" i="7"/>
  <c r="C205" i="7"/>
  <c r="D205" i="7"/>
  <c r="E205" i="7"/>
  <c r="G205" i="7"/>
  <c r="H205" i="7"/>
  <c r="I205" i="7"/>
  <c r="J205" i="7"/>
  <c r="K205" i="7"/>
  <c r="L205" i="7"/>
  <c r="C206" i="7"/>
  <c r="D206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C209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4" i="7"/>
  <c r="D214" i="7"/>
  <c r="E214" i="7"/>
  <c r="G214" i="7"/>
  <c r="H214" i="7"/>
  <c r="I214" i="7"/>
  <c r="J214" i="7"/>
  <c r="K214" i="7"/>
  <c r="L214" i="7"/>
  <c r="C215" i="7"/>
  <c r="D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D217" i="7"/>
  <c r="E217" i="7"/>
  <c r="G217" i="7"/>
  <c r="H217" i="7"/>
  <c r="I217" i="7"/>
  <c r="J217" i="7"/>
  <c r="K217" i="7"/>
  <c r="L217" i="7"/>
  <c r="D218" i="7"/>
  <c r="E218" i="7"/>
  <c r="G218" i="7"/>
  <c r="H218" i="7"/>
  <c r="I218" i="7"/>
  <c r="J218" i="7"/>
  <c r="K218" i="7"/>
  <c r="L218" i="7"/>
  <c r="D219" i="7"/>
  <c r="E219" i="7"/>
  <c r="G219" i="7"/>
  <c r="H219" i="7"/>
  <c r="I219" i="7"/>
  <c r="J219" i="7"/>
  <c r="K219" i="7"/>
  <c r="L219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D223" i="7"/>
  <c r="E223" i="7"/>
  <c r="G223" i="7"/>
  <c r="H223" i="7"/>
  <c r="I223" i="7"/>
  <c r="J223" i="7"/>
  <c r="K223" i="7"/>
  <c r="L223" i="7"/>
  <c r="C225" i="7"/>
  <c r="D225" i="7"/>
  <c r="E225" i="7"/>
  <c r="G225" i="7"/>
  <c r="H225" i="7"/>
  <c r="I225" i="7"/>
  <c r="J225" i="7"/>
  <c r="K225" i="7"/>
  <c r="L225" i="7"/>
  <c r="C226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D228" i="7"/>
  <c r="E228" i="7"/>
  <c r="G228" i="7"/>
  <c r="H228" i="7"/>
  <c r="I228" i="7"/>
  <c r="J228" i="7"/>
  <c r="K228" i="7"/>
  <c r="L228" i="7"/>
  <c r="C229" i="7"/>
  <c r="D229" i="7"/>
  <c r="E229" i="7"/>
  <c r="G229" i="7"/>
  <c r="H229" i="7"/>
  <c r="I229" i="7"/>
  <c r="J229" i="7"/>
  <c r="K229" i="7"/>
  <c r="L229" i="7"/>
  <c r="C230" i="7"/>
  <c r="D230" i="7"/>
  <c r="E230" i="7"/>
  <c r="G230" i="7"/>
  <c r="H230" i="7"/>
  <c r="I230" i="7"/>
  <c r="J230" i="7"/>
  <c r="K230" i="7"/>
  <c r="L230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D234" i="7"/>
  <c r="E234" i="7"/>
  <c r="G234" i="7"/>
  <c r="H234" i="7"/>
  <c r="I234" i="7"/>
  <c r="J234" i="7"/>
  <c r="K234" i="7"/>
  <c r="L234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39" i="7"/>
  <c r="E239" i="7"/>
  <c r="G239" i="7"/>
  <c r="H239" i="7"/>
  <c r="I239" i="7"/>
  <c r="J239" i="7"/>
  <c r="K239" i="7"/>
  <c r="L239" i="7"/>
  <c r="B239" i="7"/>
  <c r="B238" i="7"/>
  <c r="B237" i="7"/>
  <c r="B234" i="7"/>
  <c r="B232" i="7"/>
  <c r="B231" i="7"/>
  <c r="B230" i="7"/>
  <c r="B229" i="7"/>
  <c r="B228" i="7"/>
  <c r="B226" i="7"/>
  <c r="B225" i="7"/>
  <c r="B223" i="7"/>
  <c r="B222" i="7"/>
  <c r="B221" i="7"/>
  <c r="B217" i="7"/>
  <c r="B216" i="7"/>
  <c r="B215" i="7"/>
  <c r="B214" i="7"/>
  <c r="B212" i="7"/>
  <c r="B211" i="7"/>
  <c r="B210" i="7"/>
  <c r="B209" i="7"/>
  <c r="B208" i="7"/>
  <c r="B207" i="7"/>
  <c r="B206" i="7"/>
  <c r="B205" i="7"/>
  <c r="B203" i="7"/>
  <c r="B202" i="7"/>
  <c r="B201" i="7"/>
  <c r="B200" i="7"/>
  <c r="D148" i="7"/>
  <c r="E148" i="7"/>
  <c r="G148" i="7"/>
  <c r="H148" i="7"/>
  <c r="I148" i="7"/>
  <c r="J148" i="7"/>
  <c r="K148" i="7"/>
  <c r="L148" i="7"/>
  <c r="E149" i="7"/>
  <c r="G149" i="7"/>
  <c r="H149" i="7"/>
  <c r="I149" i="7"/>
  <c r="J149" i="7"/>
  <c r="K149" i="7"/>
  <c r="L149" i="7"/>
  <c r="E150" i="7"/>
  <c r="G150" i="7"/>
  <c r="H150" i="7"/>
  <c r="I150" i="7"/>
  <c r="J150" i="7"/>
  <c r="K150" i="7"/>
  <c r="L150" i="7"/>
  <c r="C151" i="7"/>
  <c r="D151" i="7"/>
  <c r="E151" i="7"/>
  <c r="G151" i="7"/>
  <c r="H151" i="7"/>
  <c r="I151" i="7"/>
  <c r="J151" i="7"/>
  <c r="K151" i="7"/>
  <c r="L151" i="7"/>
  <c r="C152" i="7"/>
  <c r="D152" i="7"/>
  <c r="E152" i="7"/>
  <c r="G152" i="7"/>
  <c r="H152" i="7"/>
  <c r="J152" i="7"/>
  <c r="K152" i="7"/>
  <c r="L152" i="7"/>
  <c r="C153" i="7"/>
  <c r="D153" i="7"/>
  <c r="E153" i="7"/>
  <c r="G153" i="7"/>
  <c r="H153" i="7"/>
  <c r="I153" i="7"/>
  <c r="J153" i="7"/>
  <c r="K153" i="7"/>
  <c r="L153" i="7"/>
  <c r="C155" i="7"/>
  <c r="D155" i="7"/>
  <c r="E155" i="7"/>
  <c r="G155" i="7"/>
  <c r="H155" i="7"/>
  <c r="I155" i="7"/>
  <c r="J155" i="7"/>
  <c r="K155" i="7"/>
  <c r="L155" i="7"/>
  <c r="G156" i="7"/>
  <c r="H156" i="7"/>
  <c r="I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8" i="7"/>
  <c r="D158" i="7"/>
  <c r="E158" i="7"/>
  <c r="G158" i="7"/>
  <c r="H158" i="7"/>
  <c r="I158" i="7"/>
  <c r="J158" i="7"/>
  <c r="K158" i="7"/>
  <c r="L158" i="7"/>
  <c r="C160" i="7"/>
  <c r="D160" i="7"/>
  <c r="E160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3" i="7"/>
  <c r="D163" i="7"/>
  <c r="E163" i="7"/>
  <c r="G163" i="7"/>
  <c r="H163" i="7"/>
  <c r="I163" i="7"/>
  <c r="J163" i="7"/>
  <c r="K163" i="7"/>
  <c r="L163" i="7"/>
  <c r="C164" i="7"/>
  <c r="D164" i="7"/>
  <c r="E164" i="7"/>
  <c r="G164" i="7"/>
  <c r="H164" i="7"/>
  <c r="I164" i="7"/>
  <c r="J164" i="7"/>
  <c r="K164" i="7"/>
  <c r="L164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D168" i="7"/>
  <c r="E168" i="7"/>
  <c r="G168" i="7"/>
  <c r="H168" i="7"/>
  <c r="I168" i="7"/>
  <c r="J168" i="7"/>
  <c r="K168" i="7"/>
  <c r="L168" i="7"/>
  <c r="D169" i="7"/>
  <c r="E169" i="7"/>
  <c r="G169" i="7"/>
  <c r="H169" i="7"/>
  <c r="J169" i="7"/>
  <c r="K169" i="7"/>
  <c r="L169" i="7"/>
  <c r="D170" i="7"/>
  <c r="E170" i="7"/>
  <c r="G170" i="7"/>
  <c r="H170" i="7"/>
  <c r="I170" i="7"/>
  <c r="J170" i="7"/>
  <c r="K170" i="7"/>
  <c r="L170" i="7"/>
  <c r="D171" i="7"/>
  <c r="E171" i="7"/>
  <c r="G171" i="7"/>
  <c r="H171" i="7"/>
  <c r="I171" i="7"/>
  <c r="J171" i="7"/>
  <c r="K171" i="7"/>
  <c r="L171" i="7"/>
  <c r="C174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D177" i="7"/>
  <c r="E177" i="7"/>
  <c r="G177" i="7"/>
  <c r="H177" i="7"/>
  <c r="I177" i="7"/>
  <c r="J177" i="7"/>
  <c r="K177" i="7"/>
  <c r="L177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C180" i="7"/>
  <c r="E180" i="7"/>
  <c r="G180" i="7"/>
  <c r="H180" i="7"/>
  <c r="I180" i="7"/>
  <c r="J180" i="7"/>
  <c r="K180" i="7"/>
  <c r="L180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C183" i="7"/>
  <c r="D183" i="7"/>
  <c r="E183" i="7"/>
  <c r="G183" i="7"/>
  <c r="H183" i="7"/>
  <c r="I183" i="7"/>
  <c r="J183" i="7"/>
  <c r="K183" i="7"/>
  <c r="L183" i="7"/>
  <c r="E185" i="7"/>
  <c r="G185" i="7"/>
  <c r="H185" i="7"/>
  <c r="I185" i="7"/>
  <c r="J185" i="7"/>
  <c r="K185" i="7"/>
  <c r="L185" i="7"/>
  <c r="D186" i="7"/>
  <c r="E186" i="7"/>
  <c r="G186" i="7"/>
  <c r="H186" i="7"/>
  <c r="I186" i="7"/>
  <c r="J186" i="7"/>
  <c r="K186" i="7"/>
  <c r="L186" i="7"/>
  <c r="C187" i="7"/>
  <c r="D187" i="7"/>
  <c r="E187" i="7"/>
  <c r="G187" i="7"/>
  <c r="H187" i="7"/>
  <c r="I187" i="7"/>
  <c r="J187" i="7"/>
  <c r="K187" i="7"/>
  <c r="L187" i="7"/>
  <c r="C188" i="7"/>
  <c r="D188" i="7"/>
  <c r="E188" i="7"/>
  <c r="G188" i="7"/>
  <c r="H188" i="7"/>
  <c r="I188" i="7"/>
  <c r="J188" i="7"/>
  <c r="K188" i="7"/>
  <c r="L188" i="7"/>
  <c r="C189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D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5" i="7"/>
  <c r="E195" i="7"/>
  <c r="G195" i="7"/>
  <c r="H195" i="7"/>
  <c r="I195" i="7"/>
  <c r="J195" i="7"/>
  <c r="K195" i="7"/>
  <c r="L195" i="7"/>
  <c r="D196" i="7"/>
  <c r="E196" i="7"/>
  <c r="G196" i="7"/>
  <c r="H196" i="7"/>
  <c r="I196" i="7"/>
  <c r="J196" i="7"/>
  <c r="K196" i="7"/>
  <c r="L196" i="7"/>
  <c r="D197" i="7"/>
  <c r="E197" i="7"/>
  <c r="G197" i="7"/>
  <c r="H197" i="7"/>
  <c r="I197" i="7"/>
  <c r="J197" i="7"/>
  <c r="K197" i="7"/>
  <c r="L197" i="7"/>
  <c r="B196" i="7"/>
  <c r="A64" i="7"/>
  <c r="B195" i="7"/>
  <c r="B189" i="7"/>
  <c r="B188" i="7"/>
  <c r="B187" i="7"/>
  <c r="B183" i="7"/>
  <c r="B182" i="7"/>
  <c r="B180" i="7"/>
  <c r="B178" i="7"/>
  <c r="B174" i="7"/>
  <c r="B167" i="7"/>
  <c r="B166" i="7"/>
  <c r="B164" i="7"/>
  <c r="B163" i="7"/>
  <c r="B162" i="7"/>
  <c r="B161" i="7"/>
  <c r="B160" i="7"/>
  <c r="B158" i="7"/>
  <c r="B157" i="7"/>
  <c r="B155" i="7"/>
  <c r="A237" i="7"/>
  <c r="N237" i="7" s="1"/>
  <c r="A238" i="7"/>
  <c r="N238" i="7" s="1"/>
  <c r="A239" i="7"/>
  <c r="N239" i="7" s="1"/>
  <c r="A231" i="7"/>
  <c r="N231" i="7" s="1"/>
  <c r="G127" i="1" s="1"/>
  <c r="A232" i="7"/>
  <c r="N232" i="7" s="1"/>
  <c r="A233" i="7"/>
  <c r="A85" i="1" s="1"/>
  <c r="A234" i="7"/>
  <c r="A86" i="1" s="1"/>
  <c r="A235" i="7"/>
  <c r="A87" i="1" s="1"/>
  <c r="A236" i="7"/>
  <c r="A132" i="1" s="1"/>
  <c r="A201" i="7"/>
  <c r="N201" i="7" s="1"/>
  <c r="L53" i="1" s="1"/>
  <c r="A202" i="7"/>
  <c r="N202" i="7" s="1"/>
  <c r="N54" i="1" s="1"/>
  <c r="A203" i="7"/>
  <c r="N203" i="7" s="1"/>
  <c r="P55" i="1" s="1"/>
  <c r="A204" i="7"/>
  <c r="N204" i="7" s="1"/>
  <c r="C56" i="1" s="1"/>
  <c r="A205" i="7"/>
  <c r="N205" i="7" s="1"/>
  <c r="C57" i="1" s="1"/>
  <c r="A206" i="7"/>
  <c r="N206" i="7" s="1"/>
  <c r="E58" i="1" s="1"/>
  <c r="A207" i="7"/>
  <c r="N207" i="7" s="1"/>
  <c r="H59" i="1" s="1"/>
  <c r="A208" i="7"/>
  <c r="N208" i="7" s="1"/>
  <c r="J60" i="1" s="1"/>
  <c r="A209" i="7"/>
  <c r="N209" i="7" s="1"/>
  <c r="L61" i="1" s="1"/>
  <c r="A210" i="7"/>
  <c r="N210" i="7" s="1"/>
  <c r="N62" i="1" s="1"/>
  <c r="A211" i="7"/>
  <c r="N211" i="7" s="1"/>
  <c r="P63" i="1" s="1"/>
  <c r="A212" i="7"/>
  <c r="N212" i="7" s="1"/>
  <c r="C64" i="1" s="1"/>
  <c r="A213" i="7"/>
  <c r="N213" i="7" s="1"/>
  <c r="C65" i="1" s="1"/>
  <c r="A214" i="7"/>
  <c r="N214" i="7" s="1"/>
  <c r="E66" i="1" s="1"/>
  <c r="A215" i="7"/>
  <c r="N215" i="7" s="1"/>
  <c r="H67" i="1" s="1"/>
  <c r="A216" i="7"/>
  <c r="N216" i="7" s="1"/>
  <c r="J68" i="1" s="1"/>
  <c r="A217" i="7"/>
  <c r="N217" i="7" s="1"/>
  <c r="L69" i="1" s="1"/>
  <c r="A218" i="7"/>
  <c r="N218" i="7" s="1"/>
  <c r="N70" i="1" s="1"/>
  <c r="A219" i="7"/>
  <c r="N219" i="7" s="1"/>
  <c r="P71" i="1" s="1"/>
  <c r="A220" i="7"/>
  <c r="N220" i="7" s="1"/>
  <c r="C72" i="1" s="1"/>
  <c r="A221" i="7"/>
  <c r="N221" i="7" s="1"/>
  <c r="C73" i="1" s="1"/>
  <c r="A222" i="7"/>
  <c r="N222" i="7" s="1"/>
  <c r="E74" i="1" s="1"/>
  <c r="A223" i="7"/>
  <c r="N223" i="7" s="1"/>
  <c r="H75" i="1" s="1"/>
  <c r="A224" i="7"/>
  <c r="N224" i="7" s="1"/>
  <c r="J76" i="1" s="1"/>
  <c r="A225" i="7"/>
  <c r="N225" i="7" s="1"/>
  <c r="L77" i="1" s="1"/>
  <c r="A226" i="7"/>
  <c r="N226" i="7" s="1"/>
  <c r="A227" i="7"/>
  <c r="N227" i="7" s="1"/>
  <c r="A228" i="7"/>
  <c r="N228" i="7" s="1"/>
  <c r="A229" i="7"/>
  <c r="N229" i="7" s="1"/>
  <c r="A230" i="7"/>
  <c r="N230" i="7" s="1"/>
  <c r="A200" i="7"/>
  <c r="A197" i="7"/>
  <c r="N197" i="7" s="1"/>
  <c r="A196" i="7"/>
  <c r="N196" i="7" s="1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N194" i="7" s="1"/>
  <c r="A195" i="7"/>
  <c r="N195" i="7" s="1"/>
  <c r="A169" i="7"/>
  <c r="A168" i="7"/>
  <c r="A167" i="7"/>
  <c r="A166" i="7"/>
  <c r="A165" i="7"/>
  <c r="A164" i="7"/>
  <c r="A163" i="7"/>
  <c r="A162" i="7"/>
  <c r="A161" i="7"/>
  <c r="A160" i="7"/>
  <c r="A158" i="7"/>
  <c r="A159" i="7"/>
  <c r="A156" i="7"/>
  <c r="A157" i="7"/>
  <c r="A155" i="7"/>
  <c r="A153" i="7"/>
  <c r="A149" i="7"/>
  <c r="A150" i="7"/>
  <c r="A151" i="7"/>
  <c r="A152" i="7"/>
  <c r="A148" i="7"/>
  <c r="B153" i="7"/>
  <c r="B124" i="7"/>
  <c r="C124" i="7"/>
  <c r="D124" i="7"/>
  <c r="E124" i="7"/>
  <c r="G124" i="7"/>
  <c r="H124" i="7"/>
  <c r="L124" i="7"/>
  <c r="A124" i="7"/>
  <c r="A131" i="7"/>
  <c r="A128" i="7"/>
  <c r="A127" i="7"/>
  <c r="A126" i="7"/>
  <c r="A125" i="7"/>
  <c r="A136" i="7"/>
  <c r="A135" i="7"/>
  <c r="A130" i="7"/>
  <c r="A129" i="7"/>
  <c r="A134" i="7"/>
  <c r="A133" i="7"/>
  <c r="A132" i="7"/>
  <c r="B108" i="7"/>
  <c r="C108" i="7"/>
  <c r="D108" i="7"/>
  <c r="E108" i="7"/>
  <c r="G108" i="7"/>
  <c r="H108" i="7"/>
  <c r="K108" i="7"/>
  <c r="L108" i="7"/>
  <c r="A108" i="7"/>
  <c r="B92" i="7"/>
  <c r="C92" i="7"/>
  <c r="D92" i="7"/>
  <c r="E92" i="7"/>
  <c r="G92" i="7"/>
  <c r="H92" i="7"/>
  <c r="A92" i="7"/>
  <c r="A81" i="7"/>
  <c r="A72" i="7"/>
  <c r="B8" i="24"/>
  <c r="I10" i="24"/>
  <c r="I6" i="24"/>
  <c r="I7" i="24"/>
  <c r="I8" i="24"/>
  <c r="I9" i="24"/>
  <c r="I5" i="24"/>
  <c r="G3" i="24"/>
  <c r="G4" i="24" s="1"/>
  <c r="B4" i="24" s="1"/>
  <c r="A63" i="7"/>
  <c r="B9" i="15"/>
  <c r="B10" i="15"/>
  <c r="B3" i="15"/>
  <c r="B4" i="15"/>
  <c r="B8" i="15"/>
  <c r="B5" i="15"/>
  <c r="B5" i="23"/>
  <c r="O20" i="23"/>
  <c r="B9" i="23"/>
  <c r="O19" i="23"/>
  <c r="O9" i="23"/>
  <c r="I4" i="24"/>
  <c r="B3" i="24" l="1"/>
  <c r="B5" i="24"/>
  <c r="G5" i="24"/>
  <c r="B6" i="24"/>
  <c r="C27" i="7"/>
  <c r="C181" i="7" s="1"/>
  <c r="B27" i="7"/>
  <c r="B181" i="7" s="1"/>
  <c r="C13" i="7"/>
  <c r="C171" i="7" s="1"/>
  <c r="B13" i="7"/>
  <c r="B171" i="7" s="1"/>
  <c r="C9" i="7"/>
  <c r="B9" i="7"/>
  <c r="C8" i="7"/>
  <c r="C148" i="7" s="1"/>
  <c r="B8" i="7"/>
  <c r="C23" i="7"/>
  <c r="C175" i="7" s="1"/>
  <c r="B23" i="7"/>
  <c r="B175" i="7" s="1"/>
  <c r="C10" i="7"/>
  <c r="B10" i="7"/>
  <c r="C81" i="1"/>
  <c r="D81" i="1"/>
  <c r="E81" i="1"/>
  <c r="G81" i="1"/>
  <c r="H81" i="1"/>
  <c r="I81" i="1"/>
  <c r="J81" i="1"/>
  <c r="K81" i="1"/>
  <c r="L81" i="1"/>
  <c r="M81" i="1"/>
  <c r="N81" i="1"/>
  <c r="O81" i="1"/>
  <c r="P81" i="1"/>
  <c r="Q81" i="1"/>
  <c r="B81" i="1"/>
  <c r="C78" i="1"/>
  <c r="D78" i="1"/>
  <c r="E78" i="1"/>
  <c r="G78" i="1"/>
  <c r="H78" i="1"/>
  <c r="I78" i="1"/>
  <c r="J78" i="1"/>
  <c r="K78" i="1"/>
  <c r="L78" i="1"/>
  <c r="M78" i="1"/>
  <c r="N78" i="1"/>
  <c r="O78" i="1"/>
  <c r="P78" i="1"/>
  <c r="Q78" i="1"/>
  <c r="C84" i="1"/>
  <c r="C128" i="1" s="1"/>
  <c r="D84" i="1"/>
  <c r="D128" i="1" s="1"/>
  <c r="E84" i="1"/>
  <c r="E128" i="1" s="1"/>
  <c r="G84" i="1"/>
  <c r="G128" i="1" s="1"/>
  <c r="H84" i="1"/>
  <c r="H128" i="1" s="1"/>
  <c r="I84" i="1"/>
  <c r="I128" i="1" s="1"/>
  <c r="J84" i="1"/>
  <c r="J128" i="1" s="1"/>
  <c r="K84" i="1"/>
  <c r="L84" i="1"/>
  <c r="L128" i="1" s="1"/>
  <c r="M84" i="1"/>
  <c r="M128" i="1" s="1"/>
  <c r="N84" i="1"/>
  <c r="N128" i="1" s="1"/>
  <c r="O84" i="1"/>
  <c r="P84" i="1"/>
  <c r="Q84" i="1"/>
  <c r="B84" i="1"/>
  <c r="B128" i="1" s="1"/>
  <c r="C91" i="1"/>
  <c r="D91" i="1"/>
  <c r="D135" i="1" s="1"/>
  <c r="E91" i="1"/>
  <c r="E135" i="1" s="1"/>
  <c r="G91" i="1"/>
  <c r="G135" i="1" s="1"/>
  <c r="H91" i="1"/>
  <c r="H135" i="1" s="1"/>
  <c r="I91" i="1"/>
  <c r="I135" i="1" s="1"/>
  <c r="J91" i="1"/>
  <c r="J135" i="1" s="1"/>
  <c r="K91" i="1"/>
  <c r="K135" i="1" s="1"/>
  <c r="L91" i="1"/>
  <c r="L135" i="1" s="1"/>
  <c r="M91" i="1"/>
  <c r="M135" i="1" s="1"/>
  <c r="N91" i="1"/>
  <c r="N135" i="1" s="1"/>
  <c r="O91" i="1"/>
  <c r="P91" i="1"/>
  <c r="Q91" i="1"/>
  <c r="B91" i="1"/>
  <c r="B135" i="1" s="1"/>
  <c r="U196" i="7"/>
  <c r="S196" i="7"/>
  <c r="O196" i="7"/>
  <c r="T196" i="7"/>
  <c r="V196" i="7"/>
  <c r="W196" i="7"/>
  <c r="Q196" i="7"/>
  <c r="X196" i="7"/>
  <c r="R196" i="7"/>
  <c r="S197" i="7"/>
  <c r="Q197" i="7"/>
  <c r="X197" i="7"/>
  <c r="U197" i="7"/>
  <c r="W197" i="7"/>
  <c r="V197" i="7"/>
  <c r="R197" i="7"/>
  <c r="T197" i="7"/>
  <c r="X239" i="7"/>
  <c r="Q238" i="7"/>
  <c r="Q134" i="1" s="1"/>
  <c r="U231" i="7"/>
  <c r="P238" i="7"/>
  <c r="T231" i="7"/>
  <c r="V239" i="7"/>
  <c r="X237" i="7"/>
  <c r="S231" i="7"/>
  <c r="U239" i="7"/>
  <c r="W237" i="7"/>
  <c r="R231" i="7"/>
  <c r="T239" i="7"/>
  <c r="V237" i="7"/>
  <c r="A116" i="1"/>
  <c r="S239" i="7"/>
  <c r="U237" i="7"/>
  <c r="A100" i="1"/>
  <c r="R239" i="7"/>
  <c r="T237" i="7"/>
  <c r="A73" i="1"/>
  <c r="S237" i="7"/>
  <c r="A57" i="1"/>
  <c r="A110" i="1"/>
  <c r="B53" i="1"/>
  <c r="I69" i="1"/>
  <c r="D67" i="1"/>
  <c r="H69" i="1"/>
  <c r="C67" i="1"/>
  <c r="A99" i="1"/>
  <c r="G69" i="1"/>
  <c r="Q66" i="1"/>
  <c r="A98" i="1"/>
  <c r="E69" i="1"/>
  <c r="P66" i="1"/>
  <c r="A97" i="1"/>
  <c r="D69" i="1"/>
  <c r="O66" i="1"/>
  <c r="A88" i="1"/>
  <c r="C69" i="1"/>
  <c r="N66" i="1"/>
  <c r="X232" i="7"/>
  <c r="Q231" i="7"/>
  <c r="A131" i="1"/>
  <c r="I68" i="1"/>
  <c r="D66" i="1"/>
  <c r="H68" i="1"/>
  <c r="C66" i="1"/>
  <c r="V232" i="7"/>
  <c r="Q239" i="7"/>
  <c r="E68" i="1"/>
  <c r="R237" i="7"/>
  <c r="T232" i="7"/>
  <c r="B70" i="1"/>
  <c r="D68" i="1"/>
  <c r="I53" i="1"/>
  <c r="G68" i="1"/>
  <c r="A126" i="1"/>
  <c r="Q237" i="7"/>
  <c r="Q133" i="1" s="1"/>
  <c r="S232" i="7"/>
  <c r="A115" i="1"/>
  <c r="B69" i="1"/>
  <c r="C68" i="1"/>
  <c r="H53" i="1"/>
  <c r="O231" i="7"/>
  <c r="O127" i="1" s="1"/>
  <c r="A114" i="1"/>
  <c r="B68" i="1"/>
  <c r="Q67" i="1"/>
  <c r="G53" i="1"/>
  <c r="K53" i="1"/>
  <c r="U232" i="7"/>
  <c r="A113" i="1"/>
  <c r="B67" i="1"/>
  <c r="P67" i="1"/>
  <c r="E53" i="1"/>
  <c r="W232" i="7"/>
  <c r="J53" i="1"/>
  <c r="A112" i="1"/>
  <c r="B66" i="1"/>
  <c r="K69" i="1"/>
  <c r="G67" i="1"/>
  <c r="D53" i="1"/>
  <c r="A130" i="1"/>
  <c r="A111" i="1"/>
  <c r="B57" i="1"/>
  <c r="J69" i="1"/>
  <c r="E67" i="1"/>
  <c r="C53" i="1"/>
  <c r="W238" i="7"/>
  <c r="X238" i="7"/>
  <c r="D134" i="1"/>
  <c r="B134" i="1"/>
  <c r="E134" i="1"/>
  <c r="G134" i="1"/>
  <c r="H134" i="1"/>
  <c r="I134" i="1"/>
  <c r="J134" i="1"/>
  <c r="K134" i="1"/>
  <c r="L134" i="1"/>
  <c r="M134" i="1"/>
  <c r="O238" i="7"/>
  <c r="N134" i="1"/>
  <c r="R238" i="7"/>
  <c r="S238" i="7"/>
  <c r="T238" i="7"/>
  <c r="U238" i="7"/>
  <c r="C134" i="1"/>
  <c r="V238" i="7"/>
  <c r="R232" i="7"/>
  <c r="A79" i="1"/>
  <c r="A63" i="1"/>
  <c r="B133" i="1"/>
  <c r="B73" i="1"/>
  <c r="E127" i="1"/>
  <c r="K77" i="1"/>
  <c r="I76" i="1"/>
  <c r="G75" i="1"/>
  <c r="D74" i="1"/>
  <c r="Q72" i="1"/>
  <c r="O71" i="1"/>
  <c r="M70" i="1"/>
  <c r="Q64" i="1"/>
  <c r="O63" i="1"/>
  <c r="M62" i="1"/>
  <c r="K61" i="1"/>
  <c r="I60" i="1"/>
  <c r="G59" i="1"/>
  <c r="D58" i="1"/>
  <c r="Q56" i="1"/>
  <c r="O55" i="1"/>
  <c r="M54" i="1"/>
  <c r="O237" i="7"/>
  <c r="Q232" i="7"/>
  <c r="A78" i="1"/>
  <c r="A62" i="1"/>
  <c r="B72" i="1"/>
  <c r="B56" i="1"/>
  <c r="D127" i="1"/>
  <c r="J77" i="1"/>
  <c r="H76" i="1"/>
  <c r="E75" i="1"/>
  <c r="C74" i="1"/>
  <c r="P72" i="1"/>
  <c r="N71" i="1"/>
  <c r="L70" i="1"/>
  <c r="P64" i="1"/>
  <c r="N63" i="1"/>
  <c r="L62" i="1"/>
  <c r="J61" i="1"/>
  <c r="H60" i="1"/>
  <c r="E59" i="1"/>
  <c r="C58" i="1"/>
  <c r="P56" i="1"/>
  <c r="N55" i="1"/>
  <c r="L54" i="1"/>
  <c r="P232" i="7"/>
  <c r="A129" i="1"/>
  <c r="A77" i="1"/>
  <c r="A61" i="1"/>
  <c r="B71" i="1"/>
  <c r="B55" i="1"/>
  <c r="I77" i="1"/>
  <c r="G76" i="1"/>
  <c r="D75" i="1"/>
  <c r="Q73" i="1"/>
  <c r="O72" i="1"/>
  <c r="M71" i="1"/>
  <c r="K70" i="1"/>
  <c r="Q65" i="1"/>
  <c r="O64" i="1"/>
  <c r="M63" i="1"/>
  <c r="K62" i="1"/>
  <c r="I61" i="1"/>
  <c r="G60" i="1"/>
  <c r="D59" i="1"/>
  <c r="Q57" i="1"/>
  <c r="O56" i="1"/>
  <c r="M55" i="1"/>
  <c r="K54" i="1"/>
  <c r="O232" i="7"/>
  <c r="A128" i="1"/>
  <c r="A76" i="1"/>
  <c r="A60" i="1"/>
  <c r="B54" i="1"/>
  <c r="H77" i="1"/>
  <c r="E76" i="1"/>
  <c r="C75" i="1"/>
  <c r="P73" i="1"/>
  <c r="N72" i="1"/>
  <c r="L71" i="1"/>
  <c r="J70" i="1"/>
  <c r="P65" i="1"/>
  <c r="N64" i="1"/>
  <c r="L63" i="1"/>
  <c r="J62" i="1"/>
  <c r="H61" i="1"/>
  <c r="E60" i="1"/>
  <c r="C59" i="1"/>
  <c r="P57" i="1"/>
  <c r="N56" i="1"/>
  <c r="L55" i="1"/>
  <c r="J54" i="1"/>
  <c r="X231" i="7"/>
  <c r="A127" i="1"/>
  <c r="A134" i="1"/>
  <c r="A75" i="1"/>
  <c r="A59" i="1"/>
  <c r="N133" i="1"/>
  <c r="G77" i="1"/>
  <c r="D76" i="1"/>
  <c r="Q74" i="1"/>
  <c r="O73" i="1"/>
  <c r="M72" i="1"/>
  <c r="K71" i="1"/>
  <c r="I70" i="1"/>
  <c r="O65" i="1"/>
  <c r="M64" i="1"/>
  <c r="K63" i="1"/>
  <c r="I62" i="1"/>
  <c r="G61" i="1"/>
  <c r="D60" i="1"/>
  <c r="Q58" i="1"/>
  <c r="O57" i="1"/>
  <c r="M56" i="1"/>
  <c r="K55" i="1"/>
  <c r="I54" i="1"/>
  <c r="W239" i="7"/>
  <c r="W231" i="7"/>
  <c r="A135" i="1"/>
  <c r="A74" i="1"/>
  <c r="A58" i="1"/>
  <c r="M133" i="1"/>
  <c r="E77" i="1"/>
  <c r="C76" i="1"/>
  <c r="P74" i="1"/>
  <c r="N73" i="1"/>
  <c r="L72" i="1"/>
  <c r="J71" i="1"/>
  <c r="H70" i="1"/>
  <c r="N65" i="1"/>
  <c r="L64" i="1"/>
  <c r="J63" i="1"/>
  <c r="H62" i="1"/>
  <c r="E61" i="1"/>
  <c r="C60" i="1"/>
  <c r="P58" i="1"/>
  <c r="N57" i="1"/>
  <c r="L56" i="1"/>
  <c r="J55" i="1"/>
  <c r="H54" i="1"/>
  <c r="V231" i="7"/>
  <c r="B127" i="1"/>
  <c r="L133" i="1"/>
  <c r="D77" i="1"/>
  <c r="Q75" i="1"/>
  <c r="O74" i="1"/>
  <c r="M73" i="1"/>
  <c r="K72" i="1"/>
  <c r="I71" i="1"/>
  <c r="G70" i="1"/>
  <c r="M65" i="1"/>
  <c r="K64" i="1"/>
  <c r="I63" i="1"/>
  <c r="G62" i="1"/>
  <c r="D61" i="1"/>
  <c r="Q59" i="1"/>
  <c r="O58" i="1"/>
  <c r="M57" i="1"/>
  <c r="K56" i="1"/>
  <c r="I55" i="1"/>
  <c r="G54" i="1"/>
  <c r="A125" i="1"/>
  <c r="A109" i="1"/>
  <c r="A72" i="1"/>
  <c r="A56" i="1"/>
  <c r="K133" i="1"/>
  <c r="C77" i="1"/>
  <c r="P75" i="1"/>
  <c r="N74" i="1"/>
  <c r="L73" i="1"/>
  <c r="J72" i="1"/>
  <c r="H71" i="1"/>
  <c r="E70" i="1"/>
  <c r="L65" i="1"/>
  <c r="J64" i="1"/>
  <c r="H63" i="1"/>
  <c r="E62" i="1"/>
  <c r="C61" i="1"/>
  <c r="P59" i="1"/>
  <c r="N58" i="1"/>
  <c r="L57" i="1"/>
  <c r="J56" i="1"/>
  <c r="H55" i="1"/>
  <c r="E54" i="1"/>
  <c r="A124" i="1"/>
  <c r="A108" i="1"/>
  <c r="A71" i="1"/>
  <c r="A55" i="1"/>
  <c r="B65" i="1"/>
  <c r="J133" i="1"/>
  <c r="N127" i="1"/>
  <c r="Q76" i="1"/>
  <c r="O75" i="1"/>
  <c r="M74" i="1"/>
  <c r="K73" i="1"/>
  <c r="I72" i="1"/>
  <c r="G71" i="1"/>
  <c r="D70" i="1"/>
  <c r="Q68" i="1"/>
  <c r="O67" i="1"/>
  <c r="M66" i="1"/>
  <c r="K65" i="1"/>
  <c r="I64" i="1"/>
  <c r="G63" i="1"/>
  <c r="D62" i="1"/>
  <c r="Q60" i="1"/>
  <c r="O59" i="1"/>
  <c r="M58" i="1"/>
  <c r="K57" i="1"/>
  <c r="I56" i="1"/>
  <c r="G55" i="1"/>
  <c r="D54" i="1"/>
  <c r="A123" i="1"/>
  <c r="A107" i="1"/>
  <c r="A70" i="1"/>
  <c r="A54" i="1"/>
  <c r="B64" i="1"/>
  <c r="I133" i="1"/>
  <c r="M127" i="1"/>
  <c r="P76" i="1"/>
  <c r="N75" i="1"/>
  <c r="L74" i="1"/>
  <c r="J73" i="1"/>
  <c r="H72" i="1"/>
  <c r="E71" i="1"/>
  <c r="C70" i="1"/>
  <c r="P68" i="1"/>
  <c r="N67" i="1"/>
  <c r="L66" i="1"/>
  <c r="J65" i="1"/>
  <c r="H64" i="1"/>
  <c r="E63" i="1"/>
  <c r="C62" i="1"/>
  <c r="P60" i="1"/>
  <c r="N59" i="1"/>
  <c r="L58" i="1"/>
  <c r="J57" i="1"/>
  <c r="H56" i="1"/>
  <c r="E55" i="1"/>
  <c r="C54" i="1"/>
  <c r="A122" i="1"/>
  <c r="A106" i="1"/>
  <c r="A84" i="1"/>
  <c r="A69" i="1"/>
  <c r="A53" i="1"/>
  <c r="B63" i="1"/>
  <c r="H133" i="1"/>
  <c r="L127" i="1"/>
  <c r="Q77" i="1"/>
  <c r="O76" i="1"/>
  <c r="M75" i="1"/>
  <c r="K74" i="1"/>
  <c r="I73" i="1"/>
  <c r="G72" i="1"/>
  <c r="D71" i="1"/>
  <c r="Q69" i="1"/>
  <c r="O68" i="1"/>
  <c r="M67" i="1"/>
  <c r="K66" i="1"/>
  <c r="I65" i="1"/>
  <c r="G64" i="1"/>
  <c r="D63" i="1"/>
  <c r="Q61" i="1"/>
  <c r="O60" i="1"/>
  <c r="M59" i="1"/>
  <c r="K58" i="1"/>
  <c r="I57" i="1"/>
  <c r="G56" i="1"/>
  <c r="D55" i="1"/>
  <c r="Q53" i="1"/>
  <c r="A121" i="1"/>
  <c r="A105" i="1"/>
  <c r="A83" i="1"/>
  <c r="A68" i="1"/>
  <c r="A91" i="1"/>
  <c r="B78" i="1"/>
  <c r="B62" i="1"/>
  <c r="G133" i="1"/>
  <c r="K127" i="1"/>
  <c r="P77" i="1"/>
  <c r="N76" i="1"/>
  <c r="L75" i="1"/>
  <c r="J74" i="1"/>
  <c r="H73" i="1"/>
  <c r="E72" i="1"/>
  <c r="C71" i="1"/>
  <c r="P69" i="1"/>
  <c r="N68" i="1"/>
  <c r="L67" i="1"/>
  <c r="J66" i="1"/>
  <c r="H65" i="1"/>
  <c r="E64" i="1"/>
  <c r="C63" i="1"/>
  <c r="P61" i="1"/>
  <c r="N60" i="1"/>
  <c r="L59" i="1"/>
  <c r="J58" i="1"/>
  <c r="H57" i="1"/>
  <c r="E56" i="1"/>
  <c r="C55" i="1"/>
  <c r="P53" i="1"/>
  <c r="A120" i="1"/>
  <c r="A104" i="1"/>
  <c r="A67" i="1"/>
  <c r="A90" i="1"/>
  <c r="B77" i="1"/>
  <c r="B61" i="1"/>
  <c r="E133" i="1"/>
  <c r="J127" i="1"/>
  <c r="O77" i="1"/>
  <c r="M76" i="1"/>
  <c r="K75" i="1"/>
  <c r="I74" i="1"/>
  <c r="G73" i="1"/>
  <c r="D72" i="1"/>
  <c r="Q70" i="1"/>
  <c r="O69" i="1"/>
  <c r="M68" i="1"/>
  <c r="K67" i="1"/>
  <c r="I66" i="1"/>
  <c r="G65" i="1"/>
  <c r="D64" i="1"/>
  <c r="Q62" i="1"/>
  <c r="O61" i="1"/>
  <c r="M60" i="1"/>
  <c r="K59" i="1"/>
  <c r="I58" i="1"/>
  <c r="G57" i="1"/>
  <c r="D56" i="1"/>
  <c r="Q54" i="1"/>
  <c r="O53" i="1"/>
  <c r="O239" i="7"/>
  <c r="A119" i="1"/>
  <c r="A103" i="1"/>
  <c r="A82" i="1"/>
  <c r="A66" i="1"/>
  <c r="A89" i="1"/>
  <c r="B76" i="1"/>
  <c r="B60" i="1"/>
  <c r="D133" i="1"/>
  <c r="K128" i="1"/>
  <c r="I127" i="1"/>
  <c r="N77" i="1"/>
  <c r="L76" i="1"/>
  <c r="J75" i="1"/>
  <c r="H74" i="1"/>
  <c r="E73" i="1"/>
  <c r="P70" i="1"/>
  <c r="N69" i="1"/>
  <c r="L68" i="1"/>
  <c r="J67" i="1"/>
  <c r="H66" i="1"/>
  <c r="E65" i="1"/>
  <c r="P62" i="1"/>
  <c r="N61" i="1"/>
  <c r="L60" i="1"/>
  <c r="J59" i="1"/>
  <c r="H58" i="1"/>
  <c r="E57" i="1"/>
  <c r="P54" i="1"/>
  <c r="N53" i="1"/>
  <c r="A133" i="1"/>
  <c r="A118" i="1"/>
  <c r="A102" i="1"/>
  <c r="A81" i="1"/>
  <c r="A65" i="1"/>
  <c r="B75" i="1"/>
  <c r="B59" i="1"/>
  <c r="H127" i="1"/>
  <c r="M77" i="1"/>
  <c r="K76" i="1"/>
  <c r="I75" i="1"/>
  <c r="G74" i="1"/>
  <c r="D73" i="1"/>
  <c r="Q71" i="1"/>
  <c r="O70" i="1"/>
  <c r="M69" i="1"/>
  <c r="K68" i="1"/>
  <c r="I67" i="1"/>
  <c r="G66" i="1"/>
  <c r="D65" i="1"/>
  <c r="Q63" i="1"/>
  <c r="O62" i="1"/>
  <c r="M61" i="1"/>
  <c r="K60" i="1"/>
  <c r="I59" i="1"/>
  <c r="G58" i="1"/>
  <c r="D57" i="1"/>
  <c r="Q55" i="1"/>
  <c r="O54" i="1"/>
  <c r="M53" i="1"/>
  <c r="A117" i="1"/>
  <c r="A101" i="1"/>
  <c r="A80" i="1"/>
  <c r="A64" i="1"/>
  <c r="B74" i="1"/>
  <c r="B58" i="1"/>
  <c r="B10" i="24"/>
  <c r="O11" i="23" l="1"/>
  <c r="C103" i="7"/>
  <c r="B103" i="7"/>
  <c r="Q135" i="1"/>
  <c r="P134" i="1"/>
  <c r="Q127" i="1"/>
  <c r="O134" i="1"/>
  <c r="P128" i="1"/>
  <c r="O128" i="1"/>
  <c r="Q128" i="1"/>
  <c r="O135" i="1"/>
  <c r="O133" i="1"/>
  <c r="B11" i="24"/>
  <c r="L4" i="15"/>
  <c r="L8" i="15" s="1"/>
  <c r="C20" i="7" l="1"/>
  <c r="C168" i="7" s="1"/>
  <c r="B20" i="7"/>
  <c r="B168" i="7" s="1"/>
  <c r="L15" i="15"/>
  <c r="J4" i="24" s="1"/>
  <c r="L5" i="15"/>
  <c r="L10" i="15"/>
  <c r="L9" i="15"/>
  <c r="C55" i="7"/>
  <c r="C220" i="7" s="1"/>
  <c r="B55" i="7"/>
  <c r="B220" i="7" s="1"/>
  <c r="L16" i="15"/>
  <c r="C21" i="7"/>
  <c r="C170" i="7" s="1"/>
  <c r="B21" i="7"/>
  <c r="B170" i="7" s="1"/>
  <c r="C14" i="7"/>
  <c r="C156" i="7" s="1"/>
  <c r="B14" i="7"/>
  <c r="L11" i="15"/>
  <c r="L7" i="15"/>
  <c r="L6" i="15"/>
  <c r="J6" i="24" l="1"/>
  <c r="J14" i="24"/>
  <c r="J5" i="24"/>
  <c r="J15" i="24"/>
  <c r="B73" i="7"/>
  <c r="B131" i="7"/>
  <c r="B213" i="7" s="1"/>
  <c r="B128" i="7"/>
  <c r="B227" i="7" s="1"/>
  <c r="B123" i="1" s="1"/>
  <c r="J10" i="24"/>
  <c r="B69" i="7" s="1"/>
  <c r="J8" i="24"/>
  <c r="B75" i="7" s="1"/>
  <c r="B81" i="7"/>
  <c r="J7" i="24"/>
  <c r="B77" i="7" s="1"/>
  <c r="J9" i="24"/>
  <c r="B68" i="7" s="1"/>
  <c r="B72" i="7"/>
  <c r="B173" i="7" s="1"/>
  <c r="C58" i="7"/>
  <c r="B58" i="7"/>
  <c r="C61" i="7"/>
  <c r="B61" i="7"/>
  <c r="C41" i="7"/>
  <c r="B41" i="7"/>
  <c r="C118" i="7"/>
  <c r="C218" i="7" s="1"/>
  <c r="B118" i="7"/>
  <c r="B218" i="7" s="1"/>
  <c r="C40" i="7"/>
  <c r="B40" i="7"/>
  <c r="C52" i="7"/>
  <c r="C169" i="7" s="1"/>
  <c r="B52" i="7"/>
  <c r="B169" i="7" s="1"/>
  <c r="K4" i="27"/>
  <c r="C119" i="7"/>
  <c r="B119" i="7"/>
  <c r="B63" i="7"/>
  <c r="C63" i="7"/>
  <c r="B185" i="7" l="1"/>
  <c r="B219" i="7"/>
  <c r="K15" i="27"/>
  <c r="C136" i="7" s="1"/>
  <c r="C223" i="7" s="1"/>
  <c r="K16" i="27"/>
  <c r="C126" i="7" s="1"/>
  <c r="C201" i="7" s="1"/>
  <c r="C73" i="7"/>
  <c r="K20" i="27"/>
  <c r="C130" i="7" s="1"/>
  <c r="C231" i="7" s="1"/>
  <c r="K14" i="27"/>
  <c r="C132" i="7" s="1"/>
  <c r="C234" i="7" s="1"/>
  <c r="K19" i="27"/>
  <c r="C129" i="7" s="1"/>
  <c r="C228" i="7" s="1"/>
  <c r="K18" i="27"/>
  <c r="C133" i="7" s="1"/>
  <c r="C237" i="7" s="1"/>
  <c r="K17" i="27"/>
  <c r="C135" i="7" s="1"/>
  <c r="C239" i="7" s="1"/>
  <c r="K10" i="27"/>
  <c r="C69" i="7" s="1"/>
  <c r="C150" i="7" s="1"/>
  <c r="K6" i="27"/>
  <c r="C81" i="7" s="1"/>
  <c r="K7" i="27"/>
  <c r="C77" i="7" s="1"/>
  <c r="K5" i="27"/>
  <c r="C80" i="7" s="1"/>
  <c r="K8" i="27"/>
  <c r="C75" i="7" s="1"/>
  <c r="C185" i="7" s="1"/>
  <c r="K9" i="27"/>
  <c r="C68" i="7" s="1"/>
  <c r="C149" i="7" s="1"/>
  <c r="A36" i="7"/>
  <c r="A35" i="7"/>
  <c r="B20" i="23"/>
  <c r="O16" i="23" s="1"/>
  <c r="C28" i="7" l="1"/>
  <c r="C186" i="7" s="1"/>
  <c r="B28" i="7"/>
  <c r="B186" i="7" s="1"/>
  <c r="C195" i="7"/>
  <c r="C196" i="7"/>
  <c r="P196" i="7" s="1"/>
  <c r="P239" i="7"/>
  <c r="P135" i="1" s="1"/>
  <c r="C135" i="1"/>
  <c r="C133" i="1"/>
  <c r="P237" i="7"/>
  <c r="P133" i="1" s="1"/>
  <c r="P231" i="7"/>
  <c r="P127" i="1" s="1"/>
  <c r="C127" i="1"/>
  <c r="C219" i="7"/>
  <c r="B10" i="23"/>
  <c r="C24" i="7" l="1"/>
  <c r="C177" i="7" s="1"/>
  <c r="B24" i="7"/>
  <c r="B177" i="7" s="1"/>
  <c r="C26" i="7"/>
  <c r="C179" i="7" s="1"/>
  <c r="B26" i="7"/>
  <c r="B179" i="7" s="1"/>
  <c r="B4" i="7"/>
  <c r="O25" i="23" l="1"/>
  <c r="C96" i="7" l="1"/>
  <c r="C204" i="7" s="1"/>
  <c r="B96" i="7"/>
  <c r="B204" i="7" s="1"/>
  <c r="C32" i="7" l="1"/>
  <c r="C191" i="7" s="1"/>
  <c r="B32" i="7"/>
  <c r="B191" i="7" s="1"/>
  <c r="C33" i="7"/>
  <c r="C193" i="7" s="1"/>
  <c r="B33" i="7"/>
  <c r="B193" i="7" s="1"/>
  <c r="C31" i="7"/>
  <c r="C190" i="7" s="1"/>
  <c r="B31" i="7"/>
  <c r="B190" i="7" s="1"/>
  <c r="B36" i="7"/>
  <c r="C36" i="7"/>
  <c r="C197" i="7" s="1"/>
  <c r="P197" i="7" s="1"/>
  <c r="C35" i="7"/>
  <c r="C194" i="7" s="1"/>
  <c r="B35" i="7"/>
  <c r="B194" i="7" s="1"/>
  <c r="B156" i="7"/>
  <c r="A69" i="7"/>
  <c r="A68" i="7"/>
  <c r="A41" i="7"/>
  <c r="A40" i="7"/>
  <c r="A79" i="7"/>
  <c r="A77" i="7"/>
  <c r="A80" i="7"/>
  <c r="A71" i="7"/>
  <c r="A75" i="7"/>
  <c r="A74" i="7"/>
  <c r="A78" i="7"/>
  <c r="A76" i="7"/>
  <c r="A70" i="7"/>
  <c r="A73" i="7"/>
  <c r="A113" i="7"/>
  <c r="A121" i="7"/>
  <c r="A115" i="7"/>
  <c r="A116" i="7"/>
  <c r="A109" i="7"/>
  <c r="A112" i="7"/>
  <c r="A117" i="7"/>
  <c r="A110" i="7"/>
  <c r="A118" i="7"/>
  <c r="A120" i="7"/>
  <c r="A114" i="7"/>
  <c r="A111" i="7"/>
  <c r="A119" i="7"/>
  <c r="A62" i="7"/>
  <c r="A61" i="7"/>
  <c r="A42" i="7"/>
  <c r="A49" i="7"/>
  <c r="A54" i="7"/>
  <c r="A51" i="7"/>
  <c r="A45" i="7"/>
  <c r="A56" i="7"/>
  <c r="A60" i="7"/>
  <c r="A48" i="7"/>
  <c r="A57" i="7"/>
  <c r="A58" i="7"/>
  <c r="A52" i="7"/>
  <c r="A59" i="7"/>
  <c r="A47" i="7"/>
  <c r="A46" i="7"/>
  <c r="A53" i="7"/>
  <c r="A105" i="7"/>
  <c r="A104" i="7"/>
  <c r="A102" i="7"/>
  <c r="B197" i="7" l="1"/>
  <c r="O197" i="7" s="1"/>
  <c r="A101" i="7"/>
  <c r="A100" i="7"/>
  <c r="A99" i="7"/>
  <c r="A98" i="7"/>
  <c r="A93" i="7"/>
  <c r="A94" i="7"/>
  <c r="A97" i="7"/>
  <c r="A103" i="7"/>
  <c r="A96" i="7"/>
  <c r="A95" i="7"/>
  <c r="A43" i="7"/>
  <c r="A55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6" i="9"/>
  <c r="N236" i="7" s="1"/>
  <c r="G95" i="9"/>
  <c r="N235" i="7" s="1"/>
  <c r="G94" i="9"/>
  <c r="N234" i="7" s="1"/>
  <c r="G93" i="9"/>
  <c r="N233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CV3" i="21"/>
  <c r="CU3" i="21"/>
  <c r="CT3" i="21"/>
  <c r="CS3" i="21"/>
  <c r="CR3" i="21"/>
  <c r="CQ3" i="21"/>
  <c r="CO3" i="21"/>
  <c r="CN3" i="21"/>
  <c r="CM3" i="21"/>
  <c r="CL3" i="2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5" i="1"/>
  <c r="M16" i="10" s="1"/>
  <c r="N25" i="1"/>
  <c r="N16" i="10" s="1"/>
  <c r="O25" i="1"/>
  <c r="O16" i="10" s="1"/>
  <c r="P25" i="1"/>
  <c r="P16" i="10" s="1"/>
  <c r="Q25" i="1"/>
  <c r="Q16" i="10" s="1"/>
  <c r="CM3" i="5"/>
  <c r="CN3" i="5"/>
  <c r="CO3" i="5"/>
  <c r="CQ3" i="5"/>
  <c r="CR3" i="5"/>
  <c r="CS3" i="5"/>
  <c r="CT3" i="5"/>
  <c r="CU3" i="5"/>
  <c r="CV3" i="5"/>
  <c r="CL3" i="5"/>
  <c r="BQ4" i="5"/>
  <c r="BR4" i="5"/>
  <c r="BS4" i="5"/>
  <c r="BU4" i="5"/>
  <c r="BV4" i="5"/>
  <c r="BW4" i="5"/>
  <c r="BX4" i="5"/>
  <c r="BY4" i="5"/>
  <c r="BZ4" i="5"/>
  <c r="N46" i="1"/>
  <c r="O46" i="1"/>
  <c r="P46" i="1"/>
  <c r="Q46" i="1"/>
  <c r="N50" i="1"/>
  <c r="O50" i="1"/>
  <c r="P50" i="1"/>
  <c r="Q50" i="1"/>
  <c r="M46" i="1"/>
  <c r="C50" i="1"/>
  <c r="D50" i="1"/>
  <c r="E50" i="1"/>
  <c r="G50" i="1"/>
  <c r="H50" i="1"/>
  <c r="I50" i="1"/>
  <c r="J50" i="1"/>
  <c r="K50" i="1"/>
  <c r="L50" i="1"/>
  <c r="M50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G31" i="1" s="1"/>
  <c r="H31" i="1" s="1"/>
  <c r="I31" i="1" s="1"/>
  <c r="C32" i="1"/>
  <c r="D32" i="1" s="1"/>
  <c r="E32" i="1" s="1"/>
  <c r="G32" i="1" s="1"/>
  <c r="C33" i="1"/>
  <c r="D33" i="1" s="1"/>
  <c r="E33" i="1" s="1"/>
  <c r="C34" i="1"/>
  <c r="D34" i="1" s="1"/>
  <c r="E34" i="1" s="1"/>
  <c r="C35" i="1"/>
  <c r="D35" i="1" s="1"/>
  <c r="E35" i="1" s="1"/>
  <c r="G35" i="1" s="1"/>
  <c r="H35" i="1" s="1"/>
  <c r="C27" i="1"/>
  <c r="D27" i="1" s="1"/>
  <c r="E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4" i="1"/>
  <c r="D15" i="10" s="1"/>
  <c r="E24" i="1"/>
  <c r="C16" i="1"/>
  <c r="C17" i="1"/>
  <c r="C18" i="1"/>
  <c r="C19" i="1"/>
  <c r="C20" i="1"/>
  <c r="C21" i="1"/>
  <c r="C22" i="1"/>
  <c r="C23" i="1"/>
  <c r="C15" i="1"/>
  <c r="B148" i="7"/>
  <c r="D16" i="1" l="1"/>
  <c r="C7" i="10"/>
  <c r="G24" i="1"/>
  <c r="E15" i="10"/>
  <c r="D23" i="1"/>
  <c r="C14" i="10"/>
  <c r="D22" i="1"/>
  <c r="C13" i="10"/>
  <c r="D19" i="1"/>
  <c r="C10" i="10"/>
  <c r="D21" i="1"/>
  <c r="C12" i="10"/>
  <c r="D20" i="1"/>
  <c r="C11" i="10"/>
  <c r="D18" i="1"/>
  <c r="C9" i="10"/>
  <c r="D15" i="1"/>
  <c r="C6" i="10"/>
  <c r="D17" i="1"/>
  <c r="C8" i="10"/>
  <c r="K129" i="1"/>
  <c r="L129" i="1"/>
  <c r="M129" i="1"/>
  <c r="N129" i="1"/>
  <c r="O233" i="7"/>
  <c r="O129" i="1" s="1"/>
  <c r="P233" i="7"/>
  <c r="P129" i="1" s="1"/>
  <c r="Q233" i="7"/>
  <c r="Q129" i="1" s="1"/>
  <c r="C129" i="1"/>
  <c r="R233" i="7"/>
  <c r="D129" i="1"/>
  <c r="S233" i="7"/>
  <c r="E129" i="1"/>
  <c r="B129" i="1"/>
  <c r="T233" i="7"/>
  <c r="G129" i="1"/>
  <c r="U233" i="7"/>
  <c r="H129" i="1"/>
  <c r="V233" i="7"/>
  <c r="I129" i="1"/>
  <c r="W233" i="7"/>
  <c r="J129" i="1"/>
  <c r="X233" i="7"/>
  <c r="U235" i="7"/>
  <c r="V235" i="7"/>
  <c r="W235" i="7"/>
  <c r="X235" i="7"/>
  <c r="C131" i="1"/>
  <c r="D131" i="1"/>
  <c r="E131" i="1"/>
  <c r="G131" i="1"/>
  <c r="H131" i="1"/>
  <c r="I131" i="1"/>
  <c r="O235" i="7"/>
  <c r="O131" i="1" s="1"/>
  <c r="J131" i="1"/>
  <c r="P235" i="7"/>
  <c r="P131" i="1" s="1"/>
  <c r="K131" i="1"/>
  <c r="Q235" i="7"/>
  <c r="Q131" i="1" s="1"/>
  <c r="L131" i="1"/>
  <c r="B131" i="1"/>
  <c r="R235" i="7"/>
  <c r="M131" i="1"/>
  <c r="S235" i="7"/>
  <c r="N131" i="1"/>
  <c r="T235" i="7"/>
  <c r="C132" i="1"/>
  <c r="D132" i="1"/>
  <c r="O236" i="7"/>
  <c r="O132" i="1" s="1"/>
  <c r="E132" i="1"/>
  <c r="P236" i="7"/>
  <c r="P132" i="1" s="1"/>
  <c r="G132" i="1"/>
  <c r="Q236" i="7"/>
  <c r="H132" i="1"/>
  <c r="R236" i="7"/>
  <c r="I132" i="1"/>
  <c r="S236" i="7"/>
  <c r="J132" i="1"/>
  <c r="T236" i="7"/>
  <c r="K132" i="1"/>
  <c r="U236" i="7"/>
  <c r="L132" i="1"/>
  <c r="V236" i="7"/>
  <c r="M132" i="1"/>
  <c r="W236" i="7"/>
  <c r="N132" i="1"/>
  <c r="X236" i="7"/>
  <c r="B132" i="1"/>
  <c r="M130" i="1"/>
  <c r="N130" i="1"/>
  <c r="T234" i="7"/>
  <c r="U234" i="7"/>
  <c r="C130" i="1"/>
  <c r="V234" i="7"/>
  <c r="D130" i="1"/>
  <c r="W234" i="7"/>
  <c r="E130" i="1"/>
  <c r="X234" i="7"/>
  <c r="G130" i="1"/>
  <c r="H130" i="1"/>
  <c r="I130" i="1"/>
  <c r="B130" i="1"/>
  <c r="J130" i="1"/>
  <c r="K130" i="1"/>
  <c r="L130" i="1"/>
  <c r="S234" i="7"/>
  <c r="Q234" i="7"/>
  <c r="R234" i="7"/>
  <c r="P234" i="7"/>
  <c r="P130" i="1" s="1"/>
  <c r="O234" i="7"/>
  <c r="O130" i="1" s="1"/>
  <c r="J21" i="1"/>
  <c r="J12" i="10" s="1"/>
  <c r="I35" i="1"/>
  <c r="G33" i="1"/>
  <c r="H32" i="1"/>
  <c r="J31" i="1"/>
  <c r="G30" i="1"/>
  <c r="G29" i="1"/>
  <c r="G28" i="1"/>
  <c r="G34" i="1"/>
  <c r="E17" i="1" l="1"/>
  <c r="D8" i="10"/>
  <c r="E22" i="1"/>
  <c r="D13" i="10"/>
  <c r="E21" i="1"/>
  <c r="D12" i="10"/>
  <c r="E19" i="1"/>
  <c r="D10" i="10"/>
  <c r="E15" i="1"/>
  <c r="D6" i="10"/>
  <c r="E23" i="1"/>
  <c r="D14" i="10"/>
  <c r="E18" i="1"/>
  <c r="D9" i="10"/>
  <c r="H24" i="1"/>
  <c r="G15" i="10"/>
  <c r="E20" i="1"/>
  <c r="D11" i="10"/>
  <c r="E16" i="1"/>
  <c r="D7" i="10"/>
  <c r="Q132" i="1"/>
  <c r="Q130" i="1"/>
  <c r="H28" i="1"/>
  <c r="K31" i="1"/>
  <c r="I32" i="1"/>
  <c r="H33" i="1"/>
  <c r="H34" i="1"/>
  <c r="H29" i="1"/>
  <c r="H30" i="1"/>
  <c r="J35" i="1"/>
  <c r="G23" i="1" l="1"/>
  <c r="E14" i="10"/>
  <c r="G15" i="1"/>
  <c r="E6" i="10"/>
  <c r="G22" i="1"/>
  <c r="E13" i="10"/>
  <c r="G19" i="1"/>
  <c r="E10" i="10"/>
  <c r="G21" i="1"/>
  <c r="E12" i="10"/>
  <c r="G16" i="1"/>
  <c r="E7" i="10"/>
  <c r="G20" i="1"/>
  <c r="E11" i="10"/>
  <c r="J24" i="1"/>
  <c r="J15" i="10" s="1"/>
  <c r="H15" i="10"/>
  <c r="K24" i="1"/>
  <c r="G18" i="1"/>
  <c r="E9" i="10"/>
  <c r="G17" i="1"/>
  <c r="E8" i="10"/>
  <c r="K35" i="1"/>
  <c r="I29" i="1"/>
  <c r="I33" i="1"/>
  <c r="I34" i="1"/>
  <c r="J32" i="1"/>
  <c r="I30" i="1"/>
  <c r="L31" i="1"/>
  <c r="I28" i="1"/>
  <c r="H19" i="1" l="1"/>
  <c r="G10" i="10"/>
  <c r="H18" i="1"/>
  <c r="G9" i="10"/>
  <c r="H21" i="1"/>
  <c r="G12" i="10"/>
  <c r="H17" i="1"/>
  <c r="G8" i="10"/>
  <c r="H22" i="1"/>
  <c r="G13" i="10"/>
  <c r="H16" i="1"/>
  <c r="G7" i="10"/>
  <c r="L24" i="1"/>
  <c r="K15" i="10"/>
  <c r="H15" i="1"/>
  <c r="G6" i="10"/>
  <c r="H20" i="1"/>
  <c r="G11" i="10"/>
  <c r="H23" i="1"/>
  <c r="G14" i="10"/>
  <c r="M31" i="1"/>
  <c r="N31" i="1" s="1"/>
  <c r="O31" i="1" s="1"/>
  <c r="P31" i="1" s="1"/>
  <c r="Q31" i="1" s="1"/>
  <c r="J29" i="1"/>
  <c r="J28" i="1"/>
  <c r="J30" i="1"/>
  <c r="K32" i="1"/>
  <c r="J34" i="1"/>
  <c r="J33" i="1"/>
  <c r="L35" i="1"/>
  <c r="I17" i="1" l="1"/>
  <c r="H8" i="10"/>
  <c r="I16" i="1"/>
  <c r="H7" i="10"/>
  <c r="I23" i="1"/>
  <c r="H14" i="10"/>
  <c r="I20" i="1"/>
  <c r="H11" i="10"/>
  <c r="I22" i="1"/>
  <c r="H13" i="10"/>
  <c r="H12" i="10"/>
  <c r="K21" i="1"/>
  <c r="J15" i="1"/>
  <c r="J6" i="10" s="1"/>
  <c r="H6" i="10"/>
  <c r="K15" i="1"/>
  <c r="I18" i="1"/>
  <c r="H9" i="10"/>
  <c r="M24" i="1"/>
  <c r="L15" i="10"/>
  <c r="H10" i="10"/>
  <c r="I19" i="1"/>
  <c r="M35" i="1"/>
  <c r="N35" i="1" s="1"/>
  <c r="O35" i="1" s="1"/>
  <c r="P35" i="1" s="1"/>
  <c r="Q35" i="1" s="1"/>
  <c r="K33" i="1"/>
  <c r="K34" i="1"/>
  <c r="L32" i="1"/>
  <c r="K30" i="1"/>
  <c r="K28" i="1"/>
  <c r="K29" i="1"/>
  <c r="K12" i="10" l="1"/>
  <c r="L21" i="1"/>
  <c r="J20" i="1"/>
  <c r="I11" i="10"/>
  <c r="K6" i="10"/>
  <c r="L15" i="1"/>
  <c r="J22" i="1"/>
  <c r="I13" i="10"/>
  <c r="N24" i="1"/>
  <c r="M15" i="10"/>
  <c r="J18" i="1"/>
  <c r="I9" i="10"/>
  <c r="I10" i="10"/>
  <c r="J19" i="1"/>
  <c r="J23" i="1"/>
  <c r="I14" i="10"/>
  <c r="J16" i="1"/>
  <c r="I7" i="10"/>
  <c r="J17" i="1"/>
  <c r="I8" i="10"/>
  <c r="L29" i="1"/>
  <c r="L28" i="1"/>
  <c r="L30" i="1"/>
  <c r="M32" i="1"/>
  <c r="N32" i="1" s="1"/>
  <c r="O32" i="1" s="1"/>
  <c r="P32" i="1" s="1"/>
  <c r="Q32" i="1" s="1"/>
  <c r="L34" i="1"/>
  <c r="L33" i="1"/>
  <c r="K16" i="1" l="1"/>
  <c r="J7" i="10"/>
  <c r="K18" i="1"/>
  <c r="J9" i="10"/>
  <c r="K22" i="1"/>
  <c r="J13" i="10"/>
  <c r="K23" i="1"/>
  <c r="J14" i="10"/>
  <c r="L12" i="10"/>
  <c r="M21" i="1"/>
  <c r="O24" i="1"/>
  <c r="N15" i="10"/>
  <c r="K17" i="1"/>
  <c r="J8" i="10"/>
  <c r="M15" i="1"/>
  <c r="L6" i="10"/>
  <c r="K20" i="1"/>
  <c r="J11" i="10"/>
  <c r="J10" i="10"/>
  <c r="K19" i="1"/>
  <c r="M34" i="1"/>
  <c r="N34" i="1" s="1"/>
  <c r="O34" i="1" s="1"/>
  <c r="P34" i="1" s="1"/>
  <c r="Q34" i="1" s="1"/>
  <c r="M30" i="1"/>
  <c r="N30" i="1" s="1"/>
  <c r="O30" i="1" s="1"/>
  <c r="P30" i="1" s="1"/>
  <c r="Q30" i="1" s="1"/>
  <c r="M28" i="1"/>
  <c r="N28" i="1" s="1"/>
  <c r="O28" i="1" s="1"/>
  <c r="P28" i="1" s="1"/>
  <c r="Q28" i="1" s="1"/>
  <c r="M33" i="1"/>
  <c r="N33" i="1" s="1"/>
  <c r="O33" i="1" s="1"/>
  <c r="P33" i="1" s="1"/>
  <c r="Q33" i="1" s="1"/>
  <c r="M29" i="1"/>
  <c r="N29" i="1" s="1"/>
  <c r="O29" i="1" s="1"/>
  <c r="P29" i="1" s="1"/>
  <c r="Q29" i="1" s="1"/>
  <c r="L20" i="1" l="1"/>
  <c r="K11" i="10"/>
  <c r="N15" i="1"/>
  <c r="M6" i="10"/>
  <c r="P24" i="1"/>
  <c r="O15" i="10"/>
  <c r="L23" i="1"/>
  <c r="K14" i="10"/>
  <c r="M12" i="10"/>
  <c r="N21" i="1"/>
  <c r="K10" i="10"/>
  <c r="L19" i="1"/>
  <c r="L22" i="1"/>
  <c r="K13" i="10"/>
  <c r="L18" i="1"/>
  <c r="K9" i="10"/>
  <c r="L17" i="1"/>
  <c r="K8" i="10"/>
  <c r="L16" i="1"/>
  <c r="K7" i="10"/>
  <c r="Q1" i="10"/>
  <c r="M1" i="10"/>
  <c r="N1" i="10"/>
  <c r="O1" i="10"/>
  <c r="P1" i="10"/>
  <c r="P2" i="1"/>
  <c r="Q2" i="1"/>
  <c r="M2" i="1"/>
  <c r="N2" i="1"/>
  <c r="O2" i="1"/>
  <c r="N12" i="10" l="1"/>
  <c r="O21" i="1"/>
  <c r="M16" i="1"/>
  <c r="L7" i="10"/>
  <c r="M23" i="1"/>
  <c r="L14" i="10"/>
  <c r="M17" i="1"/>
  <c r="L8" i="10"/>
  <c r="M18" i="1"/>
  <c r="L9" i="10"/>
  <c r="Q24" i="1"/>
  <c r="Q15" i="10" s="1"/>
  <c r="P15" i="10"/>
  <c r="O15" i="1"/>
  <c r="N6" i="10"/>
  <c r="M22" i="1"/>
  <c r="L13" i="10"/>
  <c r="L10" i="10"/>
  <c r="M19" i="1"/>
  <c r="M20" i="1"/>
  <c r="L11" i="10"/>
  <c r="I34" i="10"/>
  <c r="C1" i="10"/>
  <c r="D1" i="10"/>
  <c r="E1" i="10"/>
  <c r="H1" i="10"/>
  <c r="I1" i="10"/>
  <c r="J1" i="10"/>
  <c r="K1" i="10"/>
  <c r="L1" i="10"/>
  <c r="B1" i="10"/>
  <c r="I169" i="7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49" i="7"/>
  <c r="B150" i="7"/>
  <c r="B151" i="7"/>
  <c r="B152" i="7"/>
  <c r="M10" i="10" l="1"/>
  <c r="N19" i="1"/>
  <c r="N17" i="1"/>
  <c r="M8" i="10"/>
  <c r="M9" i="10"/>
  <c r="N18" i="1"/>
  <c r="M38" i="1"/>
  <c r="M39" i="1" s="1"/>
  <c r="M40" i="1"/>
  <c r="N16" i="1"/>
  <c r="M7" i="10"/>
  <c r="O12" i="10"/>
  <c r="P21" i="1"/>
  <c r="N20" i="1"/>
  <c r="M11" i="10"/>
  <c r="M14" i="10"/>
  <c r="N23" i="1"/>
  <c r="M37" i="1"/>
  <c r="N22" i="1"/>
  <c r="M13" i="10"/>
  <c r="P15" i="1"/>
  <c r="O6" i="10"/>
  <c r="I4" i="7"/>
  <c r="I152" i="7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O16" i="1" l="1"/>
  <c r="N7" i="10"/>
  <c r="M41" i="1"/>
  <c r="M42" i="1"/>
  <c r="M43" i="1" s="1"/>
  <c r="O17" i="1"/>
  <c r="N8" i="10"/>
  <c r="Q15" i="1"/>
  <c r="Q6" i="10" s="1"/>
  <c r="P6" i="10"/>
  <c r="O22" i="1"/>
  <c r="N13" i="10"/>
  <c r="N9" i="10"/>
  <c r="O18" i="1"/>
  <c r="N38" i="1"/>
  <c r="N40" i="1"/>
  <c r="N14" i="10"/>
  <c r="N37" i="1"/>
  <c r="O23" i="1"/>
  <c r="O20" i="1"/>
  <c r="N11" i="10"/>
  <c r="N10" i="10"/>
  <c r="O19" i="1"/>
  <c r="N39" i="1"/>
  <c r="P12" i="10"/>
  <c r="Q21" i="1"/>
  <c r="H13" i="18"/>
  <c r="A2" i="2"/>
  <c r="A1" i="2"/>
  <c r="A36" i="2"/>
  <c r="A33" i="2"/>
  <c r="A34" i="2"/>
  <c r="A35" i="2"/>
  <c r="A27" i="2"/>
  <c r="A28" i="2"/>
  <c r="A29" i="2"/>
  <c r="A30" i="2"/>
  <c r="A31" i="2"/>
  <c r="A32" i="2"/>
  <c r="A20" i="2"/>
  <c r="A21" i="2"/>
  <c r="A22" i="2"/>
  <c r="A23" i="2"/>
  <c r="A24" i="2"/>
  <c r="A25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O10" i="10" l="1"/>
  <c r="P19" i="1"/>
  <c r="O9" i="10"/>
  <c r="O40" i="1"/>
  <c r="O38" i="1"/>
  <c r="O39" i="1" s="1"/>
  <c r="P18" i="1"/>
  <c r="P17" i="1"/>
  <c r="O8" i="10"/>
  <c r="P22" i="1"/>
  <c r="O13" i="10"/>
  <c r="N41" i="1"/>
  <c r="N42" i="1"/>
  <c r="P20" i="1"/>
  <c r="O11" i="10"/>
  <c r="O14" i="10"/>
  <c r="O37" i="1"/>
  <c r="P23" i="1"/>
  <c r="Q12" i="10"/>
  <c r="P16" i="1"/>
  <c r="O7" i="10"/>
  <c r="A52" i="1"/>
  <c r="C10" i="2"/>
  <c r="D10" i="2" s="1"/>
  <c r="C11" i="2"/>
  <c r="D11" i="2" s="1"/>
  <c r="Z202" i="7"/>
  <c r="Z150" i="7"/>
  <c r="Z151" i="7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5" i="2"/>
  <c r="D25" i="2" s="1"/>
  <c r="C29" i="2"/>
  <c r="D29" i="2" s="1"/>
  <c r="Z226" i="7"/>
  <c r="C36" i="2"/>
  <c r="Z153" i="7"/>
  <c r="Z155" i="7"/>
  <c r="Z157" i="7"/>
  <c r="Z158" i="7"/>
  <c r="Z159" i="7"/>
  <c r="Z160" i="7"/>
  <c r="Z162" i="7"/>
  <c r="Z164" i="7"/>
  <c r="Z166" i="7"/>
  <c r="Z167" i="7"/>
  <c r="Z170" i="7"/>
  <c r="Z171" i="7"/>
  <c r="Z172" i="7"/>
  <c r="Z173" i="7"/>
  <c r="Z174" i="7"/>
  <c r="Z178" i="7"/>
  <c r="Z180" i="7"/>
  <c r="Z182" i="7"/>
  <c r="Z183" i="7"/>
  <c r="Z187" i="7"/>
  <c r="Z189" i="7"/>
  <c r="Z191" i="7"/>
  <c r="Z194" i="7"/>
  <c r="Z192" i="7"/>
  <c r="Z201" i="7"/>
  <c r="Z215" i="7"/>
  <c r="Q22" i="1" l="1"/>
  <c r="Q13" i="10" s="1"/>
  <c r="P13" i="10"/>
  <c r="P9" i="10"/>
  <c r="P40" i="1"/>
  <c r="Q18" i="1"/>
  <c r="P38" i="1"/>
  <c r="P39" i="1" s="1"/>
  <c r="O41" i="1"/>
  <c r="O42" i="1"/>
  <c r="O43" i="1" s="1"/>
  <c r="Q16" i="1"/>
  <c r="Q7" i="10" s="1"/>
  <c r="P7" i="10"/>
  <c r="Q17" i="1"/>
  <c r="Q8" i="10" s="1"/>
  <c r="P8" i="10"/>
  <c r="Q20" i="1"/>
  <c r="Q11" i="10" s="1"/>
  <c r="P11" i="10"/>
  <c r="P10" i="10"/>
  <c r="Q19" i="1"/>
  <c r="P14" i="10"/>
  <c r="P37" i="1"/>
  <c r="Q23" i="1"/>
  <c r="N43" i="1"/>
  <c r="D21" i="2"/>
  <c r="C123" i="1"/>
  <c r="D123" i="1"/>
  <c r="E123" i="1"/>
  <c r="G123" i="1"/>
  <c r="H123" i="1"/>
  <c r="I123" i="1"/>
  <c r="J123" i="1"/>
  <c r="K123" i="1"/>
  <c r="L123" i="1"/>
  <c r="M123" i="1"/>
  <c r="C117" i="1"/>
  <c r="D117" i="1"/>
  <c r="E117" i="1"/>
  <c r="G117" i="1"/>
  <c r="H117" i="1"/>
  <c r="B117" i="1"/>
  <c r="I117" i="1"/>
  <c r="J117" i="1"/>
  <c r="K117" i="1"/>
  <c r="L117" i="1"/>
  <c r="M117" i="1"/>
  <c r="N117" i="1"/>
  <c r="M122" i="1"/>
  <c r="B122" i="1"/>
  <c r="C122" i="1"/>
  <c r="D122" i="1"/>
  <c r="E122" i="1"/>
  <c r="G122" i="1"/>
  <c r="H122" i="1"/>
  <c r="J122" i="1"/>
  <c r="K122" i="1"/>
  <c r="L122" i="1"/>
  <c r="B101" i="1"/>
  <c r="C101" i="1"/>
  <c r="D101" i="1"/>
  <c r="E101" i="1"/>
  <c r="G101" i="1"/>
  <c r="H101" i="1"/>
  <c r="I101" i="1"/>
  <c r="J101" i="1"/>
  <c r="K101" i="1"/>
  <c r="L101" i="1"/>
  <c r="M101" i="1"/>
  <c r="N101" i="1"/>
  <c r="N110" i="1"/>
  <c r="D110" i="1"/>
  <c r="E110" i="1"/>
  <c r="G110" i="1"/>
  <c r="H110" i="1"/>
  <c r="I110" i="1"/>
  <c r="J110" i="1"/>
  <c r="K110" i="1"/>
  <c r="L110" i="1"/>
  <c r="M110" i="1"/>
  <c r="B110" i="1"/>
  <c r="C110" i="1"/>
  <c r="C107" i="1"/>
  <c r="D107" i="1"/>
  <c r="E107" i="1"/>
  <c r="G107" i="1"/>
  <c r="H107" i="1"/>
  <c r="I107" i="1"/>
  <c r="B107" i="1"/>
  <c r="N107" i="1"/>
  <c r="J107" i="1"/>
  <c r="K107" i="1"/>
  <c r="L107" i="1"/>
  <c r="M107" i="1"/>
  <c r="G121" i="1"/>
  <c r="H121" i="1"/>
  <c r="I121" i="1"/>
  <c r="J121" i="1"/>
  <c r="K121" i="1"/>
  <c r="L121" i="1"/>
  <c r="M121" i="1"/>
  <c r="B121" i="1"/>
  <c r="C121" i="1"/>
  <c r="D121" i="1"/>
  <c r="E121" i="1"/>
  <c r="D126" i="1"/>
  <c r="E126" i="1"/>
  <c r="G126" i="1"/>
  <c r="N126" i="1"/>
  <c r="H126" i="1"/>
  <c r="B126" i="1"/>
  <c r="J126" i="1"/>
  <c r="K126" i="1"/>
  <c r="L126" i="1"/>
  <c r="M126" i="1"/>
  <c r="C126" i="1"/>
  <c r="C115" i="1"/>
  <c r="D115" i="1"/>
  <c r="E115" i="1"/>
  <c r="G115" i="1"/>
  <c r="H115" i="1"/>
  <c r="J115" i="1"/>
  <c r="K115" i="1"/>
  <c r="L115" i="1"/>
  <c r="M115" i="1"/>
  <c r="B115" i="1"/>
  <c r="B125" i="1"/>
  <c r="C125" i="1"/>
  <c r="D125" i="1"/>
  <c r="E125" i="1"/>
  <c r="G125" i="1"/>
  <c r="H125" i="1"/>
  <c r="I125" i="1"/>
  <c r="J125" i="1"/>
  <c r="K125" i="1"/>
  <c r="L125" i="1"/>
  <c r="M125" i="1"/>
  <c r="M114" i="1"/>
  <c r="C114" i="1"/>
  <c r="D114" i="1"/>
  <c r="E114" i="1"/>
  <c r="G114" i="1"/>
  <c r="H114" i="1"/>
  <c r="B114" i="1"/>
  <c r="I114" i="1"/>
  <c r="J114" i="1"/>
  <c r="K114" i="1"/>
  <c r="L114" i="1"/>
  <c r="C109" i="1"/>
  <c r="D109" i="1"/>
  <c r="E109" i="1"/>
  <c r="G109" i="1"/>
  <c r="H109" i="1"/>
  <c r="I109" i="1"/>
  <c r="J109" i="1"/>
  <c r="K109" i="1"/>
  <c r="L109" i="1"/>
  <c r="M109" i="1"/>
  <c r="N109" i="1"/>
  <c r="B109" i="1"/>
  <c r="K119" i="1"/>
  <c r="L119" i="1"/>
  <c r="M119" i="1"/>
  <c r="B119" i="1"/>
  <c r="C119" i="1"/>
  <c r="D119" i="1"/>
  <c r="E119" i="1"/>
  <c r="G119" i="1"/>
  <c r="H119" i="1"/>
  <c r="I119" i="1"/>
  <c r="J119" i="1"/>
  <c r="I124" i="1"/>
  <c r="J124" i="1"/>
  <c r="B124" i="1"/>
  <c r="K124" i="1"/>
  <c r="L124" i="1"/>
  <c r="M124" i="1"/>
  <c r="C124" i="1"/>
  <c r="D124" i="1"/>
  <c r="E124" i="1"/>
  <c r="G124" i="1"/>
  <c r="H124" i="1"/>
  <c r="D118" i="1"/>
  <c r="E118" i="1"/>
  <c r="G118" i="1"/>
  <c r="N118" i="1"/>
  <c r="H118" i="1"/>
  <c r="I118" i="1"/>
  <c r="J118" i="1"/>
  <c r="K118" i="1"/>
  <c r="L118" i="1"/>
  <c r="M118" i="1"/>
  <c r="C118" i="1"/>
  <c r="B118" i="1"/>
  <c r="G105" i="1"/>
  <c r="H105" i="1"/>
  <c r="I105" i="1"/>
  <c r="J105" i="1"/>
  <c r="K105" i="1"/>
  <c r="B105" i="1"/>
  <c r="L105" i="1"/>
  <c r="M105" i="1"/>
  <c r="C105" i="1"/>
  <c r="D105" i="1"/>
  <c r="N105" i="1"/>
  <c r="E105" i="1"/>
  <c r="U225" i="7"/>
  <c r="Z224" i="7"/>
  <c r="AI224" i="7" s="1"/>
  <c r="Z204" i="7"/>
  <c r="AB204" i="7" s="1"/>
  <c r="Z181" i="7"/>
  <c r="AE181" i="7" s="1"/>
  <c r="Z165" i="7"/>
  <c r="AH165" i="7" s="1"/>
  <c r="Z156" i="7"/>
  <c r="AC156" i="7" s="1"/>
  <c r="Z200" i="7"/>
  <c r="AE200" i="7" s="1"/>
  <c r="Z203" i="7"/>
  <c r="AA203" i="7" s="1"/>
  <c r="Z161" i="7"/>
  <c r="AJ161" i="7" s="1"/>
  <c r="N115" i="1"/>
  <c r="S218" i="7"/>
  <c r="Z193" i="7"/>
  <c r="AI193" i="7" s="1"/>
  <c r="Z176" i="7"/>
  <c r="AI176" i="7" s="1"/>
  <c r="Z188" i="7"/>
  <c r="AG188" i="7" s="1"/>
  <c r="Z190" i="7"/>
  <c r="AG190" i="7" s="1"/>
  <c r="Q206" i="7"/>
  <c r="Z149" i="7"/>
  <c r="AG149" i="7" s="1"/>
  <c r="X212" i="7"/>
  <c r="S228" i="7"/>
  <c r="N123" i="1"/>
  <c r="Z211" i="7"/>
  <c r="AE211" i="7" s="1"/>
  <c r="N185" i="7"/>
  <c r="Q185" i="7" s="1"/>
  <c r="Z225" i="7"/>
  <c r="AD225" i="7" s="1"/>
  <c r="Z186" i="7"/>
  <c r="AD186" i="7" s="1"/>
  <c r="Z210" i="7"/>
  <c r="AB210" i="7" s="1"/>
  <c r="Z184" i="7"/>
  <c r="AI184" i="7" s="1"/>
  <c r="Z168" i="7"/>
  <c r="AG168" i="7" s="1"/>
  <c r="Z218" i="7"/>
  <c r="AE218" i="7" s="1"/>
  <c r="Z220" i="7"/>
  <c r="Z195" i="7"/>
  <c r="AI195" i="7" s="1"/>
  <c r="Z217" i="7"/>
  <c r="AJ217" i="7" s="1"/>
  <c r="R230" i="7"/>
  <c r="X230" i="7"/>
  <c r="O230" i="7"/>
  <c r="O126" i="1" s="1"/>
  <c r="W230" i="7"/>
  <c r="S230" i="7"/>
  <c r="T230" i="7"/>
  <c r="P230" i="7"/>
  <c r="P126" i="1" s="1"/>
  <c r="V230" i="7"/>
  <c r="Q230" i="7"/>
  <c r="Q126" i="1" s="1"/>
  <c r="X205" i="7"/>
  <c r="T205" i="7"/>
  <c r="S205" i="7"/>
  <c r="R205" i="7"/>
  <c r="O205" i="7"/>
  <c r="P205" i="7"/>
  <c r="P101" i="1" s="1"/>
  <c r="Q205" i="7"/>
  <c r="Q101" i="1" s="1"/>
  <c r="W205" i="7"/>
  <c r="V205" i="7"/>
  <c r="W221" i="7"/>
  <c r="X221" i="7"/>
  <c r="U221" i="7"/>
  <c r="O221" i="7"/>
  <c r="P221" i="7"/>
  <c r="P117" i="1" s="1"/>
  <c r="Q221" i="7"/>
  <c r="Q117" i="1" s="1"/>
  <c r="R221" i="7"/>
  <c r="S221" i="7"/>
  <c r="T221" i="7"/>
  <c r="V221" i="7"/>
  <c r="W213" i="7"/>
  <c r="X213" i="7"/>
  <c r="U213" i="7"/>
  <c r="O213" i="7"/>
  <c r="P213" i="7"/>
  <c r="Q213" i="7"/>
  <c r="R213" i="7"/>
  <c r="S213" i="7"/>
  <c r="T213" i="7"/>
  <c r="V213" i="7"/>
  <c r="S225" i="7"/>
  <c r="T225" i="7"/>
  <c r="O209" i="7"/>
  <c r="O105" i="1" s="1"/>
  <c r="P209" i="7"/>
  <c r="Q209" i="7"/>
  <c r="R209" i="7"/>
  <c r="S209" i="7"/>
  <c r="T209" i="7"/>
  <c r="U209" i="7"/>
  <c r="V209" i="7"/>
  <c r="W209" i="7"/>
  <c r="X209" i="7"/>
  <c r="O222" i="7"/>
  <c r="P222" i="7"/>
  <c r="Q222" i="7"/>
  <c r="R222" i="7"/>
  <c r="S222" i="7"/>
  <c r="T222" i="7"/>
  <c r="U222" i="7"/>
  <c r="V222" i="7"/>
  <c r="W222" i="7"/>
  <c r="X222" i="7"/>
  <c r="R206" i="7"/>
  <c r="O214" i="7"/>
  <c r="O110" i="1" s="1"/>
  <c r="P214" i="7"/>
  <c r="P110" i="1" s="1"/>
  <c r="Q214" i="7"/>
  <c r="Q110" i="1" s="1"/>
  <c r="R214" i="7"/>
  <c r="S214" i="7"/>
  <c r="T214" i="7"/>
  <c r="U214" i="7"/>
  <c r="V214" i="7"/>
  <c r="W214" i="7"/>
  <c r="X214" i="7"/>
  <c r="U205" i="7"/>
  <c r="AE180" i="7"/>
  <c r="AF180" i="7"/>
  <c r="AG180" i="7"/>
  <c r="AD180" i="7"/>
  <c r="AH180" i="7"/>
  <c r="AB180" i="7"/>
  <c r="AJ180" i="7"/>
  <c r="AC180" i="7"/>
  <c r="AI180" i="7"/>
  <c r="N187" i="7"/>
  <c r="U187" i="7" s="1"/>
  <c r="N168" i="7"/>
  <c r="N151" i="7"/>
  <c r="AE201" i="7"/>
  <c r="AF201" i="7"/>
  <c r="AG201" i="7"/>
  <c r="AJ201" i="7"/>
  <c r="AB201" i="7"/>
  <c r="AC201" i="7"/>
  <c r="AD201" i="7"/>
  <c r="AH201" i="7"/>
  <c r="AI201" i="7"/>
  <c r="AE164" i="7"/>
  <c r="AF164" i="7"/>
  <c r="AG164" i="7"/>
  <c r="AJ164" i="7"/>
  <c r="AD164" i="7"/>
  <c r="AB164" i="7"/>
  <c r="AH164" i="7"/>
  <c r="AC164" i="7"/>
  <c r="AI164" i="7"/>
  <c r="AC192" i="7"/>
  <c r="AD192" i="7"/>
  <c r="AI192" i="7"/>
  <c r="AJ192" i="7"/>
  <c r="AB192" i="7"/>
  <c r="AA192" i="7"/>
  <c r="AH192" i="7"/>
  <c r="AE192" i="7"/>
  <c r="AF192" i="7"/>
  <c r="AG192" i="7"/>
  <c r="Z163" i="7"/>
  <c r="C34" i="2"/>
  <c r="D34" i="2" s="1"/>
  <c r="Z228" i="7"/>
  <c r="AA228" i="7" s="1"/>
  <c r="B33" i="2" s="1"/>
  <c r="C23" i="2"/>
  <c r="D23" i="2" s="1"/>
  <c r="N186" i="7"/>
  <c r="N167" i="7"/>
  <c r="N150" i="7"/>
  <c r="AB178" i="7"/>
  <c r="AG178" i="7"/>
  <c r="AH178" i="7"/>
  <c r="AI178" i="7"/>
  <c r="AF178" i="7"/>
  <c r="AJ178" i="7"/>
  <c r="AC178" i="7"/>
  <c r="AD178" i="7"/>
  <c r="AE178" i="7"/>
  <c r="AF202" i="7"/>
  <c r="AA202" i="7"/>
  <c r="AG202" i="7"/>
  <c r="AB202" i="7"/>
  <c r="AC202" i="7"/>
  <c r="AE202" i="7"/>
  <c r="AJ202" i="7"/>
  <c r="AH202" i="7"/>
  <c r="AI202" i="7"/>
  <c r="AD202" i="7"/>
  <c r="N166" i="7"/>
  <c r="N149" i="7"/>
  <c r="AB162" i="7"/>
  <c r="AG162" i="7"/>
  <c r="AH162" i="7"/>
  <c r="AI162" i="7"/>
  <c r="AJ162" i="7"/>
  <c r="AF162" i="7"/>
  <c r="AC162" i="7"/>
  <c r="AD162" i="7"/>
  <c r="AE162" i="7"/>
  <c r="C28" i="2"/>
  <c r="D28" i="2" s="1"/>
  <c r="AB194" i="7"/>
  <c r="AG194" i="7"/>
  <c r="AH194" i="7"/>
  <c r="AI194" i="7"/>
  <c r="AD194" i="7"/>
  <c r="AF194" i="7"/>
  <c r="AJ194" i="7"/>
  <c r="AC194" i="7"/>
  <c r="AE194" i="7"/>
  <c r="Z205" i="7"/>
  <c r="AD205" i="7" s="1"/>
  <c r="N184" i="7"/>
  <c r="N165" i="7"/>
  <c r="N200" i="7"/>
  <c r="AG220" i="7"/>
  <c r="AC160" i="7"/>
  <c r="AD160" i="7"/>
  <c r="AI160" i="7"/>
  <c r="AJ160" i="7"/>
  <c r="AB160" i="7"/>
  <c r="AE160" i="7"/>
  <c r="AF160" i="7"/>
  <c r="AG160" i="7"/>
  <c r="AH160" i="7"/>
  <c r="C33" i="2"/>
  <c r="D33" i="2" s="1"/>
  <c r="Z227" i="7"/>
  <c r="AF227" i="7" s="1"/>
  <c r="Z216" i="7"/>
  <c r="AA216" i="7" s="1"/>
  <c r="B21" i="2" s="1"/>
  <c r="N183" i="7"/>
  <c r="N164" i="7"/>
  <c r="AB191" i="7"/>
  <c r="AC191" i="7"/>
  <c r="AD191" i="7"/>
  <c r="AH191" i="7"/>
  <c r="AI191" i="7"/>
  <c r="AJ191" i="7"/>
  <c r="AF191" i="7"/>
  <c r="AE191" i="7"/>
  <c r="AG191" i="7"/>
  <c r="AB159" i="7"/>
  <c r="AC159" i="7"/>
  <c r="AD159" i="7"/>
  <c r="AG159" i="7"/>
  <c r="AH159" i="7"/>
  <c r="AA159" i="7"/>
  <c r="AI159" i="7"/>
  <c r="AF159" i="7"/>
  <c r="AJ159" i="7"/>
  <c r="AE159" i="7"/>
  <c r="C27" i="2"/>
  <c r="D27" i="2" s="1"/>
  <c r="Z221" i="7"/>
  <c r="AB221" i="7" s="1"/>
  <c r="N182" i="7"/>
  <c r="N163" i="7"/>
  <c r="Z222" i="7"/>
  <c r="AE222" i="7" s="1"/>
  <c r="AD217" i="7"/>
  <c r="AE174" i="7"/>
  <c r="AF174" i="7"/>
  <c r="AB174" i="7"/>
  <c r="AC174" i="7"/>
  <c r="AD174" i="7"/>
  <c r="AG174" i="7"/>
  <c r="AH174" i="7"/>
  <c r="AI174" i="7"/>
  <c r="AJ174" i="7"/>
  <c r="AE158" i="7"/>
  <c r="AF158" i="7"/>
  <c r="AB158" i="7"/>
  <c r="AJ158" i="7"/>
  <c r="AG158" i="7"/>
  <c r="AC158" i="7"/>
  <c r="AD158" i="7"/>
  <c r="AH158" i="7"/>
  <c r="AI158" i="7"/>
  <c r="N181" i="7"/>
  <c r="N162" i="7"/>
  <c r="AD189" i="7"/>
  <c r="AE189" i="7"/>
  <c r="AF189" i="7"/>
  <c r="AJ189" i="7"/>
  <c r="AB189" i="7"/>
  <c r="AC189" i="7"/>
  <c r="AH189" i="7"/>
  <c r="AG189" i="7"/>
  <c r="AI189" i="7"/>
  <c r="AB151" i="7"/>
  <c r="AC151" i="7"/>
  <c r="AF151" i="7"/>
  <c r="AG151" i="7"/>
  <c r="AH151" i="7"/>
  <c r="AE151" i="7"/>
  <c r="AD151" i="7"/>
  <c r="AI151" i="7"/>
  <c r="AJ151" i="7"/>
  <c r="N180" i="7"/>
  <c r="N161" i="7"/>
  <c r="C26" i="2"/>
  <c r="D26" i="2" s="1"/>
  <c r="AD150" i="7"/>
  <c r="AE150" i="7"/>
  <c r="AJ150" i="7"/>
  <c r="AH150" i="7"/>
  <c r="AG150" i="7"/>
  <c r="AI150" i="7"/>
  <c r="AF150" i="7"/>
  <c r="AC150" i="7"/>
  <c r="AB150" i="7"/>
  <c r="N178" i="7"/>
  <c r="N160" i="7"/>
  <c r="AC149" i="7"/>
  <c r="AD149" i="7"/>
  <c r="AE149" i="7"/>
  <c r="AH149" i="7"/>
  <c r="AI149" i="7"/>
  <c r="AJ149" i="7"/>
  <c r="AB149" i="7"/>
  <c r="AF149" i="7"/>
  <c r="N176" i="7"/>
  <c r="N159" i="7"/>
  <c r="AG215" i="7"/>
  <c r="AH215" i="7"/>
  <c r="AA215" i="7"/>
  <c r="B20" i="2" s="1"/>
  <c r="AB215" i="7"/>
  <c r="AC215" i="7"/>
  <c r="AD215" i="7"/>
  <c r="AJ215" i="7"/>
  <c r="AF215" i="7"/>
  <c r="AE215" i="7"/>
  <c r="AI215" i="7"/>
  <c r="AF187" i="7"/>
  <c r="AG187" i="7"/>
  <c r="AH187" i="7"/>
  <c r="AB187" i="7"/>
  <c r="AC187" i="7"/>
  <c r="AD187" i="7"/>
  <c r="AJ187" i="7"/>
  <c r="AE187" i="7"/>
  <c r="AI187" i="7"/>
  <c r="AI153" i="7"/>
  <c r="AJ153" i="7"/>
  <c r="AA153" i="7"/>
  <c r="AD153" i="7"/>
  <c r="AE153" i="7"/>
  <c r="AF153" i="7"/>
  <c r="AB153" i="7"/>
  <c r="AC153" i="7"/>
  <c r="AG153" i="7"/>
  <c r="AH153" i="7"/>
  <c r="Z214" i="7"/>
  <c r="AC214" i="7" s="1"/>
  <c r="Z148" i="7"/>
  <c r="N148" i="7"/>
  <c r="N193" i="7"/>
  <c r="N174" i="7"/>
  <c r="N158" i="7"/>
  <c r="Z185" i="7"/>
  <c r="Z169" i="7"/>
  <c r="Z152" i="7"/>
  <c r="Z230" i="7"/>
  <c r="AD230" i="7" s="1"/>
  <c r="Z219" i="7"/>
  <c r="AF219" i="7" s="1"/>
  <c r="N192" i="7"/>
  <c r="N173" i="7"/>
  <c r="N157" i="7"/>
  <c r="N120" i="1"/>
  <c r="AG172" i="7"/>
  <c r="AH172" i="7"/>
  <c r="AC172" i="7"/>
  <c r="AD172" i="7"/>
  <c r="AA172" i="7"/>
  <c r="AE172" i="7"/>
  <c r="AJ172" i="7"/>
  <c r="AB172" i="7"/>
  <c r="AF172" i="7"/>
  <c r="AI172" i="7"/>
  <c r="AF171" i="7"/>
  <c r="AG171" i="7"/>
  <c r="AH171" i="7"/>
  <c r="AD171" i="7"/>
  <c r="AE171" i="7"/>
  <c r="AB171" i="7"/>
  <c r="AC171" i="7"/>
  <c r="AI171" i="7"/>
  <c r="AJ171" i="7"/>
  <c r="Z212" i="7"/>
  <c r="C30" i="2"/>
  <c r="D30" i="2" s="1"/>
  <c r="Z208" i="7"/>
  <c r="AC208" i="7" s="1"/>
  <c r="N191" i="7"/>
  <c r="N172" i="7"/>
  <c r="N156" i="7"/>
  <c r="AD173" i="7"/>
  <c r="AE173" i="7"/>
  <c r="AF173" i="7"/>
  <c r="AJ173" i="7"/>
  <c r="AC173" i="7"/>
  <c r="AA173" i="7"/>
  <c r="AG173" i="7"/>
  <c r="AH173" i="7"/>
  <c r="AI173" i="7"/>
  <c r="AB173" i="7"/>
  <c r="C32" i="2"/>
  <c r="D32" i="2" s="1"/>
  <c r="AF155" i="7"/>
  <c r="AG155" i="7"/>
  <c r="AH155" i="7"/>
  <c r="AJ155" i="7"/>
  <c r="AE155" i="7"/>
  <c r="AC155" i="7"/>
  <c r="AD155" i="7"/>
  <c r="AB155" i="7"/>
  <c r="AI155" i="7"/>
  <c r="C31" i="2"/>
  <c r="AI170" i="7"/>
  <c r="AJ170" i="7"/>
  <c r="AE170" i="7"/>
  <c r="AF170" i="7"/>
  <c r="AC170" i="7"/>
  <c r="AD170" i="7"/>
  <c r="AH170" i="7"/>
  <c r="AG170" i="7"/>
  <c r="AB170" i="7"/>
  <c r="Z209" i="7"/>
  <c r="AD183" i="7"/>
  <c r="AE183" i="7"/>
  <c r="AJ183" i="7"/>
  <c r="AB183" i="7"/>
  <c r="AH183" i="7"/>
  <c r="AC183" i="7"/>
  <c r="AF183" i="7"/>
  <c r="AG183" i="7"/>
  <c r="AI183" i="7"/>
  <c r="AD167" i="7"/>
  <c r="AE167" i="7"/>
  <c r="AJ167" i="7"/>
  <c r="AB167" i="7"/>
  <c r="AI167" i="7"/>
  <c r="AC167" i="7"/>
  <c r="AF167" i="7"/>
  <c r="AG167" i="7"/>
  <c r="AH167" i="7"/>
  <c r="Z213" i="7"/>
  <c r="AH213" i="7" s="1"/>
  <c r="N190" i="7"/>
  <c r="N171" i="7"/>
  <c r="N155" i="7"/>
  <c r="AC182" i="7"/>
  <c r="AD182" i="7"/>
  <c r="AE182" i="7"/>
  <c r="AI182" i="7"/>
  <c r="AJ182" i="7"/>
  <c r="AH182" i="7"/>
  <c r="AF182" i="7"/>
  <c r="AG182" i="7"/>
  <c r="AB182" i="7"/>
  <c r="Z229" i="7"/>
  <c r="AH229" i="7" s="1"/>
  <c r="N189" i="7"/>
  <c r="N170" i="7"/>
  <c r="N153" i="7"/>
  <c r="AD157" i="7"/>
  <c r="AE157" i="7"/>
  <c r="AF157" i="7"/>
  <c r="AI157" i="7"/>
  <c r="AJ157" i="7"/>
  <c r="AB157" i="7"/>
  <c r="AC157" i="7"/>
  <c r="AG157" i="7"/>
  <c r="AH157" i="7"/>
  <c r="AC166" i="7"/>
  <c r="AD166" i="7"/>
  <c r="AE166" i="7"/>
  <c r="AH166" i="7"/>
  <c r="AI166" i="7"/>
  <c r="AJ166" i="7"/>
  <c r="AG166" i="7"/>
  <c r="AF166" i="7"/>
  <c r="AB166" i="7"/>
  <c r="C35" i="2"/>
  <c r="C24" i="2"/>
  <c r="AG165" i="7"/>
  <c r="AB165" i="7"/>
  <c r="AJ165" i="7"/>
  <c r="Z223" i="7"/>
  <c r="AF223" i="7" s="1"/>
  <c r="Z207" i="7"/>
  <c r="AH207" i="7" s="1"/>
  <c r="Z206" i="7"/>
  <c r="AJ206" i="7" s="1"/>
  <c r="N188" i="7"/>
  <c r="N169" i="7"/>
  <c r="N152" i="7"/>
  <c r="N116" i="1"/>
  <c r="AB226" i="7"/>
  <c r="AC226" i="7"/>
  <c r="AG226" i="7"/>
  <c r="AD226" i="7"/>
  <c r="AE226" i="7"/>
  <c r="AF226" i="7"/>
  <c r="AH226" i="7"/>
  <c r="AI226" i="7"/>
  <c r="AJ226" i="7"/>
  <c r="N122" i="1"/>
  <c r="B50" i="1"/>
  <c r="A96" i="1"/>
  <c r="A95" i="1"/>
  <c r="A51" i="1"/>
  <c r="A10" i="1"/>
  <c r="K2" i="1"/>
  <c r="L2" i="1"/>
  <c r="C2" i="1"/>
  <c r="D2" i="1"/>
  <c r="E2" i="1"/>
  <c r="G2" i="1"/>
  <c r="H2" i="1"/>
  <c r="I2" i="1"/>
  <c r="J2" i="1"/>
  <c r="B2" i="1"/>
  <c r="A7" i="1"/>
  <c r="A8" i="1"/>
  <c r="N242" i="7"/>
  <c r="A4" i="1" s="1"/>
  <c r="A4" i="2"/>
  <c r="U230" i="7"/>
  <c r="AI2" i="7"/>
  <c r="AJ2" i="7"/>
  <c r="AB2" i="7"/>
  <c r="AC2" i="7"/>
  <c r="AD2" i="7"/>
  <c r="AE2" i="7"/>
  <c r="AF2" i="7"/>
  <c r="AG2" i="7"/>
  <c r="AH2" i="7"/>
  <c r="AA2" i="7"/>
  <c r="W2" i="7"/>
  <c r="X2" i="7"/>
  <c r="P2" i="7"/>
  <c r="Q2" i="7"/>
  <c r="R2" i="7"/>
  <c r="S2" i="7"/>
  <c r="T2" i="7"/>
  <c r="U2" i="7"/>
  <c r="V2" i="7"/>
  <c r="O2" i="7"/>
  <c r="A5" i="2"/>
  <c r="K2" i="7"/>
  <c r="L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AE204" i="7" l="1"/>
  <c r="AG224" i="7"/>
  <c r="AD190" i="7"/>
  <c r="AC190" i="7"/>
  <c r="AI204" i="7"/>
  <c r="AB190" i="7"/>
  <c r="AH204" i="7"/>
  <c r="AH190" i="7"/>
  <c r="AA204" i="7"/>
  <c r="AG204" i="7"/>
  <c r="AF190" i="7"/>
  <c r="AF204" i="7"/>
  <c r="AC204" i="7"/>
  <c r="AD204" i="7"/>
  <c r="AJ204" i="7"/>
  <c r="AC224" i="7"/>
  <c r="AH224" i="7"/>
  <c r="AB224" i="7"/>
  <c r="AJ224" i="7"/>
  <c r="AF224" i="7"/>
  <c r="AD224" i="7"/>
  <c r="AE224" i="7"/>
  <c r="AA224" i="7"/>
  <c r="B29" i="2" s="1"/>
  <c r="Q37" i="1"/>
  <c r="Q14" i="10"/>
  <c r="P41" i="1"/>
  <c r="P42" i="1"/>
  <c r="P43" i="1" s="1"/>
  <c r="Q10" i="10"/>
  <c r="Q9" i="10"/>
  <c r="Q40" i="1"/>
  <c r="Q38" i="1"/>
  <c r="Q39" i="1" s="1"/>
  <c r="AF165" i="7"/>
  <c r="AG211" i="7"/>
  <c r="J52" i="1"/>
  <c r="K52" i="1"/>
  <c r="L52" i="1"/>
  <c r="L96" i="1" s="1"/>
  <c r="M52" i="1"/>
  <c r="N52" i="1"/>
  <c r="N96" i="1" s="1"/>
  <c r="O52" i="1"/>
  <c r="P52" i="1"/>
  <c r="Q52" i="1"/>
  <c r="C52" i="1"/>
  <c r="C96" i="1" s="1"/>
  <c r="D52" i="1"/>
  <c r="D96" i="1" s="1"/>
  <c r="E52" i="1"/>
  <c r="E96" i="1" s="1"/>
  <c r="G52" i="1"/>
  <c r="G96" i="1" s="1"/>
  <c r="H52" i="1"/>
  <c r="H96" i="1" s="1"/>
  <c r="I52" i="1"/>
  <c r="I96" i="1" s="1"/>
  <c r="AF220" i="7"/>
  <c r="U168" i="7"/>
  <c r="AJ220" i="7"/>
  <c r="AD195" i="7"/>
  <c r="AA220" i="7"/>
  <c r="B25" i="2" s="1"/>
  <c r="AI220" i="7"/>
  <c r="AH220" i="7"/>
  <c r="AH210" i="7"/>
  <c r="AG225" i="7"/>
  <c r="AI165" i="7"/>
  <c r="AE165" i="7"/>
  <c r="AC165" i="7"/>
  <c r="AB211" i="7"/>
  <c r="AF156" i="7"/>
  <c r="AF210" i="7"/>
  <c r="U219" i="7"/>
  <c r="AE210" i="7"/>
  <c r="AD210" i="7"/>
  <c r="AJ210" i="7"/>
  <c r="AH211" i="7"/>
  <c r="AE156" i="7"/>
  <c r="AE217" i="7"/>
  <c r="AD156" i="7"/>
  <c r="AB156" i="7"/>
  <c r="AD165" i="7"/>
  <c r="AJ221" i="7"/>
  <c r="AA221" i="7"/>
  <c r="B26" i="2" s="1"/>
  <c r="AH195" i="7"/>
  <c r="AJ214" i="7"/>
  <c r="AG186" i="7"/>
  <c r="AC186" i="7"/>
  <c r="AA225" i="7"/>
  <c r="B30" i="2" s="1"/>
  <c r="AJ225" i="7"/>
  <c r="AI225" i="7"/>
  <c r="AH225" i="7"/>
  <c r="AB186" i="7"/>
  <c r="AI186" i="7"/>
  <c r="AB225" i="7"/>
  <c r="S206" i="7"/>
  <c r="AA218" i="7"/>
  <c r="B23" i="2" s="1"/>
  <c r="AD176" i="7"/>
  <c r="AI218" i="7"/>
  <c r="AH218" i="7"/>
  <c r="AD218" i="7"/>
  <c r="AC218" i="7"/>
  <c r="AJ218" i="7"/>
  <c r="AB218" i="7"/>
  <c r="AI188" i="7"/>
  <c r="AE188" i="7"/>
  <c r="AB188" i="7"/>
  <c r="AF188" i="7"/>
  <c r="AJ188" i="7"/>
  <c r="AC225" i="7"/>
  <c r="AD188" i="7"/>
  <c r="AC188" i="7"/>
  <c r="U150" i="7"/>
  <c r="U244" i="7" s="1"/>
  <c r="AG218" i="7"/>
  <c r="AH188" i="7"/>
  <c r="AF218" i="7"/>
  <c r="AA165" i="7"/>
  <c r="AA210" i="7"/>
  <c r="B15" i="2" s="1"/>
  <c r="AC176" i="7"/>
  <c r="AD184" i="7"/>
  <c r="AA211" i="7"/>
  <c r="B16" i="2" s="1"/>
  <c r="AF225" i="7"/>
  <c r="AD211" i="7"/>
  <c r="AJ195" i="7"/>
  <c r="AE225" i="7"/>
  <c r="AI211" i="7"/>
  <c r="AE195" i="7"/>
  <c r="AH186" i="7"/>
  <c r="AF195" i="7"/>
  <c r="O109" i="1"/>
  <c r="AF186" i="7"/>
  <c r="AE186" i="7"/>
  <c r="AJ156" i="7"/>
  <c r="AJ186" i="7"/>
  <c r="AI156" i="7"/>
  <c r="AA176" i="7"/>
  <c r="AI221" i="7"/>
  <c r="AH184" i="7"/>
  <c r="AG210" i="7"/>
  <c r="AE176" i="7"/>
  <c r="AB176" i="7"/>
  <c r="AI210" i="7"/>
  <c r="AH176" i="7"/>
  <c r="U186" i="7"/>
  <c r="AG176" i="7"/>
  <c r="AF176" i="7"/>
  <c r="U149" i="7"/>
  <c r="U243" i="7" s="1"/>
  <c r="AJ176" i="7"/>
  <c r="AJ211" i="7"/>
  <c r="AD181" i="7"/>
  <c r="AJ181" i="7"/>
  <c r="AI181" i="7"/>
  <c r="W227" i="7"/>
  <c r="AC181" i="7"/>
  <c r="AB181" i="7"/>
  <c r="AG181" i="7"/>
  <c r="AH181" i="7"/>
  <c r="AF181" i="7"/>
  <c r="AD222" i="7"/>
  <c r="AC217" i="7"/>
  <c r="AC210" i="7"/>
  <c r="AG217" i="7"/>
  <c r="U163" i="7"/>
  <c r="AB217" i="7"/>
  <c r="AB203" i="7"/>
  <c r="AI217" i="7"/>
  <c r="AI203" i="7"/>
  <c r="AA217" i="7"/>
  <c r="B22" i="2" s="1"/>
  <c r="AC195" i="7"/>
  <c r="AH203" i="7"/>
  <c r="X225" i="7"/>
  <c r="AF217" i="7"/>
  <c r="AB195" i="7"/>
  <c r="AD220" i="7"/>
  <c r="V225" i="7"/>
  <c r="AG184" i="7"/>
  <c r="AC184" i="7"/>
  <c r="AB184" i="7"/>
  <c r="R218" i="7"/>
  <c r="Q218" i="7"/>
  <c r="Q114" i="1" s="1"/>
  <c r="P218" i="7"/>
  <c r="P114" i="1" s="1"/>
  <c r="O219" i="7"/>
  <c r="O115" i="1" s="1"/>
  <c r="Q105" i="1"/>
  <c r="AD161" i="7"/>
  <c r="AC161" i="7"/>
  <c r="O101" i="1"/>
  <c r="AH156" i="7"/>
  <c r="AG161" i="7"/>
  <c r="AG156" i="7"/>
  <c r="AF161" i="7"/>
  <c r="AF184" i="7"/>
  <c r="AH217" i="7"/>
  <c r="AE161" i="7"/>
  <c r="W225" i="7"/>
  <c r="AA184" i="7"/>
  <c r="AG195" i="7"/>
  <c r="AB161" i="7"/>
  <c r="AE193" i="7"/>
  <c r="AC193" i="7"/>
  <c r="S219" i="7"/>
  <c r="AF193" i="7"/>
  <c r="I122" i="1"/>
  <c r="AB193" i="7"/>
  <c r="AJ193" i="7"/>
  <c r="W212" i="7"/>
  <c r="N121" i="1"/>
  <c r="I126" i="1"/>
  <c r="U189" i="7"/>
  <c r="Q118" i="1"/>
  <c r="AJ184" i="7"/>
  <c r="AC211" i="7"/>
  <c r="AE184" i="7"/>
  <c r="AF211" i="7"/>
  <c r="O118" i="1"/>
  <c r="I115" i="1"/>
  <c r="AA222" i="7"/>
  <c r="B27" i="2" s="1"/>
  <c r="AE220" i="7"/>
  <c r="Q225" i="7"/>
  <c r="Q121" i="1" s="1"/>
  <c r="X228" i="7"/>
  <c r="X219" i="7"/>
  <c r="Q219" i="7"/>
  <c r="Q115" i="1" s="1"/>
  <c r="T219" i="7"/>
  <c r="AJ216" i="7"/>
  <c r="P219" i="7"/>
  <c r="P115" i="1" s="1"/>
  <c r="V227" i="7"/>
  <c r="W219" i="7"/>
  <c r="U227" i="7"/>
  <c r="R219" i="7"/>
  <c r="T227" i="7"/>
  <c r="V219" i="7"/>
  <c r="R227" i="7"/>
  <c r="AE227" i="7"/>
  <c r="AF203" i="7"/>
  <c r="Q227" i="7"/>
  <c r="Q123" i="1" s="1"/>
  <c r="P228" i="7"/>
  <c r="P124" i="1" s="1"/>
  <c r="P227" i="7"/>
  <c r="P123" i="1" s="1"/>
  <c r="U190" i="7"/>
  <c r="AI161" i="7"/>
  <c r="AG203" i="7"/>
  <c r="T218" i="7"/>
  <c r="P105" i="1"/>
  <c r="U201" i="7"/>
  <c r="AH161" i="7"/>
  <c r="AJ203" i="7"/>
  <c r="O117" i="1"/>
  <c r="K111" i="1"/>
  <c r="L111" i="1"/>
  <c r="M111" i="1"/>
  <c r="N111" i="1"/>
  <c r="C111" i="1"/>
  <c r="D111" i="1"/>
  <c r="B111" i="1"/>
  <c r="E111" i="1"/>
  <c r="G111" i="1"/>
  <c r="H111" i="1"/>
  <c r="I111" i="1"/>
  <c r="J111" i="1"/>
  <c r="G113" i="1"/>
  <c r="H113" i="1"/>
  <c r="I113" i="1"/>
  <c r="J113" i="1"/>
  <c r="K113" i="1"/>
  <c r="L113" i="1"/>
  <c r="M113" i="1"/>
  <c r="C113" i="1"/>
  <c r="D113" i="1"/>
  <c r="N113" i="1"/>
  <c r="E113" i="1"/>
  <c r="B113" i="1"/>
  <c r="G97" i="1"/>
  <c r="H97" i="1"/>
  <c r="I97" i="1"/>
  <c r="J97" i="1"/>
  <c r="K97" i="1"/>
  <c r="L97" i="1"/>
  <c r="M97" i="1"/>
  <c r="C97" i="1"/>
  <c r="D97" i="1"/>
  <c r="N97" i="1"/>
  <c r="E97" i="1"/>
  <c r="B97" i="1"/>
  <c r="T229" i="7"/>
  <c r="N125" i="1"/>
  <c r="J96" i="1"/>
  <c r="K96" i="1"/>
  <c r="M96" i="1"/>
  <c r="B52" i="1"/>
  <c r="B96" i="1" s="1"/>
  <c r="P212" i="7"/>
  <c r="O212" i="7"/>
  <c r="C99" i="1"/>
  <c r="D99" i="1"/>
  <c r="E99" i="1"/>
  <c r="G99" i="1"/>
  <c r="H99" i="1"/>
  <c r="I99" i="1"/>
  <c r="N99" i="1"/>
  <c r="J99" i="1"/>
  <c r="K99" i="1"/>
  <c r="L99" i="1"/>
  <c r="M99" i="1"/>
  <c r="B99" i="1"/>
  <c r="M98" i="1"/>
  <c r="N98" i="1"/>
  <c r="C98" i="1"/>
  <c r="D98" i="1"/>
  <c r="E98" i="1"/>
  <c r="G98" i="1"/>
  <c r="H98" i="1"/>
  <c r="I98" i="1"/>
  <c r="J98" i="1"/>
  <c r="K98" i="1"/>
  <c r="L98" i="1"/>
  <c r="B98" i="1"/>
  <c r="O228" i="7"/>
  <c r="O124" i="1" s="1"/>
  <c r="N124" i="1"/>
  <c r="I108" i="1"/>
  <c r="J108" i="1"/>
  <c r="K108" i="1"/>
  <c r="L108" i="1"/>
  <c r="M108" i="1"/>
  <c r="B108" i="1"/>
  <c r="N108" i="1"/>
  <c r="C108" i="1"/>
  <c r="D108" i="1"/>
  <c r="E108" i="1"/>
  <c r="G108" i="1"/>
  <c r="H108" i="1"/>
  <c r="AD219" i="7"/>
  <c r="S227" i="7"/>
  <c r="V212" i="7"/>
  <c r="W228" i="7"/>
  <c r="M106" i="1"/>
  <c r="N106" i="1"/>
  <c r="B106" i="1"/>
  <c r="C106" i="1"/>
  <c r="D106" i="1"/>
  <c r="E106" i="1"/>
  <c r="G106" i="1"/>
  <c r="H106" i="1"/>
  <c r="I106" i="1"/>
  <c r="J106" i="1"/>
  <c r="K106" i="1"/>
  <c r="L106" i="1"/>
  <c r="P118" i="1"/>
  <c r="O227" i="7"/>
  <c r="O123" i="1" s="1"/>
  <c r="U212" i="7"/>
  <c r="T228" i="7"/>
  <c r="S207" i="7"/>
  <c r="K103" i="1"/>
  <c r="L103" i="1"/>
  <c r="M103" i="1"/>
  <c r="B103" i="1"/>
  <c r="N103" i="1"/>
  <c r="C103" i="1"/>
  <c r="D103" i="1"/>
  <c r="E103" i="1"/>
  <c r="G103" i="1"/>
  <c r="H103" i="1"/>
  <c r="I103" i="1"/>
  <c r="J103" i="1"/>
  <c r="U206" i="7"/>
  <c r="D102" i="1"/>
  <c r="E102" i="1"/>
  <c r="B102" i="1"/>
  <c r="G102" i="1"/>
  <c r="N102" i="1"/>
  <c r="H102" i="1"/>
  <c r="I102" i="1"/>
  <c r="J102" i="1"/>
  <c r="Q102" i="1"/>
  <c r="K102" i="1"/>
  <c r="L102" i="1"/>
  <c r="M102" i="1"/>
  <c r="C102" i="1"/>
  <c r="AJ200" i="7"/>
  <c r="T212" i="7"/>
  <c r="R223" i="7"/>
  <c r="N119" i="1"/>
  <c r="I100" i="1"/>
  <c r="J100" i="1"/>
  <c r="K100" i="1"/>
  <c r="L100" i="1"/>
  <c r="M100" i="1"/>
  <c r="N100" i="1"/>
  <c r="C100" i="1"/>
  <c r="D100" i="1"/>
  <c r="E100" i="1"/>
  <c r="G100" i="1"/>
  <c r="H100" i="1"/>
  <c r="B100" i="1"/>
  <c r="AE203" i="7"/>
  <c r="AD200" i="7"/>
  <c r="W223" i="7"/>
  <c r="S212" i="7"/>
  <c r="R185" i="7"/>
  <c r="R228" i="7"/>
  <c r="C112" i="1"/>
  <c r="D112" i="1"/>
  <c r="E112" i="1"/>
  <c r="G112" i="1"/>
  <c r="H112" i="1"/>
  <c r="I112" i="1"/>
  <c r="J112" i="1"/>
  <c r="K112" i="1"/>
  <c r="N112" i="1"/>
  <c r="L112" i="1"/>
  <c r="B112" i="1"/>
  <c r="M112" i="1"/>
  <c r="AD203" i="7"/>
  <c r="AA200" i="7"/>
  <c r="R225" i="7"/>
  <c r="R212" i="7"/>
  <c r="O185" i="7"/>
  <c r="Q228" i="7"/>
  <c r="Q124" i="1" s="1"/>
  <c r="R208" i="7"/>
  <c r="C104" i="1"/>
  <c r="B104" i="1"/>
  <c r="D104" i="1"/>
  <c r="E104" i="1"/>
  <c r="G104" i="1"/>
  <c r="H104" i="1"/>
  <c r="I104" i="1"/>
  <c r="J104" i="1"/>
  <c r="K104" i="1"/>
  <c r="N104" i="1"/>
  <c r="L104" i="1"/>
  <c r="M104" i="1"/>
  <c r="AC203" i="7"/>
  <c r="AC200" i="7"/>
  <c r="Q212" i="7"/>
  <c r="AE190" i="7"/>
  <c r="AC220" i="7"/>
  <c r="AI200" i="7"/>
  <c r="U185" i="7"/>
  <c r="P225" i="7"/>
  <c r="P121" i="1" s="1"/>
  <c r="Q109" i="1"/>
  <c r="X229" i="7"/>
  <c r="U218" i="7"/>
  <c r="N114" i="1"/>
  <c r="AB220" i="7"/>
  <c r="AH200" i="7"/>
  <c r="T206" i="7"/>
  <c r="O225" i="7"/>
  <c r="O121" i="1" s="1"/>
  <c r="P109" i="1"/>
  <c r="W229" i="7"/>
  <c r="X227" i="7"/>
  <c r="R229" i="7"/>
  <c r="P206" i="7"/>
  <c r="T223" i="7"/>
  <c r="U152" i="7"/>
  <c r="O206" i="7"/>
  <c r="O102" i="1" s="1"/>
  <c r="P223" i="7"/>
  <c r="P119" i="1" s="1"/>
  <c r="S223" i="7"/>
  <c r="O223" i="7"/>
  <c r="O119" i="1" s="1"/>
  <c r="V223" i="7"/>
  <c r="Q208" i="7"/>
  <c r="AJ230" i="7"/>
  <c r="P208" i="7"/>
  <c r="AJ219" i="7"/>
  <c r="AI230" i="7"/>
  <c r="O218" i="7"/>
  <c r="O114" i="1" s="1"/>
  <c r="O208" i="7"/>
  <c r="AH219" i="7"/>
  <c r="AH230" i="7"/>
  <c r="AH193" i="7"/>
  <c r="AG200" i="7"/>
  <c r="X206" i="7"/>
  <c r="X218" i="7"/>
  <c r="U171" i="7"/>
  <c r="AG219" i="7"/>
  <c r="AE230" i="7"/>
  <c r="AJ190" i="7"/>
  <c r="AG193" i="7"/>
  <c r="AF200" i="7"/>
  <c r="W206" i="7"/>
  <c r="W218" i="7"/>
  <c r="W185" i="7"/>
  <c r="AI219" i="7"/>
  <c r="AB230" i="7"/>
  <c r="AI190" i="7"/>
  <c r="AD193" i="7"/>
  <c r="AB200" i="7"/>
  <c r="V206" i="7"/>
  <c r="V218" i="7"/>
  <c r="V229" i="7"/>
  <c r="X185" i="7"/>
  <c r="V228" i="7"/>
  <c r="AB214" i="7"/>
  <c r="AE219" i="7"/>
  <c r="Q229" i="7"/>
  <c r="Q125" i="1" s="1"/>
  <c r="P185" i="7"/>
  <c r="U228" i="7"/>
  <c r="AF168" i="7"/>
  <c r="AB229" i="7"/>
  <c r="AC168" i="7"/>
  <c r="AB168" i="7"/>
  <c r="AC205" i="7"/>
  <c r="R207" i="7"/>
  <c r="Q223" i="7"/>
  <c r="Q119" i="1" s="1"/>
  <c r="Q207" i="7"/>
  <c r="X223" i="7"/>
  <c r="U223" i="7"/>
  <c r="P207" i="7"/>
  <c r="O207" i="7"/>
  <c r="X208" i="7"/>
  <c r="AI168" i="7"/>
  <c r="X207" i="7"/>
  <c r="W208" i="7"/>
  <c r="O229" i="7"/>
  <c r="O125" i="1" s="1"/>
  <c r="AB222" i="7"/>
  <c r="AE168" i="7"/>
  <c r="W207" i="7"/>
  <c r="V208" i="7"/>
  <c r="S229" i="7"/>
  <c r="U156" i="7"/>
  <c r="AH222" i="7"/>
  <c r="AJ168" i="7"/>
  <c r="V207" i="7"/>
  <c r="U208" i="7"/>
  <c r="P229" i="7"/>
  <c r="P125" i="1" s="1"/>
  <c r="V185" i="7"/>
  <c r="U167" i="7"/>
  <c r="AD168" i="7"/>
  <c r="U229" i="7"/>
  <c r="U207" i="7"/>
  <c r="T208" i="7"/>
  <c r="T185" i="7"/>
  <c r="AH168" i="7"/>
  <c r="T207" i="7"/>
  <c r="S208" i="7"/>
  <c r="S185" i="7"/>
  <c r="U164" i="7"/>
  <c r="U183" i="7"/>
  <c r="AG229" i="7"/>
  <c r="U169" i="7"/>
  <c r="AF230" i="7"/>
  <c r="AC222" i="7"/>
  <c r="AC230" i="7"/>
  <c r="AJ222" i="7"/>
  <c r="AF207" i="7"/>
  <c r="AI222" i="7"/>
  <c r="U158" i="7"/>
  <c r="AB208" i="7"/>
  <c r="AB213" i="7"/>
  <c r="U161" i="7"/>
  <c r="AG213" i="7"/>
  <c r="V193" i="7"/>
  <c r="R193" i="7"/>
  <c r="X193" i="7"/>
  <c r="T193" i="7"/>
  <c r="P193" i="7"/>
  <c r="Q193" i="7"/>
  <c r="O193" i="7"/>
  <c r="S193" i="7"/>
  <c r="W193" i="7"/>
  <c r="P148" i="7"/>
  <c r="X148" i="7"/>
  <c r="W148" i="7"/>
  <c r="T148" i="7"/>
  <c r="R148" i="7"/>
  <c r="V148" i="7"/>
  <c r="O148" i="7"/>
  <c r="S148" i="7"/>
  <c r="Q148" i="7"/>
  <c r="V159" i="7"/>
  <c r="S159" i="7"/>
  <c r="W159" i="7"/>
  <c r="X159" i="7"/>
  <c r="O159" i="7"/>
  <c r="T159" i="7"/>
  <c r="P159" i="7"/>
  <c r="Q159" i="7"/>
  <c r="R159" i="7"/>
  <c r="U159" i="7"/>
  <c r="S215" i="7"/>
  <c r="T215" i="7"/>
  <c r="Q215" i="7"/>
  <c r="U215" i="7"/>
  <c r="V215" i="7"/>
  <c r="W215" i="7"/>
  <c r="X215" i="7"/>
  <c r="O215" i="7"/>
  <c r="P215" i="7"/>
  <c r="R215" i="7"/>
  <c r="AA155" i="7"/>
  <c r="U155" i="7"/>
  <c r="W224" i="7"/>
  <c r="L120" i="1" s="1"/>
  <c r="O224" i="7"/>
  <c r="P224" i="7"/>
  <c r="Q224" i="7"/>
  <c r="R224" i="7"/>
  <c r="G120" i="1" s="1"/>
  <c r="S224" i="7"/>
  <c r="H120" i="1" s="1"/>
  <c r="T224" i="7"/>
  <c r="I120" i="1" s="1"/>
  <c r="U224" i="7"/>
  <c r="J120" i="1" s="1"/>
  <c r="V224" i="7"/>
  <c r="K120" i="1" s="1"/>
  <c r="X224" i="7"/>
  <c r="M120" i="1" s="1"/>
  <c r="O176" i="7"/>
  <c r="P176" i="7"/>
  <c r="U176" i="7"/>
  <c r="Q176" i="7"/>
  <c r="R176" i="7"/>
  <c r="S176" i="7"/>
  <c r="T176" i="7"/>
  <c r="V176" i="7"/>
  <c r="W176" i="7"/>
  <c r="X176" i="7"/>
  <c r="X200" i="7"/>
  <c r="U200" i="7"/>
  <c r="V200" i="7"/>
  <c r="W200" i="7"/>
  <c r="O200" i="7"/>
  <c r="P200" i="7"/>
  <c r="Q200" i="7"/>
  <c r="R200" i="7"/>
  <c r="S200" i="7"/>
  <c r="T200" i="7"/>
  <c r="T157" i="7"/>
  <c r="P157" i="7"/>
  <c r="W157" i="7"/>
  <c r="X157" i="7"/>
  <c r="V157" i="7"/>
  <c r="S157" i="7"/>
  <c r="R157" i="7"/>
  <c r="O157" i="7"/>
  <c r="Q157" i="7"/>
  <c r="S194" i="7"/>
  <c r="R194" i="7"/>
  <c r="V194" i="7"/>
  <c r="X194" i="7"/>
  <c r="T194" i="7"/>
  <c r="Q194" i="7"/>
  <c r="W194" i="7"/>
  <c r="P194" i="7"/>
  <c r="O194" i="7"/>
  <c r="R163" i="7"/>
  <c r="V163" i="7"/>
  <c r="Q163" i="7"/>
  <c r="P163" i="7"/>
  <c r="X163" i="7"/>
  <c r="O163" i="7"/>
  <c r="W163" i="7"/>
  <c r="T163" i="7"/>
  <c r="S163" i="7"/>
  <c r="O165" i="7"/>
  <c r="R165" i="7"/>
  <c r="P165" i="7"/>
  <c r="Q165" i="7"/>
  <c r="X165" i="7"/>
  <c r="S165" i="7"/>
  <c r="T165" i="7"/>
  <c r="U165" i="7"/>
  <c r="V165" i="7"/>
  <c r="W165" i="7"/>
  <c r="O217" i="7"/>
  <c r="P217" i="7"/>
  <c r="Q217" i="7"/>
  <c r="Q113" i="1" s="1"/>
  <c r="R217" i="7"/>
  <c r="S217" i="7"/>
  <c r="T217" i="7"/>
  <c r="U217" i="7"/>
  <c r="V217" i="7"/>
  <c r="W217" i="7"/>
  <c r="X217" i="7"/>
  <c r="R201" i="7"/>
  <c r="V201" i="7"/>
  <c r="S201" i="7"/>
  <c r="T201" i="7"/>
  <c r="P201" i="7"/>
  <c r="X201" i="7"/>
  <c r="O201" i="7"/>
  <c r="W201" i="7"/>
  <c r="Q201" i="7"/>
  <c r="Q97" i="1" s="1"/>
  <c r="AA180" i="7"/>
  <c r="U180" i="7"/>
  <c r="AI214" i="7"/>
  <c r="X153" i="7"/>
  <c r="P153" i="7"/>
  <c r="Q153" i="7"/>
  <c r="R153" i="7"/>
  <c r="S153" i="7"/>
  <c r="U153" i="7"/>
  <c r="T153" i="7"/>
  <c r="V153" i="7"/>
  <c r="W153" i="7"/>
  <c r="O153" i="7"/>
  <c r="W173" i="7"/>
  <c r="S173" i="7"/>
  <c r="X173" i="7"/>
  <c r="O173" i="7"/>
  <c r="P173" i="7"/>
  <c r="R173" i="7"/>
  <c r="Q173" i="7"/>
  <c r="T173" i="7"/>
  <c r="U173" i="7"/>
  <c r="V173" i="7"/>
  <c r="S182" i="7"/>
  <c r="W182" i="7"/>
  <c r="X182" i="7"/>
  <c r="R182" i="7"/>
  <c r="O182" i="7"/>
  <c r="V182" i="7"/>
  <c r="Q182" i="7"/>
  <c r="P182" i="7"/>
  <c r="T182" i="7"/>
  <c r="O184" i="7"/>
  <c r="R184" i="7"/>
  <c r="P184" i="7"/>
  <c r="Q184" i="7"/>
  <c r="S184" i="7"/>
  <c r="T184" i="7"/>
  <c r="U184" i="7"/>
  <c r="V184" i="7"/>
  <c r="W184" i="7"/>
  <c r="X184" i="7"/>
  <c r="T149" i="7"/>
  <c r="T243" i="7" s="1"/>
  <c r="V149" i="7"/>
  <c r="V243" i="7" s="1"/>
  <c r="R149" i="7"/>
  <c r="R243" i="7" s="1"/>
  <c r="X149" i="7"/>
  <c r="X243" i="7" s="1"/>
  <c r="W149" i="7"/>
  <c r="W243" i="7" s="1"/>
  <c r="Q149" i="7"/>
  <c r="Q243" i="7" s="1"/>
  <c r="P149" i="7"/>
  <c r="P243" i="7" s="1"/>
  <c r="O149" i="7"/>
  <c r="S149" i="7"/>
  <c r="S243" i="7" s="1"/>
  <c r="O150" i="7"/>
  <c r="X150" i="7"/>
  <c r="X244" i="7" s="1"/>
  <c r="R150" i="7"/>
  <c r="R244" i="7" s="1"/>
  <c r="V150" i="7"/>
  <c r="V244" i="7" s="1"/>
  <c r="T150" i="7"/>
  <c r="T244" i="7" s="1"/>
  <c r="W150" i="7"/>
  <c r="W244" i="7" s="1"/>
  <c r="S150" i="7"/>
  <c r="S244" i="7" s="1"/>
  <c r="Q150" i="7"/>
  <c r="Q244" i="7" s="1"/>
  <c r="P150" i="7"/>
  <c r="P244" i="7" s="1"/>
  <c r="W178" i="7"/>
  <c r="Q178" i="7"/>
  <c r="S178" i="7"/>
  <c r="V178" i="7"/>
  <c r="R178" i="7"/>
  <c r="O178" i="7"/>
  <c r="T178" i="7"/>
  <c r="P178" i="7"/>
  <c r="X178" i="7"/>
  <c r="AH214" i="7"/>
  <c r="AE223" i="7"/>
  <c r="R170" i="7"/>
  <c r="V170" i="7"/>
  <c r="W170" i="7"/>
  <c r="S170" i="7"/>
  <c r="T170" i="7"/>
  <c r="P170" i="7"/>
  <c r="Q170" i="7"/>
  <c r="O170" i="7"/>
  <c r="X170" i="7"/>
  <c r="R156" i="7"/>
  <c r="X156" i="7"/>
  <c r="V156" i="7"/>
  <c r="T156" i="7"/>
  <c r="W156" i="7"/>
  <c r="Q156" i="7"/>
  <c r="O156" i="7"/>
  <c r="S156" i="7"/>
  <c r="P156" i="7"/>
  <c r="R192" i="7"/>
  <c r="O192" i="7"/>
  <c r="T192" i="7"/>
  <c r="P192" i="7"/>
  <c r="Q192" i="7"/>
  <c r="U192" i="7"/>
  <c r="V192" i="7"/>
  <c r="S192" i="7"/>
  <c r="W192" i="7"/>
  <c r="X192" i="7"/>
  <c r="O216" i="7"/>
  <c r="S216" i="7"/>
  <c r="W216" i="7"/>
  <c r="Q216" i="7"/>
  <c r="V216" i="7"/>
  <c r="T216" i="7"/>
  <c r="P216" i="7"/>
  <c r="X216" i="7"/>
  <c r="R216" i="7"/>
  <c r="W164" i="7"/>
  <c r="P164" i="7"/>
  <c r="V164" i="7"/>
  <c r="Q164" i="7"/>
  <c r="S164" i="7"/>
  <c r="T164" i="7"/>
  <c r="O164" i="7"/>
  <c r="R164" i="7"/>
  <c r="X164" i="7"/>
  <c r="T166" i="7"/>
  <c r="S166" i="7"/>
  <c r="V166" i="7"/>
  <c r="X166" i="7"/>
  <c r="Q166" i="7"/>
  <c r="P166" i="7"/>
  <c r="O166" i="7"/>
  <c r="W166" i="7"/>
  <c r="R166" i="7"/>
  <c r="S167" i="7"/>
  <c r="T167" i="7"/>
  <c r="V167" i="7"/>
  <c r="R167" i="7"/>
  <c r="O167" i="7"/>
  <c r="Q167" i="7"/>
  <c r="W167" i="7"/>
  <c r="X167" i="7"/>
  <c r="P167" i="7"/>
  <c r="AA160" i="7"/>
  <c r="U160" i="7"/>
  <c r="AA170" i="7"/>
  <c r="U170" i="7"/>
  <c r="AA181" i="7"/>
  <c r="U181" i="7"/>
  <c r="AG214" i="7"/>
  <c r="O189" i="7"/>
  <c r="X189" i="7"/>
  <c r="W189" i="7"/>
  <c r="V189" i="7"/>
  <c r="S189" i="7"/>
  <c r="T189" i="7"/>
  <c r="P189" i="7"/>
  <c r="R189" i="7"/>
  <c r="Q189" i="7"/>
  <c r="T172" i="7"/>
  <c r="U172" i="7"/>
  <c r="V172" i="7"/>
  <c r="W172" i="7"/>
  <c r="X172" i="7"/>
  <c r="Q172" i="7"/>
  <c r="S172" i="7"/>
  <c r="O172" i="7"/>
  <c r="R172" i="7"/>
  <c r="P172" i="7"/>
  <c r="O211" i="7"/>
  <c r="O107" i="1" s="1"/>
  <c r="P211" i="7"/>
  <c r="P107" i="1" s="1"/>
  <c r="Q211" i="7"/>
  <c r="Q107" i="1" s="1"/>
  <c r="R211" i="7"/>
  <c r="S211" i="7"/>
  <c r="T211" i="7"/>
  <c r="U211" i="7"/>
  <c r="V211" i="7"/>
  <c r="W211" i="7"/>
  <c r="X211" i="7"/>
  <c r="X183" i="7"/>
  <c r="T183" i="7"/>
  <c r="W183" i="7"/>
  <c r="V183" i="7"/>
  <c r="Q183" i="7"/>
  <c r="S183" i="7"/>
  <c r="R183" i="7"/>
  <c r="P183" i="7"/>
  <c r="O183" i="7"/>
  <c r="T186" i="7"/>
  <c r="Q186" i="7"/>
  <c r="R186" i="7"/>
  <c r="V186" i="7"/>
  <c r="P186" i="7"/>
  <c r="X186" i="7"/>
  <c r="O186" i="7"/>
  <c r="W186" i="7"/>
  <c r="S186" i="7"/>
  <c r="AA166" i="7"/>
  <c r="U166" i="7"/>
  <c r="AA151" i="7"/>
  <c r="U151" i="7"/>
  <c r="AA178" i="7"/>
  <c r="U178" i="7"/>
  <c r="AA195" i="7"/>
  <c r="U195" i="7"/>
  <c r="S191" i="7"/>
  <c r="W191" i="7"/>
  <c r="R191" i="7"/>
  <c r="O191" i="7"/>
  <c r="Q191" i="7"/>
  <c r="P191" i="7"/>
  <c r="V191" i="7"/>
  <c r="X191" i="7"/>
  <c r="T191" i="7"/>
  <c r="R161" i="7"/>
  <c r="X161" i="7"/>
  <c r="S161" i="7"/>
  <c r="W161" i="7"/>
  <c r="Q161" i="7"/>
  <c r="V161" i="7"/>
  <c r="T161" i="7"/>
  <c r="P161" i="7"/>
  <c r="O161" i="7"/>
  <c r="Q180" i="7"/>
  <c r="X180" i="7"/>
  <c r="O180" i="7"/>
  <c r="W180" i="7"/>
  <c r="S180" i="7"/>
  <c r="V180" i="7"/>
  <c r="T180" i="7"/>
  <c r="R180" i="7"/>
  <c r="P180" i="7"/>
  <c r="AA226" i="7"/>
  <c r="B31" i="2" s="1"/>
  <c r="U226" i="7"/>
  <c r="AA194" i="7"/>
  <c r="U194" i="7"/>
  <c r="Q220" i="7"/>
  <c r="R220" i="7"/>
  <c r="G116" i="1" s="1"/>
  <c r="S220" i="7"/>
  <c r="H116" i="1" s="1"/>
  <c r="T220" i="7"/>
  <c r="I116" i="1" s="1"/>
  <c r="U220" i="7"/>
  <c r="J116" i="1" s="1"/>
  <c r="V220" i="7"/>
  <c r="K116" i="1" s="1"/>
  <c r="W220" i="7"/>
  <c r="L116" i="1" s="1"/>
  <c r="X220" i="7"/>
  <c r="M116" i="1" s="1"/>
  <c r="O220" i="7"/>
  <c r="P220" i="7"/>
  <c r="U202" i="7"/>
  <c r="V202" i="7"/>
  <c r="W202" i="7"/>
  <c r="X202" i="7"/>
  <c r="O202" i="7"/>
  <c r="P202" i="7"/>
  <c r="Q202" i="7"/>
  <c r="R202" i="7"/>
  <c r="S202" i="7"/>
  <c r="T202" i="7"/>
  <c r="V226" i="7"/>
  <c r="T226" i="7"/>
  <c r="S226" i="7"/>
  <c r="R226" i="7"/>
  <c r="W226" i="7"/>
  <c r="P226" i="7"/>
  <c r="P122" i="1" s="1"/>
  <c r="O226" i="7"/>
  <c r="O122" i="1" s="1"/>
  <c r="Q226" i="7"/>
  <c r="Q122" i="1" s="1"/>
  <c r="X226" i="7"/>
  <c r="O203" i="7"/>
  <c r="O99" i="1" s="1"/>
  <c r="P203" i="7"/>
  <c r="Q203" i="7"/>
  <c r="R203" i="7"/>
  <c r="S203" i="7"/>
  <c r="T203" i="7"/>
  <c r="U203" i="7"/>
  <c r="V203" i="7"/>
  <c r="W203" i="7"/>
  <c r="X203" i="7"/>
  <c r="AA174" i="7"/>
  <c r="U174" i="7"/>
  <c r="AA188" i="7"/>
  <c r="U188" i="7"/>
  <c r="AJ229" i="7"/>
  <c r="R152" i="7"/>
  <c r="W152" i="7"/>
  <c r="P152" i="7"/>
  <c r="O152" i="7"/>
  <c r="V152" i="7"/>
  <c r="T152" i="7"/>
  <c r="X152" i="7"/>
  <c r="Q152" i="7"/>
  <c r="S152" i="7"/>
  <c r="V151" i="7"/>
  <c r="Q151" i="7"/>
  <c r="W151" i="7"/>
  <c r="P151" i="7"/>
  <c r="S151" i="7"/>
  <c r="X151" i="7"/>
  <c r="R151" i="7"/>
  <c r="O151" i="7"/>
  <c r="T151" i="7"/>
  <c r="P195" i="7"/>
  <c r="V195" i="7"/>
  <c r="O195" i="7"/>
  <c r="X195" i="7"/>
  <c r="W195" i="7"/>
  <c r="Q195" i="7"/>
  <c r="T195" i="7"/>
  <c r="S195" i="7"/>
  <c r="R195" i="7"/>
  <c r="U148" i="7"/>
  <c r="AE229" i="7"/>
  <c r="R169" i="7"/>
  <c r="P169" i="7"/>
  <c r="Q169" i="7"/>
  <c r="X169" i="7"/>
  <c r="W169" i="7"/>
  <c r="V169" i="7"/>
  <c r="O169" i="7"/>
  <c r="S169" i="7"/>
  <c r="T169" i="7"/>
  <c r="P155" i="7"/>
  <c r="Q155" i="7"/>
  <c r="W155" i="7"/>
  <c r="T155" i="7"/>
  <c r="S155" i="7"/>
  <c r="R155" i="7"/>
  <c r="X155" i="7"/>
  <c r="V155" i="7"/>
  <c r="O155" i="7"/>
  <c r="X162" i="7"/>
  <c r="T162" i="7"/>
  <c r="V162" i="7"/>
  <c r="W162" i="7"/>
  <c r="S162" i="7"/>
  <c r="O162" i="7"/>
  <c r="R162" i="7"/>
  <c r="Q162" i="7"/>
  <c r="P162" i="7"/>
  <c r="V168" i="7"/>
  <c r="Q168" i="7"/>
  <c r="O168" i="7"/>
  <c r="X168" i="7"/>
  <c r="W168" i="7"/>
  <c r="R168" i="7"/>
  <c r="P168" i="7"/>
  <c r="T168" i="7"/>
  <c r="S168" i="7"/>
  <c r="AA162" i="7"/>
  <c r="U162" i="7"/>
  <c r="U157" i="7"/>
  <c r="U193" i="7"/>
  <c r="AG222" i="7"/>
  <c r="AF229" i="7"/>
  <c r="X188" i="7"/>
  <c r="T188" i="7"/>
  <c r="Q188" i="7"/>
  <c r="P188" i="7"/>
  <c r="S188" i="7"/>
  <c r="R188" i="7"/>
  <c r="W188" i="7"/>
  <c r="O188" i="7"/>
  <c r="V188" i="7"/>
  <c r="P171" i="7"/>
  <c r="O171" i="7"/>
  <c r="W171" i="7"/>
  <c r="S171" i="7"/>
  <c r="R171" i="7"/>
  <c r="Q171" i="7"/>
  <c r="X171" i="7"/>
  <c r="T171" i="7"/>
  <c r="V171" i="7"/>
  <c r="S181" i="7"/>
  <c r="P181" i="7"/>
  <c r="T181" i="7"/>
  <c r="R181" i="7"/>
  <c r="W181" i="7"/>
  <c r="O181" i="7"/>
  <c r="V181" i="7"/>
  <c r="X181" i="7"/>
  <c r="Q181" i="7"/>
  <c r="V187" i="7"/>
  <c r="T187" i="7"/>
  <c r="W187" i="7"/>
  <c r="X187" i="7"/>
  <c r="Q187" i="7"/>
  <c r="P187" i="7"/>
  <c r="S187" i="7"/>
  <c r="R187" i="7"/>
  <c r="O187" i="7"/>
  <c r="AA182" i="7"/>
  <c r="U182" i="7"/>
  <c r="Q204" i="7"/>
  <c r="R204" i="7"/>
  <c r="S204" i="7"/>
  <c r="T204" i="7"/>
  <c r="U204" i="7"/>
  <c r="V204" i="7"/>
  <c r="W204" i="7"/>
  <c r="X204" i="7"/>
  <c r="O204" i="7"/>
  <c r="O100" i="1" s="1"/>
  <c r="P204" i="7"/>
  <c r="AF222" i="7"/>
  <c r="AD229" i="7"/>
  <c r="R190" i="7"/>
  <c r="P190" i="7"/>
  <c r="W190" i="7"/>
  <c r="Q190" i="7"/>
  <c r="S190" i="7"/>
  <c r="T190" i="7"/>
  <c r="O190" i="7"/>
  <c r="X190" i="7"/>
  <c r="V190" i="7"/>
  <c r="U210" i="7"/>
  <c r="V210" i="7"/>
  <c r="W210" i="7"/>
  <c r="X210" i="7"/>
  <c r="O210" i="7"/>
  <c r="O106" i="1" s="1"/>
  <c r="S210" i="7"/>
  <c r="P210" i="7"/>
  <c r="Q210" i="7"/>
  <c r="Q106" i="1" s="1"/>
  <c r="R210" i="7"/>
  <c r="T210" i="7"/>
  <c r="P174" i="7"/>
  <c r="W174" i="7"/>
  <c r="O174" i="7"/>
  <c r="T174" i="7"/>
  <c r="V174" i="7"/>
  <c r="X174" i="7"/>
  <c r="Q174" i="7"/>
  <c r="S174" i="7"/>
  <c r="R174" i="7"/>
  <c r="AA191" i="7"/>
  <c r="U191" i="7"/>
  <c r="AC229" i="7"/>
  <c r="V158" i="7"/>
  <c r="P158" i="7"/>
  <c r="O158" i="7"/>
  <c r="X158" i="7"/>
  <c r="R158" i="7"/>
  <c r="T158" i="7"/>
  <c r="Q158" i="7"/>
  <c r="S158" i="7"/>
  <c r="W158" i="7"/>
  <c r="T160" i="7"/>
  <c r="P160" i="7"/>
  <c r="X160" i="7"/>
  <c r="R160" i="7"/>
  <c r="Q160" i="7"/>
  <c r="W160" i="7"/>
  <c r="O160" i="7"/>
  <c r="S160" i="7"/>
  <c r="V160" i="7"/>
  <c r="U216" i="7"/>
  <c r="AA201" i="7"/>
  <c r="AE207" i="7"/>
  <c r="AD223" i="7"/>
  <c r="AD207" i="7"/>
  <c r="AC223" i="7"/>
  <c r="AB223" i="7"/>
  <c r="AF213" i="7"/>
  <c r="AE213" i="7"/>
  <c r="AD213" i="7"/>
  <c r="AC213" i="7"/>
  <c r="D31" i="2"/>
  <c r="AA213" i="7"/>
  <c r="B18" i="2" s="1"/>
  <c r="AA229" i="7"/>
  <c r="B34" i="2" s="1"/>
  <c r="AA183" i="7"/>
  <c r="AJ213" i="7"/>
  <c r="AI229" i="7"/>
  <c r="AI213" i="7"/>
  <c r="AA157" i="7"/>
  <c r="AA156" i="7"/>
  <c r="AA161" i="7"/>
  <c r="AA171" i="7"/>
  <c r="AA187" i="7"/>
  <c r="AA219" i="7"/>
  <c r="B24" i="2" s="1"/>
  <c r="AA189" i="7"/>
  <c r="D24" i="2"/>
  <c r="AA149" i="7"/>
  <c r="AA164" i="7"/>
  <c r="AA150" i="7"/>
  <c r="AA158" i="7"/>
  <c r="AA230" i="7"/>
  <c r="B35" i="2" s="1"/>
  <c r="D35" i="2"/>
  <c r="AA168" i="7"/>
  <c r="AA186" i="7"/>
  <c r="AA190" i="7"/>
  <c r="AA167" i="7"/>
  <c r="AA193" i="7"/>
  <c r="D36" i="2"/>
  <c r="AD227" i="7"/>
  <c r="AI227" i="7"/>
  <c r="AF148" i="7"/>
  <c r="AG148" i="7"/>
  <c r="AB148" i="7"/>
  <c r="AC148" i="7"/>
  <c r="AD148" i="7"/>
  <c r="AA148" i="7"/>
  <c r="AE148" i="7"/>
  <c r="AH148" i="7"/>
  <c r="AI148" i="7"/>
  <c r="AJ148" i="7"/>
  <c r="AI206" i="7"/>
  <c r="AA223" i="7"/>
  <c r="B28" i="2" s="1"/>
  <c r="AA207" i="7"/>
  <c r="B12" i="2" s="1"/>
  <c r="AG207" i="7"/>
  <c r="AB227" i="7"/>
  <c r="AC216" i="7"/>
  <c r="AG206" i="7"/>
  <c r="AJ208" i="7"/>
  <c r="AC219" i="7"/>
  <c r="AH228" i="7"/>
  <c r="AB205" i="7"/>
  <c r="AJ223" i="7"/>
  <c r="AD216" i="7"/>
  <c r="AA206" i="7"/>
  <c r="B11" i="2" s="1"/>
  <c r="AI228" i="7"/>
  <c r="AB216" i="7"/>
  <c r="AF206" i="7"/>
  <c r="AI208" i="7"/>
  <c r="AB219" i="7"/>
  <c r="AG228" i="7"/>
  <c r="AB152" i="7"/>
  <c r="AC152" i="7"/>
  <c r="AH152" i="7"/>
  <c r="AA152" i="7"/>
  <c r="AI152" i="7"/>
  <c r="AJ152" i="7"/>
  <c r="AD152" i="7"/>
  <c r="AE152" i="7"/>
  <c r="AF152" i="7"/>
  <c r="AG152" i="7"/>
  <c r="AJ228" i="7"/>
  <c r="AI223" i="7"/>
  <c r="AJ205" i="7"/>
  <c r="AE206" i="7"/>
  <c r="AH208" i="7"/>
  <c r="AH221" i="7"/>
  <c r="AE228" i="7"/>
  <c r="AB169" i="7"/>
  <c r="AC169" i="7"/>
  <c r="AH169" i="7"/>
  <c r="AA169" i="7"/>
  <c r="AJ169" i="7"/>
  <c r="AI169" i="7"/>
  <c r="AE169" i="7"/>
  <c r="AG169" i="7"/>
  <c r="AF169" i="7"/>
  <c r="AD169" i="7"/>
  <c r="AC227" i="7"/>
  <c r="AG216" i="7"/>
  <c r="AH206" i="7"/>
  <c r="AI205" i="7"/>
  <c r="AD206" i="7"/>
  <c r="AG208" i="7"/>
  <c r="AG221" i="7"/>
  <c r="AF228" i="7"/>
  <c r="AB185" i="7"/>
  <c r="AC185" i="7"/>
  <c r="AH185" i="7"/>
  <c r="AA185" i="7"/>
  <c r="AI185" i="7"/>
  <c r="AJ185" i="7"/>
  <c r="AF185" i="7"/>
  <c r="AD185" i="7"/>
  <c r="AE185" i="7"/>
  <c r="AG185" i="7"/>
  <c r="AH216" i="7"/>
  <c r="AB207" i="7"/>
  <c r="AE216" i="7"/>
  <c r="AH163" i="7"/>
  <c r="AA163" i="7"/>
  <c r="AI163" i="7"/>
  <c r="AC163" i="7"/>
  <c r="AD163" i="7"/>
  <c r="AE163" i="7"/>
  <c r="AB163" i="7"/>
  <c r="AF163" i="7"/>
  <c r="AG163" i="7"/>
  <c r="AJ163" i="7"/>
  <c r="AH205" i="7"/>
  <c r="AC206" i="7"/>
  <c r="AF208" i="7"/>
  <c r="AF214" i="7"/>
  <c r="AF221" i="7"/>
  <c r="AA227" i="7"/>
  <c r="B32" i="2" s="1"/>
  <c r="AD228" i="7"/>
  <c r="AA205" i="7"/>
  <c r="AG205" i="7"/>
  <c r="AB206" i="7"/>
  <c r="AA208" i="7"/>
  <c r="B13" i="2" s="1"/>
  <c r="AE214" i="7"/>
  <c r="AE221" i="7"/>
  <c r="AJ227" i="7"/>
  <c r="AC228" i="7"/>
  <c r="AG230" i="7"/>
  <c r="AB209" i="7"/>
  <c r="AC209" i="7"/>
  <c r="AF209" i="7"/>
  <c r="AG209" i="7"/>
  <c r="AH209" i="7"/>
  <c r="AA209" i="7"/>
  <c r="B14" i="2" s="1"/>
  <c r="AJ209" i="7"/>
  <c r="AD209" i="7"/>
  <c r="AE209" i="7"/>
  <c r="AI209" i="7"/>
  <c r="B120" i="1"/>
  <c r="AC207" i="7"/>
  <c r="AF205" i="7"/>
  <c r="AD214" i="7"/>
  <c r="AD221" i="7"/>
  <c r="AB228" i="7"/>
  <c r="AJ207" i="7"/>
  <c r="AF212" i="7"/>
  <c r="AA212" i="7"/>
  <c r="B17" i="2" s="1"/>
  <c r="AG212" i="7"/>
  <c r="AH212" i="7"/>
  <c r="AB212" i="7"/>
  <c r="AC212" i="7"/>
  <c r="AD212" i="7"/>
  <c r="AE212" i="7"/>
  <c r="AI212" i="7"/>
  <c r="AJ212" i="7"/>
  <c r="AE205" i="7"/>
  <c r="AI207" i="7"/>
  <c r="AD208" i="7"/>
  <c r="AA214" i="7"/>
  <c r="B19" i="2" s="1"/>
  <c r="AC221" i="7"/>
  <c r="AG223" i="7"/>
  <c r="AG227" i="7"/>
  <c r="B116" i="1"/>
  <c r="AI216" i="7"/>
  <c r="AF216" i="7"/>
  <c r="AE208" i="7"/>
  <c r="AH223" i="7"/>
  <c r="AH227" i="7"/>
  <c r="O247" i="7" l="1"/>
  <c r="Q41" i="1"/>
  <c r="Q42" i="1"/>
  <c r="Q43" i="1" s="1"/>
  <c r="B47" i="1"/>
  <c r="M47" i="1"/>
  <c r="L47" i="1"/>
  <c r="N47" i="1"/>
  <c r="K47" i="1"/>
  <c r="J47" i="1"/>
  <c r="I47" i="1"/>
  <c r="H47" i="1"/>
  <c r="G47" i="1"/>
  <c r="Q247" i="7"/>
  <c r="P247" i="7"/>
  <c r="W247" i="7"/>
  <c r="V247" i="7"/>
  <c r="U247" i="7"/>
  <c r="X247" i="7"/>
  <c r="T247" i="7"/>
  <c r="S247" i="7"/>
  <c r="R247" i="7"/>
  <c r="P96" i="1"/>
  <c r="O96" i="1"/>
  <c r="O111" i="1"/>
  <c r="P98" i="1"/>
  <c r="O112" i="1"/>
  <c r="P99" i="1"/>
  <c r="O98" i="1"/>
  <c r="Q99" i="1"/>
  <c r="P104" i="1"/>
  <c r="P97" i="1"/>
  <c r="Q103" i="1"/>
  <c r="P100" i="1"/>
  <c r="P111" i="1"/>
  <c r="P113" i="1"/>
  <c r="O113" i="1"/>
  <c r="P106" i="1"/>
  <c r="Q98" i="1"/>
  <c r="Q111" i="1"/>
  <c r="O97" i="1"/>
  <c r="P112" i="1"/>
  <c r="O103" i="1"/>
  <c r="Q104" i="1"/>
  <c r="Q112" i="1"/>
  <c r="P103" i="1"/>
  <c r="Q96" i="1"/>
  <c r="O116" i="1"/>
  <c r="C116" i="1"/>
  <c r="D120" i="1"/>
  <c r="P120" i="1"/>
  <c r="C120" i="1"/>
  <c r="O120" i="1"/>
  <c r="Q116" i="1"/>
  <c r="E116" i="1"/>
  <c r="O108" i="1"/>
  <c r="P108" i="1"/>
  <c r="P102" i="1"/>
  <c r="B36" i="2"/>
  <c r="Q100" i="1"/>
  <c r="P116" i="1"/>
  <c r="D116" i="1"/>
  <c r="D47" i="1" s="1"/>
  <c r="E120" i="1"/>
  <c r="Q120" i="1"/>
  <c r="O104" i="1"/>
  <c r="Q108" i="1"/>
  <c r="R246" i="7"/>
  <c r="W246" i="7"/>
  <c r="S246" i="7"/>
  <c r="Q246" i="7"/>
  <c r="X246" i="7"/>
  <c r="V246" i="7"/>
  <c r="J8" i="1" s="1"/>
  <c r="U246" i="7"/>
  <c r="P246" i="7"/>
  <c r="AE243" i="7"/>
  <c r="E37" i="2"/>
  <c r="AD243" i="7"/>
  <c r="AC243" i="7"/>
  <c r="T246" i="7"/>
  <c r="AH243" i="7"/>
  <c r="AF243" i="7"/>
  <c r="AA243" i="7"/>
  <c r="B2" i="2" s="1"/>
  <c r="B10" i="2"/>
  <c r="AB243" i="7"/>
  <c r="AI243" i="7"/>
  <c r="AJ243" i="7"/>
  <c r="AG243" i="7"/>
  <c r="W242" i="7"/>
  <c r="K4" i="1" s="1"/>
  <c r="O246" i="7"/>
  <c r="B8" i="1" s="1"/>
  <c r="E47" i="1" l="1"/>
  <c r="C47" i="1"/>
  <c r="Q47" i="1"/>
  <c r="O47" i="1"/>
  <c r="P47" i="1"/>
  <c r="K25" i="1"/>
  <c r="K16" i="10" s="1"/>
  <c r="S242" i="7"/>
  <c r="G4" i="1" s="1"/>
  <c r="T242" i="7"/>
  <c r="H4" i="1" s="1"/>
  <c r="P242" i="7"/>
  <c r="C4" i="1" s="1"/>
  <c r="R242" i="7"/>
  <c r="E4" i="1" s="1"/>
  <c r="Q242" i="7"/>
  <c r="D4" i="1" s="1"/>
  <c r="X242" i="7"/>
  <c r="L4" i="1" s="1"/>
  <c r="U242" i="7"/>
  <c r="I4" i="1" s="1"/>
  <c r="V242" i="7"/>
  <c r="J4" i="1" s="1"/>
  <c r="O242" i="7"/>
  <c r="B4" i="1" s="1"/>
  <c r="B25" i="1" s="1"/>
  <c r="B16" i="10" s="1"/>
  <c r="D8" i="1"/>
  <c r="K8" i="1"/>
  <c r="I8" i="1"/>
  <c r="E8" i="1"/>
  <c r="C8" i="1"/>
  <c r="L8" i="1"/>
  <c r="G8" i="1"/>
  <c r="H8" i="1"/>
  <c r="G10" i="1"/>
  <c r="D10" i="1"/>
  <c r="E10" i="1"/>
  <c r="B10" i="1"/>
  <c r="H10" i="1"/>
  <c r="I10" i="1"/>
  <c r="J10" i="1"/>
  <c r="L10" i="1"/>
  <c r="C10" i="1"/>
  <c r="K10" i="1"/>
  <c r="L25" i="1" l="1"/>
  <c r="L16" i="10" s="1"/>
  <c r="J25" i="1"/>
  <c r="J16" i="10" s="1"/>
  <c r="D25" i="1"/>
  <c r="D16" i="10" s="1"/>
  <c r="E25" i="1"/>
  <c r="E16" i="10" s="1"/>
  <c r="H25" i="1"/>
  <c r="H16" i="10" s="1"/>
  <c r="C25" i="1"/>
  <c r="C16" i="10" s="1"/>
  <c r="G25" i="1"/>
  <c r="G16" i="10" s="1"/>
  <c r="I25" i="1"/>
  <c r="I16" i="10" s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N177" i="7" l="1"/>
  <c r="Z177" i="7"/>
  <c r="N179" i="7"/>
  <c r="Z179" i="7"/>
  <c r="N175" i="7"/>
  <c r="Z175" i="7"/>
  <c r="K5" i="1"/>
  <c r="N243" i="7"/>
  <c r="A5" i="1" s="1"/>
  <c r="D6" i="1"/>
  <c r="N244" i="7"/>
  <c r="A6" i="1" s="1"/>
  <c r="K37" i="1" l="1"/>
  <c r="K38" i="1"/>
  <c r="K40" i="1"/>
  <c r="S175" i="7"/>
  <c r="V175" i="7"/>
  <c r="Q175" i="7"/>
  <c r="P175" i="7"/>
  <c r="X175" i="7"/>
  <c r="T175" i="7"/>
  <c r="R175" i="7"/>
  <c r="O175" i="7"/>
  <c r="W175" i="7"/>
  <c r="U175" i="7"/>
  <c r="O179" i="7"/>
  <c r="X179" i="7"/>
  <c r="S179" i="7"/>
  <c r="T179" i="7"/>
  <c r="Q179" i="7"/>
  <c r="R179" i="7"/>
  <c r="P179" i="7"/>
  <c r="V179" i="7"/>
  <c r="W179" i="7"/>
  <c r="U179" i="7"/>
  <c r="S177" i="7"/>
  <c r="V177" i="7"/>
  <c r="Q177" i="7"/>
  <c r="X177" i="7"/>
  <c r="W177" i="7"/>
  <c r="P177" i="7"/>
  <c r="O177" i="7"/>
  <c r="R177" i="7"/>
  <c r="T177" i="7"/>
  <c r="U177" i="7"/>
  <c r="AB179" i="7"/>
  <c r="AJ179" i="7"/>
  <c r="AC179" i="7"/>
  <c r="AF179" i="7"/>
  <c r="AH179" i="7"/>
  <c r="AA179" i="7"/>
  <c r="AI179" i="7"/>
  <c r="AD179" i="7"/>
  <c r="AE179" i="7"/>
  <c r="AG179" i="7"/>
  <c r="AI175" i="7"/>
  <c r="AJ175" i="7"/>
  <c r="AF175" i="7"/>
  <c r="AE175" i="7"/>
  <c r="AG175" i="7"/>
  <c r="AG242" i="7" s="1"/>
  <c r="AB175" i="7"/>
  <c r="AC175" i="7"/>
  <c r="AD175" i="7"/>
  <c r="AH175" i="7"/>
  <c r="AA175" i="7"/>
  <c r="AJ177" i="7"/>
  <c r="AB177" i="7"/>
  <c r="AF177" i="7"/>
  <c r="AG177" i="7"/>
  <c r="AC177" i="7"/>
  <c r="AH177" i="7"/>
  <c r="AD177" i="7"/>
  <c r="AE177" i="7"/>
  <c r="AI177" i="7"/>
  <c r="AA177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O245" i="7" l="1"/>
  <c r="AE242" i="7"/>
  <c r="AF242" i="7"/>
  <c r="U245" i="7"/>
  <c r="W245" i="7"/>
  <c r="K7" i="1" s="1"/>
  <c r="R245" i="7"/>
  <c r="E7" i="1" s="1"/>
  <c r="X245" i="7"/>
  <c r="L7" i="1" s="1"/>
  <c r="P245" i="7"/>
  <c r="C7" i="1" s="1"/>
  <c r="S245" i="7"/>
  <c r="G7" i="1" s="1"/>
  <c r="V245" i="7"/>
  <c r="J7" i="1" s="1"/>
  <c r="B7" i="1"/>
  <c r="Q245" i="7"/>
  <c r="D7" i="1" s="1"/>
  <c r="T245" i="7"/>
  <c r="H7" i="1" s="1"/>
  <c r="H37" i="1"/>
  <c r="H38" i="1"/>
  <c r="H40" i="1"/>
  <c r="C37" i="1"/>
  <c r="C38" i="1"/>
  <c r="C40" i="1"/>
  <c r="DF3" i="5"/>
  <c r="DQ3" i="5" s="1"/>
  <c r="K3" i="5" s="1"/>
  <c r="DF3" i="21"/>
  <c r="DQ3" i="21" s="1"/>
  <c r="K3" i="21" s="1"/>
  <c r="L37" i="1"/>
  <c r="L38" i="1"/>
  <c r="L40" i="1"/>
  <c r="I37" i="1"/>
  <c r="I38" i="1"/>
  <c r="I40" i="1"/>
  <c r="AR4" i="21"/>
  <c r="K39" i="1"/>
  <c r="AR4" i="5"/>
  <c r="D37" i="1"/>
  <c r="D40" i="1"/>
  <c r="D38" i="1"/>
  <c r="E37" i="1"/>
  <c r="E40" i="1"/>
  <c r="E38" i="1"/>
  <c r="J37" i="1"/>
  <c r="J38" i="1"/>
  <c r="J40" i="1"/>
  <c r="G37" i="1"/>
  <c r="G38" i="1"/>
  <c r="G40" i="1"/>
  <c r="V9" i="21"/>
  <c r="V5" i="21"/>
  <c r="V8" i="21"/>
  <c r="V11" i="21"/>
  <c r="V7" i="21"/>
  <c r="K42" i="1"/>
  <c r="V4" i="21"/>
  <c r="V10" i="21"/>
  <c r="V6" i="21"/>
  <c r="K41" i="1"/>
  <c r="V7" i="5"/>
  <c r="V11" i="5"/>
  <c r="V8" i="5"/>
  <c r="V9" i="5"/>
  <c r="V5" i="5"/>
  <c r="V4" i="5"/>
  <c r="V6" i="5"/>
  <c r="V10" i="5"/>
  <c r="AJ242" i="7"/>
  <c r="AI242" i="7"/>
  <c r="AB242" i="7"/>
  <c r="I7" i="1"/>
  <c r="AA242" i="7"/>
  <c r="B1" i="2" s="1"/>
  <c r="B42" i="2" s="1"/>
  <c r="AH242" i="7"/>
  <c r="AD242" i="7"/>
  <c r="AC242" i="7"/>
  <c r="O244" i="7"/>
  <c r="B6" i="1" s="1"/>
  <c r="O243" i="7"/>
  <c r="B5" i="1" s="1"/>
  <c r="K43" i="1" l="1"/>
  <c r="DD3" i="21"/>
  <c r="DO3" i="21" s="1"/>
  <c r="I3" i="21" s="1"/>
  <c r="DD3" i="5"/>
  <c r="DO3" i="5" s="1"/>
  <c r="I3" i="5" s="1"/>
  <c r="I39" i="1"/>
  <c r="AP4" i="21"/>
  <c r="AP4" i="5"/>
  <c r="DB3" i="21"/>
  <c r="DM3" i="21" s="1"/>
  <c r="G3" i="21" s="1"/>
  <c r="DB3" i="5"/>
  <c r="DM3" i="5" s="1"/>
  <c r="G3" i="5" s="1"/>
  <c r="L39" i="1"/>
  <c r="AS4" i="21"/>
  <c r="AS4" i="5"/>
  <c r="AK4" i="5"/>
  <c r="AK4" i="21"/>
  <c r="D39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39" i="1"/>
  <c r="AJ4" i="21"/>
  <c r="AJ4" i="5"/>
  <c r="T9" i="21"/>
  <c r="T5" i="21"/>
  <c r="I41" i="1"/>
  <c r="T8" i="21"/>
  <c r="T11" i="21"/>
  <c r="T7" i="21"/>
  <c r="T4" i="21"/>
  <c r="T10" i="21"/>
  <c r="T6" i="21"/>
  <c r="I42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1" i="1"/>
  <c r="O10" i="5"/>
  <c r="D42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1" i="1"/>
  <c r="C42" i="1"/>
  <c r="N7" i="5"/>
  <c r="J39" i="1"/>
  <c r="AQ4" i="21"/>
  <c r="AQ4" i="5"/>
  <c r="L41" i="1"/>
  <c r="W9" i="21"/>
  <c r="W5" i="21"/>
  <c r="W8" i="21"/>
  <c r="W11" i="21"/>
  <c r="W7" i="21"/>
  <c r="W4" i="21"/>
  <c r="W10" i="21"/>
  <c r="W6" i="21"/>
  <c r="L42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1" i="1"/>
  <c r="R9" i="21"/>
  <c r="R5" i="21"/>
  <c r="G42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2" i="1"/>
  <c r="U11" i="21"/>
  <c r="U7" i="21"/>
  <c r="U4" i="21"/>
  <c r="U10" i="21"/>
  <c r="U6" i="21"/>
  <c r="J41" i="1"/>
  <c r="U7" i="5"/>
  <c r="U11" i="5"/>
  <c r="U8" i="5"/>
  <c r="U5" i="5"/>
  <c r="U10" i="5"/>
  <c r="U9" i="5"/>
  <c r="U4" i="5"/>
  <c r="U6" i="5"/>
  <c r="E41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2" i="1"/>
  <c r="P4" i="5"/>
  <c r="P6" i="5"/>
  <c r="P9" i="5"/>
  <c r="AO4" i="21"/>
  <c r="H39" i="1"/>
  <c r="AO4" i="5"/>
  <c r="DE3" i="5"/>
  <c r="DP3" i="5" s="1"/>
  <c r="J3" i="5" s="1"/>
  <c r="DE3" i="21"/>
  <c r="DP3" i="21" s="1"/>
  <c r="J3" i="21" s="1"/>
  <c r="E39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2" i="1"/>
  <c r="S8" i="21"/>
  <c r="S11" i="21"/>
  <c r="S7" i="21"/>
  <c r="S4" i="21"/>
  <c r="H41" i="1"/>
  <c r="S7" i="5"/>
  <c r="S11" i="5"/>
  <c r="S8" i="5"/>
  <c r="S9" i="5"/>
  <c r="S5" i="5"/>
  <c r="S4" i="5"/>
  <c r="S10" i="5"/>
  <c r="S6" i="5"/>
  <c r="AN4" i="21"/>
  <c r="G39" i="1"/>
  <c r="AN4" i="5"/>
  <c r="BN21" i="5"/>
  <c r="BN23" i="5"/>
  <c r="BN17" i="5"/>
  <c r="BN25" i="5"/>
  <c r="BN29" i="5"/>
  <c r="BN31" i="5"/>
  <c r="BN28" i="5"/>
  <c r="BN22" i="5"/>
  <c r="BN19" i="5"/>
  <c r="BN20" i="5"/>
  <c r="BN18" i="5"/>
  <c r="BN24" i="5"/>
  <c r="BN26" i="5"/>
  <c r="BN27" i="5"/>
  <c r="BN33" i="5"/>
  <c r="BN32" i="5"/>
  <c r="BN30" i="5"/>
  <c r="BN4" i="5"/>
  <c r="CJ4" i="5" s="1"/>
  <c r="BN31" i="21"/>
  <c r="BN28" i="21"/>
  <c r="BN4" i="21"/>
  <c r="CJ4" i="21" s="1"/>
  <c r="BN26" i="21"/>
  <c r="BN33" i="21"/>
  <c r="BN27" i="21"/>
  <c r="BN32" i="21"/>
  <c r="BN18" i="21"/>
  <c r="BN17" i="21"/>
  <c r="BN20" i="21"/>
  <c r="BN29" i="21"/>
  <c r="BN19" i="21"/>
  <c r="BN22" i="21"/>
  <c r="BN30" i="21"/>
  <c r="BN21" i="21"/>
  <c r="BN24" i="21"/>
  <c r="BN25" i="21"/>
  <c r="BN23" i="21"/>
  <c r="B46" i="2"/>
  <c r="B40" i="2"/>
  <c r="B44" i="2"/>
  <c r="B37" i="1"/>
  <c r="B40" i="1"/>
  <c r="B38" i="1"/>
  <c r="C37" i="2"/>
  <c r="I43" i="1" l="1"/>
  <c r="BL20" i="5" s="1"/>
  <c r="D43" i="1"/>
  <c r="BG30" i="5" s="1"/>
  <c r="H43" i="1"/>
  <c r="BK22" i="5" s="1"/>
  <c r="J43" i="1"/>
  <c r="BM26" i="5" s="1"/>
  <c r="BG24" i="5"/>
  <c r="BG18" i="5"/>
  <c r="BG26" i="5"/>
  <c r="BG25" i="5"/>
  <c r="BG24" i="21"/>
  <c r="BG32" i="21"/>
  <c r="BG33" i="21"/>
  <c r="BG26" i="2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CU4" i="21"/>
  <c r="DF4" i="21" s="1"/>
  <c r="DQ4" i="21" s="1"/>
  <c r="K4" i="21" s="1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BK29" i="5"/>
  <c r="BK17" i="5"/>
  <c r="BK4" i="5"/>
  <c r="CG4" i="5" s="1"/>
  <c r="BK28" i="5"/>
  <c r="BK21" i="5"/>
  <c r="BK25" i="5"/>
  <c r="BK30" i="21"/>
  <c r="BK18" i="21"/>
  <c r="BK19" i="21"/>
  <c r="BK22" i="21"/>
  <c r="BK27" i="21"/>
  <c r="BK33" i="21"/>
  <c r="BL4" i="5"/>
  <c r="CH4" i="5" s="1"/>
  <c r="BL19" i="21"/>
  <c r="BL31" i="21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CU4" i="5"/>
  <c r="DF4" i="5" s="1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3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3" i="1"/>
  <c r="C43" i="1"/>
  <c r="G43" i="1"/>
  <c r="B39" i="1"/>
  <c r="B41" i="1"/>
  <c r="B42" i="1"/>
  <c r="BG22" i="21" l="1"/>
  <c r="BG25" i="21"/>
  <c r="BG21" i="21"/>
  <c r="BK24" i="21"/>
  <c r="BK29" i="21"/>
  <c r="BK17" i="21"/>
  <c r="BK20" i="5"/>
  <c r="BG23" i="21"/>
  <c r="BG31" i="5"/>
  <c r="BK25" i="21"/>
  <c r="BK28" i="21"/>
  <c r="BK18" i="5"/>
  <c r="BK26" i="21"/>
  <c r="BK19" i="5"/>
  <c r="BK31" i="5"/>
  <c r="BG20" i="21"/>
  <c r="BG19" i="5"/>
  <c r="BK32" i="21"/>
  <c r="BK21" i="21"/>
  <c r="BK33" i="5"/>
  <c r="BK23" i="5"/>
  <c r="BG19" i="21"/>
  <c r="BG29" i="5"/>
  <c r="BK27" i="5"/>
  <c r="BK30" i="5"/>
  <c r="BK23" i="21"/>
  <c r="BK26" i="5"/>
  <c r="BK32" i="5"/>
  <c r="BG27" i="21"/>
  <c r="BG17" i="5"/>
  <c r="BK4" i="21"/>
  <c r="CG4" i="21" s="1"/>
  <c r="CR4" i="21" s="1"/>
  <c r="DC4" i="21" s="1"/>
  <c r="DN4" i="21" s="1"/>
  <c r="H4" i="21" s="1"/>
  <c r="BK24" i="5"/>
  <c r="BK31" i="21"/>
  <c r="BK20" i="21"/>
  <c r="BG31" i="21"/>
  <c r="BG30" i="21"/>
  <c r="BM20" i="5"/>
  <c r="BM33" i="5"/>
  <c r="BG29" i="21"/>
  <c r="BG28" i="21"/>
  <c r="BG4" i="5"/>
  <c r="CC4" i="5" s="1"/>
  <c r="BG33" i="5"/>
  <c r="BG20" i="5"/>
  <c r="BG17" i="21"/>
  <c r="BG22" i="5"/>
  <c r="BG4" i="21"/>
  <c r="CC4" i="21" s="1"/>
  <c r="CN4" i="21" s="1"/>
  <c r="CY4" i="21" s="1"/>
  <c r="DJ4" i="21" s="1"/>
  <c r="D4" i="21" s="1"/>
  <c r="BG28" i="5"/>
  <c r="BL29" i="21"/>
  <c r="BL25" i="21"/>
  <c r="BL25" i="5"/>
  <c r="BL4" i="21"/>
  <c r="CH4" i="21" s="1"/>
  <c r="BW5" i="21" s="1"/>
  <c r="BL24" i="21"/>
  <c r="BL27" i="5"/>
  <c r="BL21" i="5"/>
  <c r="BL22" i="21"/>
  <c r="BL31" i="5"/>
  <c r="BL19" i="5"/>
  <c r="BL33" i="21"/>
  <c r="BL32" i="5"/>
  <c r="BL28" i="5"/>
  <c r="BL24" i="5"/>
  <c r="BL27" i="21"/>
  <c r="BL26" i="21"/>
  <c r="BL23" i="5"/>
  <c r="BL18" i="5"/>
  <c r="BL21" i="21"/>
  <c r="BL28" i="21"/>
  <c r="BL26" i="5"/>
  <c r="BL32" i="21"/>
  <c r="BL33" i="5"/>
  <c r="BL30" i="5"/>
  <c r="BL18" i="21"/>
  <c r="BL17" i="21"/>
  <c r="BL20" i="21"/>
  <c r="BL22" i="5"/>
  <c r="BL29" i="5"/>
  <c r="BL17" i="5"/>
  <c r="BL23" i="21"/>
  <c r="BL30" i="21"/>
  <c r="BG23" i="5"/>
  <c r="BG21" i="5"/>
  <c r="BG27" i="5"/>
  <c r="BG32" i="5"/>
  <c r="BM28" i="5"/>
  <c r="BG18" i="21"/>
  <c r="BM33" i="21"/>
  <c r="BM30" i="21"/>
  <c r="BM4" i="21"/>
  <c r="CI4" i="21" s="1"/>
  <c r="BX5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X5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CN4" i="5"/>
  <c r="CY4" i="5" s="1"/>
  <c r="DJ4" i="5" s="1"/>
  <c r="D4" i="5" s="1"/>
  <c r="BR5" i="5"/>
  <c r="AN5" i="21"/>
  <c r="BJ5" i="21" s="1"/>
  <c r="BJ21" i="5"/>
  <c r="BJ25" i="5"/>
  <c r="BJ4" i="5"/>
  <c r="CF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BW5" i="5"/>
  <c r="CS4" i="5"/>
  <c r="DD4" i="5" s="1"/>
  <c r="DO4" i="5" s="1"/>
  <c r="I4" i="5" s="1"/>
  <c r="BF4" i="5"/>
  <c r="CB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BH32" i="21"/>
  <c r="CS4" i="21"/>
  <c r="DD4" i="21" s="1"/>
  <c r="DO4" i="21" s="1"/>
  <c r="I4" i="21" s="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T4" i="5" s="1"/>
  <c r="AI5" i="5" s="1"/>
  <c r="BC5" i="5"/>
  <c r="AR6" i="5" s="1"/>
  <c r="AQ5" i="21"/>
  <c r="BM5" i="21" s="1"/>
  <c r="CR4" i="5"/>
  <c r="DC4" i="5" s="1"/>
  <c r="DN4" i="5" s="1"/>
  <c r="H4" i="5" s="1"/>
  <c r="BV5" i="5"/>
  <c r="BV5" i="2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BO29" i="5"/>
  <c r="BO21" i="5"/>
  <c r="BO25" i="5"/>
  <c r="BO23" i="5"/>
  <c r="BO18" i="5"/>
  <c r="BO24" i="5"/>
  <c r="BO33" i="21"/>
  <c r="BO20" i="21"/>
  <c r="BO4" i="21"/>
  <c r="CK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AK5" i="21"/>
  <c r="BG5" i="21" s="1"/>
  <c r="AS5" i="5"/>
  <c r="BD5" i="5" s="1"/>
  <c r="AS6" i="5" s="1"/>
  <c r="AW5" i="5"/>
  <c r="AL6" i="5" s="1"/>
  <c r="AW6" i="5" s="1"/>
  <c r="CJ5" i="5"/>
  <c r="BG5" i="5"/>
  <c r="AO5" i="21"/>
  <c r="BK5" i="21" s="1"/>
  <c r="B43" i="1"/>
  <c r="BR5" i="21" l="1"/>
  <c r="CT4" i="21"/>
  <c r="DE4" i="21" s="1"/>
  <c r="DP4" i="21" s="1"/>
  <c r="J4" i="21" s="1"/>
  <c r="AU5" i="21"/>
  <c r="AJ6" i="21" s="1"/>
  <c r="BF6" i="21" s="1"/>
  <c r="CT4" i="5"/>
  <c r="DE4" i="5" s="1"/>
  <c r="DP4" i="5" s="1"/>
  <c r="J4" i="5" s="1"/>
  <c r="BA6" i="5"/>
  <c r="AP7" i="5" s="1"/>
  <c r="BL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O6" i="21" s="1"/>
  <c r="BK6" i="21" s="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V6" i="21" s="1"/>
  <c r="BC6" i="21"/>
  <c r="AR7" i="21" s="1"/>
  <c r="BN7" i="21" s="1"/>
  <c r="CG5" i="5"/>
  <c r="CR5" i="5" s="1"/>
  <c r="DC5" i="5" s="1"/>
  <c r="DN5" i="5" s="1"/>
  <c r="H5" i="5" s="1"/>
  <c r="CI5" i="5"/>
  <c r="CT5" i="5" s="1"/>
  <c r="DE5" i="5" s="1"/>
  <c r="DP5" i="5" s="1"/>
  <c r="AZ6" i="5"/>
  <c r="AO7" i="5" s="1"/>
  <c r="BK7" i="5" s="1"/>
  <c r="CH5" i="21"/>
  <c r="CS5" i="21" s="1"/>
  <c r="DD5" i="21" s="1"/>
  <c r="DO5" i="21" s="1"/>
  <c r="I5" i="21" s="1"/>
  <c r="BE5" i="5"/>
  <c r="AV5" i="21"/>
  <c r="AK6" i="21" s="1"/>
  <c r="BG6" i="21" s="1"/>
  <c r="AY5" i="21"/>
  <c r="AN6" i="21" s="1"/>
  <c r="BJ6" i="21" s="1"/>
  <c r="CH5" i="5"/>
  <c r="BW6" i="5" s="1"/>
  <c r="CH6" i="5" s="1"/>
  <c r="CC5" i="21"/>
  <c r="BR6" i="21" s="1"/>
  <c r="BD5" i="21"/>
  <c r="AS6" i="21" s="1"/>
  <c r="BO6" i="21" s="1"/>
  <c r="BD6" i="5"/>
  <c r="BO6" i="5"/>
  <c r="BH6" i="5"/>
  <c r="CM4" i="21"/>
  <c r="CX4" i="21" s="1"/>
  <c r="DI4" i="21" s="1"/>
  <c r="C4" i="21" s="1"/>
  <c r="BQ5" i="21"/>
  <c r="CB5" i="21" s="1"/>
  <c r="CC5" i="5"/>
  <c r="BO5" i="5"/>
  <c r="AL7" i="5"/>
  <c r="BH7" i="5" s="1"/>
  <c r="CO4" i="21"/>
  <c r="CZ4" i="21" s="1"/>
  <c r="DK4" i="21" s="1"/>
  <c r="E4" i="21" s="1"/>
  <c r="BS5" i="21"/>
  <c r="BF8" i="5"/>
  <c r="BB5" i="21"/>
  <c r="BF7" i="5"/>
  <c r="AI5" i="21"/>
  <c r="BE5" i="21" s="1"/>
  <c r="AJ9" i="5"/>
  <c r="BF9" i="5" s="1"/>
  <c r="AL6" i="21"/>
  <c r="BH6" i="21" s="1"/>
  <c r="BF6" i="5"/>
  <c r="CQ4" i="5"/>
  <c r="DB4" i="5" s="1"/>
  <c r="DM4" i="5" s="1"/>
  <c r="G4" i="5" s="1"/>
  <c r="BU5" i="5"/>
  <c r="CF5" i="5" s="1"/>
  <c r="BZ5" i="21"/>
  <c r="CK5" i="21" s="1"/>
  <c r="CV4" i="21"/>
  <c r="DG4" i="21" s="1"/>
  <c r="DR4" i="21" s="1"/>
  <c r="L4" i="21" s="1"/>
  <c r="BC6" i="5"/>
  <c r="AR7" i="5" s="1"/>
  <c r="BN6" i="5"/>
  <c r="BS5" i="5"/>
  <c r="CD5" i="5" s="1"/>
  <c r="CO4" i="5"/>
  <c r="CZ4" i="5" s="1"/>
  <c r="DK4" i="5" s="1"/>
  <c r="E4" i="5" s="1"/>
  <c r="BQ5" i="5"/>
  <c r="CB5" i="5" s="1"/>
  <c r="CM4" i="5"/>
  <c r="CX4" i="5" s="1"/>
  <c r="DI4" i="5" s="1"/>
  <c r="C4" i="5" s="1"/>
  <c r="BU5" i="21"/>
  <c r="CF5" i="21" s="1"/>
  <c r="CQ4" i="21"/>
  <c r="DB4" i="21" s="1"/>
  <c r="DM4" i="21" s="1"/>
  <c r="G4" i="21" s="1"/>
  <c r="BE33" i="5"/>
  <c r="BE28" i="21"/>
  <c r="BE21" i="21"/>
  <c r="BE33" i="21"/>
  <c r="BE22" i="21"/>
  <c r="BE29" i="21"/>
  <c r="BE23" i="21"/>
  <c r="BE30" i="21"/>
  <c r="BE31" i="21"/>
  <c r="BE24" i="21"/>
  <c r="BE32" i="21"/>
  <c r="BE25" i="21"/>
  <c r="BE17" i="21"/>
  <c r="BE4" i="21"/>
  <c r="CA4" i="21" s="1"/>
  <c r="BE26" i="21"/>
  <c r="BE18" i="21"/>
  <c r="BE19" i="21"/>
  <c r="BE27" i="21"/>
  <c r="BE20" i="21"/>
  <c r="AT5" i="5"/>
  <c r="AI6" i="5" s="1"/>
  <c r="BE6" i="5" s="1"/>
  <c r="CU5" i="21"/>
  <c r="DF5" i="21" s="1"/>
  <c r="DQ5" i="21" s="1"/>
  <c r="K5" i="21" s="1"/>
  <c r="BY6" i="21"/>
  <c r="CJ6" i="21" s="1"/>
  <c r="CV4" i="5"/>
  <c r="DG4" i="5" s="1"/>
  <c r="DR4" i="5" s="1"/>
  <c r="L4" i="5" s="1"/>
  <c r="BZ5" i="5"/>
  <c r="BY6" i="5"/>
  <c r="CU5" i="5"/>
  <c r="DF5" i="5" s="1"/>
  <c r="DQ5" i="5" s="1"/>
  <c r="K5" i="5" s="1"/>
  <c r="CI5" i="21"/>
  <c r="BE29" i="5"/>
  <c r="BE18" i="5"/>
  <c r="BE21" i="5"/>
  <c r="BE4" i="5"/>
  <c r="CA4" i="5" s="1"/>
  <c r="CL4" i="5" s="1"/>
  <c r="CW4" i="5" s="1"/>
  <c r="DH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J5" i="5" l="1"/>
  <c r="BM10" i="5"/>
  <c r="BA7" i="5"/>
  <c r="AP8" i="5" s="1"/>
  <c r="BJ7" i="5"/>
  <c r="BM11" i="5"/>
  <c r="BM7" i="5"/>
  <c r="BB12" i="5"/>
  <c r="AQ13" i="5" s="1"/>
  <c r="BM8" i="5"/>
  <c r="CD5" i="21"/>
  <c r="BS6" i="21" s="1"/>
  <c r="CD6" i="21" s="1"/>
  <c r="BJ12" i="5"/>
  <c r="CR5" i="21"/>
  <c r="DC5" i="21" s="1"/>
  <c r="DN5" i="21" s="1"/>
  <c r="H5" i="21" s="1"/>
  <c r="BJ10" i="5"/>
  <c r="BM9" i="5"/>
  <c r="BJ11" i="5"/>
  <c r="BJ9" i="5"/>
  <c r="CG6" i="21"/>
  <c r="BV7" i="21" s="1"/>
  <c r="BJ8" i="5"/>
  <c r="BJ13" i="5"/>
  <c r="BX6" i="5"/>
  <c r="CI6" i="5" s="1"/>
  <c r="CT6" i="5" s="1"/>
  <c r="DE6" i="5" s="1"/>
  <c r="DP6" i="5" s="1"/>
  <c r="J6" i="5" s="1"/>
  <c r="CN5" i="21"/>
  <c r="CY5" i="21" s="1"/>
  <c r="DJ5" i="21" s="1"/>
  <c r="D5" i="21" s="1"/>
  <c r="BV6" i="5"/>
  <c r="CG6" i="5" s="1"/>
  <c r="BV7" i="5" s="1"/>
  <c r="CG7" i="5" s="1"/>
  <c r="AY6" i="21"/>
  <c r="AN7" i="21" s="1"/>
  <c r="BJ7" i="21" s="1"/>
  <c r="AV7" i="5"/>
  <c r="AK8" i="5" s="1"/>
  <c r="BG8" i="5" s="1"/>
  <c r="BW6" i="21"/>
  <c r="CH6" i="21" s="1"/>
  <c r="CS6" i="21" s="1"/>
  <c r="DD6" i="21" s="1"/>
  <c r="DO6" i="21" s="1"/>
  <c r="AV6" i="21"/>
  <c r="AK7" i="21" s="1"/>
  <c r="BG7" i="21" s="1"/>
  <c r="AY14" i="5"/>
  <c r="AN15" i="5" s="1"/>
  <c r="BJ15" i="5" s="1"/>
  <c r="CS5" i="5"/>
  <c r="DD5" i="5" s="1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CC6" i="21"/>
  <c r="BR7" i="21" s="1"/>
  <c r="BU6" i="5"/>
  <c r="CF6" i="5" s="1"/>
  <c r="CQ5" i="5"/>
  <c r="DB5" i="5" s="1"/>
  <c r="DM5" i="5" s="1"/>
  <c r="G5" i="5" s="1"/>
  <c r="BQ6" i="5"/>
  <c r="CB6" i="5" s="1"/>
  <c r="CM5" i="5"/>
  <c r="CX5" i="5" s="1"/>
  <c r="DI5" i="5" s="1"/>
  <c r="C5" i="5" s="1"/>
  <c r="AZ7" i="5"/>
  <c r="AO8" i="5" s="1"/>
  <c r="BU6" i="21"/>
  <c r="CF6" i="21" s="1"/>
  <c r="CQ5" i="21"/>
  <c r="DB5" i="21" s="1"/>
  <c r="DM5" i="21" s="1"/>
  <c r="G5" i="21" s="1"/>
  <c r="BC7" i="5"/>
  <c r="AR8" i="5" s="1"/>
  <c r="BN7" i="5"/>
  <c r="CN5" i="5"/>
  <c r="CY5" i="5" s="1"/>
  <c r="DJ5" i="5" s="1"/>
  <c r="D5" i="5" s="1"/>
  <c r="BR6" i="5"/>
  <c r="CC6" i="5" s="1"/>
  <c r="AW6" i="21"/>
  <c r="BQ6" i="21"/>
  <c r="CB6" i="21" s="1"/>
  <c r="CM5" i="21"/>
  <c r="CX5" i="21" s="1"/>
  <c r="DI5" i="21" s="1"/>
  <c r="C5" i="21" s="1"/>
  <c r="BS6" i="5"/>
  <c r="CD6" i="5" s="1"/>
  <c r="CO5" i="5"/>
  <c r="CZ5" i="5" s="1"/>
  <c r="DK5" i="5" s="1"/>
  <c r="E5" i="5" s="1"/>
  <c r="BA8" i="5"/>
  <c r="AP9" i="5" s="1"/>
  <c r="BL8" i="5"/>
  <c r="CV5" i="21"/>
  <c r="DG5" i="21" s="1"/>
  <c r="DR5" i="21" s="1"/>
  <c r="L5" i="21" s="1"/>
  <c r="BZ6" i="21"/>
  <c r="CK6" i="21" s="1"/>
  <c r="CT5" i="21"/>
  <c r="DE5" i="21" s="1"/>
  <c r="DP5" i="21" s="1"/>
  <c r="J5" i="21" s="1"/>
  <c r="BX6" i="21"/>
  <c r="CJ6" i="5"/>
  <c r="BC7" i="21"/>
  <c r="BB13" i="5"/>
  <c r="AQ14" i="5" s="1"/>
  <c r="BM13" i="5"/>
  <c r="BA6" i="21"/>
  <c r="BP5" i="21"/>
  <c r="CA5" i="21" s="1"/>
  <c r="CL4" i="21"/>
  <c r="CW4" i="21" s="1"/>
  <c r="DH4" i="21" s="1"/>
  <c r="B4" i="21" s="1"/>
  <c r="AT6" i="5"/>
  <c r="AI7" i="5" s="1"/>
  <c r="BE7" i="5" s="1"/>
  <c r="CK5" i="5"/>
  <c r="CS6" i="5"/>
  <c r="DD6" i="5" s="1"/>
  <c r="DO6" i="5" s="1"/>
  <c r="BW7" i="5"/>
  <c r="CH7" i="5" s="1"/>
  <c r="AZ6" i="21"/>
  <c r="CU6" i="21"/>
  <c r="DF6" i="21" s="1"/>
  <c r="DQ6" i="21" s="1"/>
  <c r="K6" i="21" s="1"/>
  <c r="BY7" i="21"/>
  <c r="CJ7" i="21" s="1"/>
  <c r="AU6" i="21"/>
  <c r="AU9" i="5"/>
  <c r="AJ10" i="5" s="1"/>
  <c r="AQ6" i="21"/>
  <c r="BM6" i="21" s="1"/>
  <c r="AS7" i="5"/>
  <c r="BO7" i="5" s="1"/>
  <c r="B4" i="5"/>
  <c r="BP5" i="5"/>
  <c r="CA5" i="5" s="1"/>
  <c r="CL5" i="5" s="1"/>
  <c r="CW5" i="5" s="1"/>
  <c r="DH5" i="5" s="1"/>
  <c r="CO5" i="21" l="1"/>
  <c r="CZ5" i="21" s="1"/>
  <c r="DK5" i="21" s="1"/>
  <c r="E5" i="21" s="1"/>
  <c r="BX7" i="5"/>
  <c r="CI7" i="5" s="1"/>
  <c r="CR6" i="5"/>
  <c r="DC6" i="5" s="1"/>
  <c r="DN6" i="5" s="1"/>
  <c r="H6" i="5" s="1"/>
  <c r="CR6" i="21"/>
  <c r="DC6" i="21" s="1"/>
  <c r="DN6" i="21" s="1"/>
  <c r="H6" i="21" s="1"/>
  <c r="CI6" i="21"/>
  <c r="BX7" i="21" s="1"/>
  <c r="BB6" i="21"/>
  <c r="AQ7" i="21" s="1"/>
  <c r="BM7" i="21" s="1"/>
  <c r="AY15" i="5"/>
  <c r="AN16" i="5" s="1"/>
  <c r="BJ16" i="5" s="1"/>
  <c r="AV8" i="5"/>
  <c r="AK9" i="5" s="1"/>
  <c r="BG9" i="5" s="1"/>
  <c r="AY7" i="21"/>
  <c r="AN8" i="21" s="1"/>
  <c r="BJ8" i="21" s="1"/>
  <c r="I6" i="5"/>
  <c r="CC7" i="21"/>
  <c r="CN7" i="21" s="1"/>
  <c r="CY7" i="21" s="1"/>
  <c r="DJ7" i="21" s="1"/>
  <c r="BW7" i="21"/>
  <c r="CN6" i="21"/>
  <c r="CY6" i="21" s="1"/>
  <c r="DJ6" i="21" s="1"/>
  <c r="D6" i="21" s="1"/>
  <c r="AW8" i="5"/>
  <c r="AL9" i="5" s="1"/>
  <c r="BH9" i="5" s="1"/>
  <c r="BP6" i="21"/>
  <c r="CA6" i="21" s="1"/>
  <c r="CL5" i="21"/>
  <c r="CW5" i="21" s="1"/>
  <c r="DH5" i="21" s="1"/>
  <c r="B5" i="21" s="1"/>
  <c r="AZ8" i="5"/>
  <c r="AO9" i="5" s="1"/>
  <c r="BK8" i="5"/>
  <c r="AT6" i="21"/>
  <c r="BB14" i="5"/>
  <c r="AQ15" i="5" s="1"/>
  <c r="BM14" i="5"/>
  <c r="CM6" i="21"/>
  <c r="CX6" i="21" s="1"/>
  <c r="DI6" i="21" s="1"/>
  <c r="C6" i="21" s="1"/>
  <c r="BQ7" i="21"/>
  <c r="BD7" i="21"/>
  <c r="CT7" i="5"/>
  <c r="DE7" i="5" s="1"/>
  <c r="DP7" i="5" s="1"/>
  <c r="J7" i="5" s="1"/>
  <c r="BX8" i="5"/>
  <c r="CI8" i="5" s="1"/>
  <c r="AO7" i="21"/>
  <c r="BK7" i="21" s="1"/>
  <c r="CG7" i="21" s="1"/>
  <c r="CV5" i="5"/>
  <c r="DG5" i="5" s="1"/>
  <c r="DR5" i="5" s="1"/>
  <c r="L5" i="5" s="1"/>
  <c r="BZ6" i="5"/>
  <c r="CK6" i="5" s="1"/>
  <c r="BU7" i="21"/>
  <c r="CF7" i="21" s="1"/>
  <c r="CQ6" i="21"/>
  <c r="DB6" i="21" s="1"/>
  <c r="DM6" i="21" s="1"/>
  <c r="G6" i="21" s="1"/>
  <c r="BW8" i="5"/>
  <c r="CH8" i="5" s="1"/>
  <c r="CS7" i="5"/>
  <c r="DD7" i="5" s="1"/>
  <c r="DO7" i="5" s="1"/>
  <c r="BV8" i="5"/>
  <c r="CR7" i="5"/>
  <c r="DC7" i="5" s="1"/>
  <c r="DN7" i="5" s="1"/>
  <c r="H7" i="5" s="1"/>
  <c r="CM6" i="5"/>
  <c r="CX6" i="5" s="1"/>
  <c r="DI6" i="5" s="1"/>
  <c r="C6" i="5" s="1"/>
  <c r="BQ7" i="5"/>
  <c r="CB7" i="5" s="1"/>
  <c r="CO6" i="5"/>
  <c r="CZ6" i="5" s="1"/>
  <c r="DK6" i="5" s="1"/>
  <c r="E6" i="5" s="1"/>
  <c r="BS7" i="5"/>
  <c r="CD7" i="5" s="1"/>
  <c r="AT7" i="5"/>
  <c r="AI8" i="5" s="1"/>
  <c r="BE8" i="5" s="1"/>
  <c r="BU7" i="5"/>
  <c r="CF7" i="5" s="1"/>
  <c r="CQ6" i="5"/>
  <c r="DB6" i="5" s="1"/>
  <c r="DM6" i="5" s="1"/>
  <c r="G6" i="5" s="1"/>
  <c r="CN6" i="5"/>
  <c r="CY6" i="5" s="1"/>
  <c r="DJ6" i="5" s="1"/>
  <c r="D6" i="5" s="1"/>
  <c r="BR7" i="5"/>
  <c r="CC7" i="5" s="1"/>
  <c r="AV7" i="21"/>
  <c r="CV6" i="21"/>
  <c r="DG6" i="21" s="1"/>
  <c r="DR6" i="21" s="1"/>
  <c r="L6" i="21" s="1"/>
  <c r="BZ7" i="21"/>
  <c r="CK7" i="21" s="1"/>
  <c r="BA9" i="5"/>
  <c r="AP10" i="5" s="1"/>
  <c r="BL9" i="5"/>
  <c r="AL7" i="21"/>
  <c r="BH7" i="21" s="1"/>
  <c r="BD7" i="5"/>
  <c r="AP7" i="21"/>
  <c r="BL7" i="21" s="1"/>
  <c r="BY8" i="21"/>
  <c r="CU7" i="21"/>
  <c r="DF7" i="21" s="1"/>
  <c r="DQ7" i="21" s="1"/>
  <c r="K7" i="21" s="1"/>
  <c r="AR8" i="21"/>
  <c r="BN8" i="21" s="1"/>
  <c r="CU6" i="5"/>
  <c r="DF6" i="5" s="1"/>
  <c r="DQ6" i="5" s="1"/>
  <c r="K6" i="5" s="1"/>
  <c r="BY7" i="5"/>
  <c r="CJ7" i="5" s="1"/>
  <c r="AU10" i="5"/>
  <c r="BF10" i="5"/>
  <c r="AJ7" i="21"/>
  <c r="BF7" i="21" s="1"/>
  <c r="BC8" i="5"/>
  <c r="AR9" i="5" s="1"/>
  <c r="BN8" i="5"/>
  <c r="CO6" i="21"/>
  <c r="CZ6" i="21" s="1"/>
  <c r="DK6" i="21" s="1"/>
  <c r="E6" i="21" s="1"/>
  <c r="BS7" i="21"/>
  <c r="B5" i="5"/>
  <c r="BP6" i="5"/>
  <c r="CA6" i="5" s="1"/>
  <c r="CL6" i="5" s="1"/>
  <c r="CW6" i="5" s="1"/>
  <c r="DH6" i="5" s="1"/>
  <c r="CT6" i="21" l="1"/>
  <c r="DE6" i="21" s="1"/>
  <c r="DP6" i="21" s="1"/>
  <c r="J6" i="21" s="1"/>
  <c r="BR8" i="21"/>
  <c r="AW7" i="21"/>
  <c r="AV9" i="5"/>
  <c r="AK10" i="5" s="1"/>
  <c r="BG10" i="5" s="1"/>
  <c r="CH7" i="21"/>
  <c r="CS7" i="21" s="1"/>
  <c r="DD7" i="21" s="1"/>
  <c r="DO7" i="21" s="1"/>
  <c r="CG8" i="5"/>
  <c r="BV9" i="5" s="1"/>
  <c r="I7" i="5"/>
  <c r="AT8" i="5"/>
  <c r="AI9" i="5" s="1"/>
  <c r="BE9" i="5" s="1"/>
  <c r="D7" i="21"/>
  <c r="AV10" i="5"/>
  <c r="AK11" i="5" s="1"/>
  <c r="BG11" i="5" s="1"/>
  <c r="CD7" i="21"/>
  <c r="CO7" i="21" s="1"/>
  <c r="CZ7" i="21" s="1"/>
  <c r="DK7" i="21" s="1"/>
  <c r="E7" i="21" s="1"/>
  <c r="CI7" i="21"/>
  <c r="CT7" i="21" s="1"/>
  <c r="DE7" i="21" s="1"/>
  <c r="DP7" i="21" s="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Q8" i="21" s="1"/>
  <c r="BX9" i="5"/>
  <c r="CI9" i="5" s="1"/>
  <c r="CT8" i="5"/>
  <c r="DE8" i="5" s="1"/>
  <c r="DP8" i="5" s="1"/>
  <c r="J8" i="5" s="1"/>
  <c r="AK8" i="21"/>
  <c r="BG8" i="21" s="1"/>
  <c r="CC8" i="21" s="1"/>
  <c r="BC8" i="21"/>
  <c r="CU7" i="5"/>
  <c r="DF7" i="5" s="1"/>
  <c r="DQ7" i="5" s="1"/>
  <c r="K7" i="5" s="1"/>
  <c r="BY8" i="5"/>
  <c r="CJ8" i="5" s="1"/>
  <c r="BB15" i="5"/>
  <c r="AQ16" i="5" s="1"/>
  <c r="BM15" i="5"/>
  <c r="BR8" i="5"/>
  <c r="CC8" i="5" s="1"/>
  <c r="CN7" i="5"/>
  <c r="CY7" i="5" s="1"/>
  <c r="DJ7" i="5" s="1"/>
  <c r="D7" i="5" s="1"/>
  <c r="CQ7" i="5"/>
  <c r="DB7" i="5" s="1"/>
  <c r="DM7" i="5" s="1"/>
  <c r="G7" i="5" s="1"/>
  <c r="BU8" i="5"/>
  <c r="CF8" i="5" s="1"/>
  <c r="BZ7" i="5"/>
  <c r="CK7" i="5" s="1"/>
  <c r="CV6" i="5"/>
  <c r="DG6" i="5" s="1"/>
  <c r="DR6" i="5" s="1"/>
  <c r="L6" i="5" s="1"/>
  <c r="AI7" i="21"/>
  <c r="BE7" i="21" s="1"/>
  <c r="BQ8" i="5"/>
  <c r="CB8" i="5" s="1"/>
  <c r="CM7" i="5"/>
  <c r="CX7" i="5" s="1"/>
  <c r="DI7" i="5" s="1"/>
  <c r="C7" i="5" s="1"/>
  <c r="CJ8" i="21"/>
  <c r="BV8" i="21"/>
  <c r="CR7" i="21"/>
  <c r="DC7" i="21" s="1"/>
  <c r="DN7" i="21" s="1"/>
  <c r="H7" i="21" s="1"/>
  <c r="CV7" i="21"/>
  <c r="DG7" i="21" s="1"/>
  <c r="DR7" i="21" s="1"/>
  <c r="L7" i="21" s="1"/>
  <c r="BZ8" i="21"/>
  <c r="BW9" i="5"/>
  <c r="CH9" i="5" s="1"/>
  <c r="CS8" i="5"/>
  <c r="DD8" i="5" s="1"/>
  <c r="DO8" i="5" s="1"/>
  <c r="BS8" i="5"/>
  <c r="CD8" i="5" s="1"/>
  <c r="CO7" i="5"/>
  <c r="CZ7" i="5" s="1"/>
  <c r="DK7" i="5" s="1"/>
  <c r="E7" i="5" s="1"/>
  <c r="AZ9" i="5"/>
  <c r="AO10" i="5" s="1"/>
  <c r="BK9" i="5"/>
  <c r="AS8" i="21"/>
  <c r="BO8" i="21" s="1"/>
  <c r="AS8" i="5"/>
  <c r="BO8" i="5" s="1"/>
  <c r="AL8" i="21"/>
  <c r="BH8" i="21" s="1"/>
  <c r="AZ7" i="21"/>
  <c r="CQ7" i="21"/>
  <c r="DB7" i="21" s="1"/>
  <c r="DM7" i="21" s="1"/>
  <c r="G7" i="21" s="1"/>
  <c r="BU8" i="21"/>
  <c r="CF8" i="21" s="1"/>
  <c r="BC9" i="5"/>
  <c r="AR10" i="5" s="1"/>
  <c r="BN9" i="5"/>
  <c r="BA10" i="5"/>
  <c r="AP11" i="5" s="1"/>
  <c r="BL10" i="5"/>
  <c r="CR8" i="5"/>
  <c r="DC8" i="5" s="1"/>
  <c r="DN8" i="5" s="1"/>
  <c r="H8" i="5" s="1"/>
  <c r="BA7" i="21"/>
  <c r="AJ11" i="5"/>
  <c r="BF11" i="5" s="1"/>
  <c r="CL6" i="21"/>
  <c r="CW6" i="21" s="1"/>
  <c r="DH6" i="21" s="1"/>
  <c r="B6" i="21" s="1"/>
  <c r="BP7" i="21"/>
  <c r="B6" i="5"/>
  <c r="BP7" i="5"/>
  <c r="CA7" i="5" s="1"/>
  <c r="CL7" i="5" s="1"/>
  <c r="CW7" i="5" s="1"/>
  <c r="DH7" i="5" s="1"/>
  <c r="J7" i="21" l="1"/>
  <c r="I8" i="5"/>
  <c r="BW8" i="21"/>
  <c r="AT9" i="5"/>
  <c r="AI10" i="5" s="1"/>
  <c r="BE10" i="5" s="1"/>
  <c r="BS8" i="21"/>
  <c r="CD8" i="21" s="1"/>
  <c r="CO8" i="21" s="1"/>
  <c r="CZ8" i="21" s="1"/>
  <c r="DK8" i="21" s="1"/>
  <c r="E8" i="21" s="1"/>
  <c r="BD8" i="21"/>
  <c r="AS9" i="21" s="1"/>
  <c r="BO9" i="21" s="1"/>
  <c r="AV11" i="5"/>
  <c r="AK12" i="5" s="1"/>
  <c r="BG12" i="5" s="1"/>
  <c r="BX8" i="21"/>
  <c r="CI8" i="21" s="1"/>
  <c r="CT8" i="21" s="1"/>
  <c r="DE8" i="21" s="1"/>
  <c r="DP8" i="21" s="1"/>
  <c r="J8" i="21" s="1"/>
  <c r="AW8" i="21"/>
  <c r="AL9" i="21" s="1"/>
  <c r="BH9" i="21" s="1"/>
  <c r="AW10" i="5"/>
  <c r="AL11" i="5" s="1"/>
  <c r="BH11" i="5" s="1"/>
  <c r="CM7" i="21"/>
  <c r="CX7" i="21" s="1"/>
  <c r="DI7" i="21" s="1"/>
  <c r="C7" i="21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CG9" i="5"/>
  <c r="BV10" i="5" s="1"/>
  <c r="BR9" i="21"/>
  <c r="CN8" i="21"/>
  <c r="CY8" i="21" s="1"/>
  <c r="DJ8" i="21" s="1"/>
  <c r="D8" i="21" s="1"/>
  <c r="BQ9" i="5"/>
  <c r="CB9" i="5" s="1"/>
  <c r="CM8" i="5"/>
  <c r="CX8" i="5" s="1"/>
  <c r="DI8" i="5" s="1"/>
  <c r="C8" i="5" s="1"/>
  <c r="BY9" i="21"/>
  <c r="CU8" i="21"/>
  <c r="DF8" i="21" s="1"/>
  <c r="DQ8" i="21" s="1"/>
  <c r="K8" i="21" s="1"/>
  <c r="BA11" i="5"/>
  <c r="BL11" i="5"/>
  <c r="AZ10" i="5"/>
  <c r="AO11" i="5" s="1"/>
  <c r="BK10" i="5"/>
  <c r="BZ8" i="5"/>
  <c r="CK8" i="5" s="1"/>
  <c r="CV7" i="5"/>
  <c r="DG7" i="5" s="1"/>
  <c r="DR7" i="5" s="1"/>
  <c r="L7" i="5" s="1"/>
  <c r="CA7" i="21"/>
  <c r="AO8" i="21"/>
  <c r="BK8" i="21" s="1"/>
  <c r="CG8" i="21" s="1"/>
  <c r="CK8" i="21"/>
  <c r="CN8" i="5"/>
  <c r="CY8" i="5" s="1"/>
  <c r="DJ8" i="5" s="1"/>
  <c r="D8" i="5" s="1"/>
  <c r="BR9" i="5"/>
  <c r="CC9" i="5" s="1"/>
  <c r="CB8" i="21"/>
  <c r="BC10" i="5"/>
  <c r="AR11" i="5" s="1"/>
  <c r="BN10" i="5"/>
  <c r="CO8" i="5"/>
  <c r="CZ8" i="5" s="1"/>
  <c r="DK8" i="5" s="1"/>
  <c r="E8" i="5" s="1"/>
  <c r="BS9" i="5"/>
  <c r="CD9" i="5" s="1"/>
  <c r="AU11" i="5"/>
  <c r="AJ12" i="5" s="1"/>
  <c r="BB8" i="21"/>
  <c r="BU9" i="21"/>
  <c r="CF9" i="21" s="1"/>
  <c r="CQ8" i="21"/>
  <c r="DB8" i="21" s="1"/>
  <c r="DM8" i="21" s="1"/>
  <c r="G8" i="21" s="1"/>
  <c r="BU9" i="5"/>
  <c r="CF9" i="5" s="1"/>
  <c r="CQ8" i="5"/>
  <c r="DB8" i="5" s="1"/>
  <c r="DM8" i="5" s="1"/>
  <c r="G8" i="5" s="1"/>
  <c r="BW10" i="5"/>
  <c r="CH10" i="5" s="1"/>
  <c r="CS9" i="5"/>
  <c r="DD9" i="5" s="1"/>
  <c r="DO9" i="5" s="1"/>
  <c r="I9" i="5" s="1"/>
  <c r="AP8" i="21"/>
  <c r="BL8" i="21" s="1"/>
  <c r="CH8" i="21" s="1"/>
  <c r="CU8" i="5"/>
  <c r="DF8" i="5" s="1"/>
  <c r="DQ8" i="5" s="1"/>
  <c r="K8" i="5" s="1"/>
  <c r="BY9" i="5"/>
  <c r="CJ9" i="5" s="1"/>
  <c r="AR9" i="21"/>
  <c r="BN9" i="21" s="1"/>
  <c r="BD8" i="5"/>
  <c r="AS9" i="5" s="1"/>
  <c r="BB16" i="5"/>
  <c r="BM16" i="5"/>
  <c r="CT9" i="5"/>
  <c r="DE9" i="5" s="1"/>
  <c r="DP9" i="5" s="1"/>
  <c r="J9" i="5" s="1"/>
  <c r="BX10" i="5"/>
  <c r="CI10" i="5" s="1"/>
  <c r="B7" i="5"/>
  <c r="BP8" i="5"/>
  <c r="CA8" i="5" s="1"/>
  <c r="CL8" i="5" s="1"/>
  <c r="CW8" i="5" s="1"/>
  <c r="DH8" i="5" s="1"/>
  <c r="AT10" i="5"/>
  <c r="AI11" i="5" s="1"/>
  <c r="BE11" i="5" s="1"/>
  <c r="AV12" i="5" l="1"/>
  <c r="AK13" i="5" s="1"/>
  <c r="BX9" i="21"/>
  <c r="BS9" i="21"/>
  <c r="AW11" i="5"/>
  <c r="AL12" i="5" s="1"/>
  <c r="AU9" i="21"/>
  <c r="BE8" i="21"/>
  <c r="AT8" i="21"/>
  <c r="AI9" i="21" s="1"/>
  <c r="BE9" i="21" s="1"/>
  <c r="AZ8" i="21"/>
  <c r="AO9" i="21" s="1"/>
  <c r="BK9" i="21" s="1"/>
  <c r="CR9" i="5"/>
  <c r="DC9" i="5" s="1"/>
  <c r="DN9" i="5" s="1"/>
  <c r="H9" i="5" s="1"/>
  <c r="CD9" i="21"/>
  <c r="BS10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11" i="5" s="1"/>
  <c r="BV9" i="21"/>
  <c r="CR8" i="21"/>
  <c r="DC8" i="21" s="1"/>
  <c r="DN8" i="21" s="1"/>
  <c r="H8" i="21" s="1"/>
  <c r="BW9" i="21"/>
  <c r="CS8" i="21"/>
  <c r="DD8" i="21" s="1"/>
  <c r="DO8" i="21" s="1"/>
  <c r="AU12" i="5"/>
  <c r="AJ13" i="5" s="1"/>
  <c r="BF12" i="5"/>
  <c r="BD9" i="5"/>
  <c r="BO9" i="5"/>
  <c r="AQ9" i="21"/>
  <c r="BM9" i="21" s="1"/>
  <c r="CI9" i="21" s="1"/>
  <c r="BP8" i="21"/>
  <c r="CL7" i="21"/>
  <c r="CW7" i="21" s="1"/>
  <c r="DH7" i="21" s="1"/>
  <c r="B7" i="21" s="1"/>
  <c r="AV13" i="5"/>
  <c r="AK14" i="5" s="1"/>
  <c r="BG13" i="5"/>
  <c r="AP12" i="5"/>
  <c r="BL12" i="5" s="1"/>
  <c r="BD9" i="21"/>
  <c r="AZ11" i="5"/>
  <c r="BK11" i="5"/>
  <c r="BC11" i="5"/>
  <c r="BN11" i="5"/>
  <c r="CJ9" i="21"/>
  <c r="CN9" i="5"/>
  <c r="CY9" i="5" s="1"/>
  <c r="DJ9" i="5" s="1"/>
  <c r="D9" i="5" s="1"/>
  <c r="BR10" i="5"/>
  <c r="CC10" i="5" s="1"/>
  <c r="BZ9" i="21"/>
  <c r="CK9" i="21" s="1"/>
  <c r="CV8" i="21"/>
  <c r="DG8" i="21" s="1"/>
  <c r="DR8" i="21" s="1"/>
  <c r="L8" i="21" s="1"/>
  <c r="BW11" i="5"/>
  <c r="CH11" i="5" s="1"/>
  <c r="CS10" i="5"/>
  <c r="DD10" i="5" s="1"/>
  <c r="DO10" i="5" s="1"/>
  <c r="I10" i="5" s="1"/>
  <c r="CT10" i="5"/>
  <c r="DE10" i="5" s="1"/>
  <c r="DP10" i="5" s="1"/>
  <c r="J10" i="5" s="1"/>
  <c r="BX11" i="5"/>
  <c r="CI11" i="5" s="1"/>
  <c r="BZ9" i="5"/>
  <c r="CV8" i="5"/>
  <c r="DG8" i="5" s="1"/>
  <c r="DR8" i="5" s="1"/>
  <c r="L8" i="5" s="1"/>
  <c r="BQ10" i="5"/>
  <c r="CB10" i="5" s="1"/>
  <c r="CM9" i="5"/>
  <c r="CX9" i="5" s="1"/>
  <c r="DI9" i="5" s="1"/>
  <c r="C9" i="5" s="1"/>
  <c r="CQ9" i="21"/>
  <c r="DB9" i="21" s="1"/>
  <c r="DM9" i="21" s="1"/>
  <c r="G9" i="21" s="1"/>
  <c r="BU10" i="21"/>
  <c r="CF10" i="21" s="1"/>
  <c r="BS10" i="5"/>
  <c r="CD10" i="5" s="1"/>
  <c r="CO9" i="5"/>
  <c r="CZ9" i="5" s="1"/>
  <c r="DK9" i="5" s="1"/>
  <c r="E9" i="5" s="1"/>
  <c r="AW12" i="5"/>
  <c r="AL13" i="5" s="1"/>
  <c r="BH12" i="5"/>
  <c r="BA8" i="21"/>
  <c r="BU10" i="5"/>
  <c r="CF10" i="5" s="1"/>
  <c r="CQ9" i="5"/>
  <c r="DB9" i="5" s="1"/>
  <c r="DM9" i="5" s="1"/>
  <c r="G9" i="5" s="1"/>
  <c r="AJ10" i="21"/>
  <c r="BF10" i="21" s="1"/>
  <c r="BY10" i="5"/>
  <c r="CJ10" i="5" s="1"/>
  <c r="CU9" i="5"/>
  <c r="DF9" i="5" s="1"/>
  <c r="DQ9" i="5" s="1"/>
  <c r="K9" i="5" s="1"/>
  <c r="CM8" i="21"/>
  <c r="CX8" i="21" s="1"/>
  <c r="DI8" i="21" s="1"/>
  <c r="C8" i="21" s="1"/>
  <c r="BQ9" i="21"/>
  <c r="CB9" i="21" s="1"/>
  <c r="CC9" i="21"/>
  <c r="B8" i="5"/>
  <c r="BP9" i="5"/>
  <c r="CA9" i="5" s="1"/>
  <c r="CL9" i="5" s="1"/>
  <c r="CW9" i="5" s="1"/>
  <c r="DH9" i="5" s="1"/>
  <c r="AT11" i="5"/>
  <c r="AI12" i="5" s="1"/>
  <c r="BE12" i="5" s="1"/>
  <c r="CO9" i="21" l="1"/>
  <c r="CZ9" i="21" s="1"/>
  <c r="DK9" i="21" s="1"/>
  <c r="E9" i="21" s="1"/>
  <c r="CA8" i="21"/>
  <c r="BP9" i="21" s="1"/>
  <c r="CA9" i="21" s="1"/>
  <c r="CR10" i="5"/>
  <c r="DC10" i="5" s="1"/>
  <c r="DN10" i="5" s="1"/>
  <c r="H10" i="5" s="1"/>
  <c r="AT9" i="21"/>
  <c r="AI10" i="21" s="1"/>
  <c r="BE10" i="21" s="1"/>
  <c r="BC10" i="21"/>
  <c r="AR11" i="21" s="1"/>
  <c r="BN11" i="21" s="1"/>
  <c r="BB9" i="21"/>
  <c r="AQ10" i="21" s="1"/>
  <c r="BM10" i="21" s="1"/>
  <c r="CK9" i="5"/>
  <c r="BZ10" i="5" s="1"/>
  <c r="AY11" i="21"/>
  <c r="AN12" i="21" s="1"/>
  <c r="BJ12" i="21" s="1"/>
  <c r="CD10" i="21"/>
  <c r="BS11" i="21" s="1"/>
  <c r="BA12" i="5"/>
  <c r="AP13" i="5" s="1"/>
  <c r="BL13" i="5" s="1"/>
  <c r="AU10" i="21"/>
  <c r="AJ11" i="21" s="1"/>
  <c r="BF11" i="21" s="1"/>
  <c r="AW10" i="21"/>
  <c r="AL11" i="21" s="1"/>
  <c r="BH11" i="21" s="1"/>
  <c r="CT9" i="21"/>
  <c r="DE9" i="21" s="1"/>
  <c r="DP9" i="21" s="1"/>
  <c r="J9" i="21" s="1"/>
  <c r="BX10" i="21"/>
  <c r="CU10" i="5"/>
  <c r="DF10" i="5" s="1"/>
  <c r="DQ10" i="5" s="1"/>
  <c r="K10" i="5" s="1"/>
  <c r="BY11" i="5"/>
  <c r="CJ11" i="5" s="1"/>
  <c r="AO12" i="5"/>
  <c r="BK12" i="5" s="1"/>
  <c r="CM10" i="5"/>
  <c r="CX10" i="5" s="1"/>
  <c r="DI10" i="5" s="1"/>
  <c r="C10" i="5" s="1"/>
  <c r="BQ11" i="5"/>
  <c r="CB11" i="5" s="1"/>
  <c r="AS10" i="5"/>
  <c r="BO10" i="5" s="1"/>
  <c r="BU11" i="5"/>
  <c r="CF11" i="5" s="1"/>
  <c r="CQ10" i="5"/>
  <c r="DB10" i="5" s="1"/>
  <c r="DM10" i="5" s="1"/>
  <c r="G10" i="5" s="1"/>
  <c r="CO10" i="21"/>
  <c r="CZ10" i="21" s="1"/>
  <c r="DK10" i="21" s="1"/>
  <c r="AS10" i="21"/>
  <c r="BO10" i="21" s="1"/>
  <c r="CG11" i="5"/>
  <c r="AU13" i="5"/>
  <c r="AJ14" i="5" s="1"/>
  <c r="BF13" i="5"/>
  <c r="BS11" i="5"/>
  <c r="CD11" i="5" s="1"/>
  <c r="CO10" i="5"/>
  <c r="CZ10" i="5" s="1"/>
  <c r="DK10" i="5" s="1"/>
  <c r="E10" i="5" s="1"/>
  <c r="AV10" i="21"/>
  <c r="BX12" i="5"/>
  <c r="CI12" i="5" s="1"/>
  <c r="CT11" i="5"/>
  <c r="DE11" i="5" s="1"/>
  <c r="DP11" i="5" s="1"/>
  <c r="J11" i="5" s="1"/>
  <c r="BW12" i="5"/>
  <c r="CH12" i="5" s="1"/>
  <c r="CS11" i="5"/>
  <c r="DD11" i="5" s="1"/>
  <c r="DO11" i="5" s="1"/>
  <c r="I11" i="5" s="1"/>
  <c r="CN9" i="21"/>
  <c r="CY9" i="21" s="1"/>
  <c r="DJ9" i="21" s="1"/>
  <c r="D9" i="21" s="1"/>
  <c r="BR10" i="21"/>
  <c r="CC10" i="21" s="1"/>
  <c r="CV9" i="21"/>
  <c r="DG9" i="21" s="1"/>
  <c r="DR9" i="21" s="1"/>
  <c r="L9" i="21" s="1"/>
  <c r="BZ10" i="21"/>
  <c r="BQ10" i="21"/>
  <c r="CB10" i="21" s="1"/>
  <c r="CM9" i="21"/>
  <c r="CX9" i="21" s="1"/>
  <c r="DI9" i="21" s="1"/>
  <c r="C9" i="21" s="1"/>
  <c r="BU11" i="21"/>
  <c r="CF11" i="21" s="1"/>
  <c r="CQ10" i="21"/>
  <c r="DB10" i="21" s="1"/>
  <c r="DM10" i="21" s="1"/>
  <c r="G10" i="21" s="1"/>
  <c r="BR11" i="5"/>
  <c r="CC11" i="5" s="1"/>
  <c r="CN10" i="5"/>
  <c r="CY10" i="5" s="1"/>
  <c r="DJ10" i="5" s="1"/>
  <c r="D10" i="5" s="1"/>
  <c r="AZ9" i="21"/>
  <c r="AP9" i="21"/>
  <c r="BL9" i="21" s="1"/>
  <c r="CH9" i="21" s="1"/>
  <c r="AW13" i="5"/>
  <c r="BH13" i="5"/>
  <c r="AR12" i="5"/>
  <c r="BN12" i="5" s="1"/>
  <c r="BY10" i="21"/>
  <c r="CJ10" i="21" s="1"/>
  <c r="CU9" i="21"/>
  <c r="DF9" i="21" s="1"/>
  <c r="DQ9" i="21" s="1"/>
  <c r="K9" i="21" s="1"/>
  <c r="AV14" i="5"/>
  <c r="AK15" i="5" s="1"/>
  <c r="BG14" i="5"/>
  <c r="CG9" i="21"/>
  <c r="B9" i="5"/>
  <c r="BP10" i="5"/>
  <c r="CA10" i="5" s="1"/>
  <c r="CL10" i="5" s="1"/>
  <c r="CW10" i="5" s="1"/>
  <c r="DH10" i="5" s="1"/>
  <c r="AT12" i="5"/>
  <c r="E10" i="21" l="1"/>
  <c r="BA13" i="5"/>
  <c r="CL8" i="21"/>
  <c r="CW8" i="21" s="1"/>
  <c r="DH8" i="21" s="1"/>
  <c r="B8" i="21" s="1"/>
  <c r="CV9" i="5"/>
  <c r="DG9" i="5" s="1"/>
  <c r="DR9" i="5" s="1"/>
  <c r="L9" i="5" s="1"/>
  <c r="AU11" i="21"/>
  <c r="AT10" i="21"/>
  <c r="AI11" i="21" s="1"/>
  <c r="BE11" i="21" s="1"/>
  <c r="BB10" i="21"/>
  <c r="BC12" i="5"/>
  <c r="AR13" i="5" s="1"/>
  <c r="BN13" i="5" s="1"/>
  <c r="AZ12" i="5"/>
  <c r="AO13" i="5" s="1"/>
  <c r="AY12" i="21"/>
  <c r="AN13" i="21" s="1"/>
  <c r="BJ13" i="21" s="1"/>
  <c r="CK10" i="5"/>
  <c r="BZ11" i="5" s="1"/>
  <c r="BD10" i="21"/>
  <c r="AS11" i="21" s="1"/>
  <c r="BO11" i="21" s="1"/>
  <c r="BW10" i="21"/>
  <c r="CS9" i="21"/>
  <c r="DD9" i="21" s="1"/>
  <c r="DO9" i="21" s="1"/>
  <c r="BY11" i="21"/>
  <c r="CJ11" i="21" s="1"/>
  <c r="CU10" i="21"/>
  <c r="DF10" i="21" s="1"/>
  <c r="DQ10" i="21" s="1"/>
  <c r="K10" i="21" s="1"/>
  <c r="AU14" i="5"/>
  <c r="AJ15" i="5" s="1"/>
  <c r="BF14" i="5"/>
  <c r="BD10" i="5"/>
  <c r="AS11" i="5" s="1"/>
  <c r="CO11" i="5"/>
  <c r="CZ11" i="5" s="1"/>
  <c r="DK11" i="5" s="1"/>
  <c r="E11" i="5" s="1"/>
  <c r="BS12" i="5"/>
  <c r="CD12" i="5" s="1"/>
  <c r="CL9" i="21"/>
  <c r="CW9" i="21" s="1"/>
  <c r="DH9" i="21" s="1"/>
  <c r="B9" i="21" s="1"/>
  <c r="BP10" i="21"/>
  <c r="CA10" i="21" s="1"/>
  <c r="BR12" i="5"/>
  <c r="CC12" i="5" s="1"/>
  <c r="CN11" i="5"/>
  <c r="CY11" i="5" s="1"/>
  <c r="DJ11" i="5" s="1"/>
  <c r="D11" i="5" s="1"/>
  <c r="BV12" i="5"/>
  <c r="CG12" i="5" s="1"/>
  <c r="CR11" i="5"/>
  <c r="DC11" i="5" s="1"/>
  <c r="DN11" i="5" s="1"/>
  <c r="H11" i="5" s="1"/>
  <c r="BQ11" i="21"/>
  <c r="CB11" i="21" s="1"/>
  <c r="CM10" i="21"/>
  <c r="CX10" i="21" s="1"/>
  <c r="DI10" i="21" s="1"/>
  <c r="C10" i="21" s="1"/>
  <c r="AJ12" i="21"/>
  <c r="BF12" i="21" s="1"/>
  <c r="AQ11" i="21"/>
  <c r="BM11" i="21" s="1"/>
  <c r="CK10" i="21"/>
  <c r="BC11" i="21"/>
  <c r="AL14" i="5"/>
  <c r="BH14" i="5" s="1"/>
  <c r="BW13" i="5"/>
  <c r="CH13" i="5" s="1"/>
  <c r="CS12" i="5"/>
  <c r="DD12" i="5" s="1"/>
  <c r="DO12" i="5" s="1"/>
  <c r="I12" i="5" s="1"/>
  <c r="AP14" i="5"/>
  <c r="BL14" i="5" s="1"/>
  <c r="AW11" i="21"/>
  <c r="CN10" i="21"/>
  <c r="CY10" i="21" s="1"/>
  <c r="DJ10" i="21" s="1"/>
  <c r="D10" i="21" s="1"/>
  <c r="BR11" i="21"/>
  <c r="BV10" i="21"/>
  <c r="CR9" i="21"/>
  <c r="DC9" i="21" s="1"/>
  <c r="DN9" i="21" s="1"/>
  <c r="H9" i="21" s="1"/>
  <c r="BA9" i="21"/>
  <c r="CU11" i="5"/>
  <c r="DF11" i="5" s="1"/>
  <c r="DQ11" i="5" s="1"/>
  <c r="K11" i="5" s="1"/>
  <c r="BY12" i="5"/>
  <c r="CJ12" i="5" s="1"/>
  <c r="BX13" i="5"/>
  <c r="CI13" i="5" s="1"/>
  <c r="CT12" i="5"/>
  <c r="DE12" i="5" s="1"/>
  <c r="DP12" i="5" s="1"/>
  <c r="J12" i="5" s="1"/>
  <c r="CV10" i="5"/>
  <c r="DG10" i="5" s="1"/>
  <c r="DR10" i="5" s="1"/>
  <c r="L10" i="5" s="1"/>
  <c r="BU12" i="21"/>
  <c r="CF12" i="21" s="1"/>
  <c r="CQ11" i="21"/>
  <c r="DB11" i="21" s="1"/>
  <c r="DM11" i="21" s="1"/>
  <c r="G11" i="21" s="1"/>
  <c r="CD11" i="21"/>
  <c r="AV15" i="5"/>
  <c r="BG15" i="5"/>
  <c r="AK11" i="21"/>
  <c r="BG11" i="21" s="1"/>
  <c r="CI10" i="21"/>
  <c r="BQ12" i="5"/>
  <c r="CB12" i="5" s="1"/>
  <c r="CM11" i="5"/>
  <c r="CX11" i="5" s="1"/>
  <c r="DI11" i="5" s="1"/>
  <c r="C11" i="5" s="1"/>
  <c r="AZ13" i="5"/>
  <c r="BK13" i="5"/>
  <c r="AO10" i="21"/>
  <c r="BK10" i="21" s="1"/>
  <c r="CQ11" i="5"/>
  <c r="DB11" i="5" s="1"/>
  <c r="DM11" i="5" s="1"/>
  <c r="G11" i="5" s="1"/>
  <c r="BU12" i="5"/>
  <c r="CF12" i="5" s="1"/>
  <c r="B10" i="5"/>
  <c r="BP11" i="5"/>
  <c r="CA11" i="5" s="1"/>
  <c r="CL11" i="5" s="1"/>
  <c r="CW11" i="5" s="1"/>
  <c r="DH11" i="5" s="1"/>
  <c r="AI13" i="5"/>
  <c r="BE13" i="5" s="1"/>
  <c r="BC13" i="5" l="1"/>
  <c r="AR14" i="5" s="1"/>
  <c r="AT11" i="21"/>
  <c r="AI12" i="21" s="1"/>
  <c r="BE12" i="21" s="1"/>
  <c r="BD11" i="21"/>
  <c r="BA14" i="5"/>
  <c r="AP15" i="5" s="1"/>
  <c r="BL15" i="5" s="1"/>
  <c r="AU12" i="21"/>
  <c r="AW14" i="5"/>
  <c r="AL15" i="5" s="1"/>
  <c r="BH15" i="5" s="1"/>
  <c r="AV11" i="21"/>
  <c r="AK12" i="21" s="1"/>
  <c r="BG12" i="21" s="1"/>
  <c r="BX14" i="5"/>
  <c r="CI14" i="5" s="1"/>
  <c r="CT13" i="5"/>
  <c r="DE13" i="5" s="1"/>
  <c r="DP13" i="5" s="1"/>
  <c r="J13" i="5" s="1"/>
  <c r="CL10" i="21"/>
  <c r="CW10" i="21" s="1"/>
  <c r="DH10" i="21" s="1"/>
  <c r="B10" i="21" s="1"/>
  <c r="BP11" i="21"/>
  <c r="CA11" i="21" s="1"/>
  <c r="AW15" i="5"/>
  <c r="CO12" i="5"/>
  <c r="CZ12" i="5" s="1"/>
  <c r="DK12" i="5" s="1"/>
  <c r="E12" i="5" s="1"/>
  <c r="BS13" i="5"/>
  <c r="CD13" i="5" s="1"/>
  <c r="BD11" i="5"/>
  <c r="AS12" i="5" s="1"/>
  <c r="BO11" i="5"/>
  <c r="CK11" i="5" s="1"/>
  <c r="CR12" i="5"/>
  <c r="DC12" i="5" s="1"/>
  <c r="DN12" i="5" s="1"/>
  <c r="H12" i="5" s="1"/>
  <c r="BV13" i="5"/>
  <c r="CG13" i="5" s="1"/>
  <c r="CT10" i="21"/>
  <c r="DE10" i="21" s="1"/>
  <c r="DP10" i="21" s="1"/>
  <c r="J10" i="21" s="1"/>
  <c r="BX11" i="21"/>
  <c r="CI11" i="21" s="1"/>
  <c r="AY13" i="21"/>
  <c r="BB11" i="21"/>
  <c r="CG10" i="21"/>
  <c r="AJ13" i="21"/>
  <c r="BF13" i="21" s="1"/>
  <c r="AU15" i="5"/>
  <c r="BF15" i="5"/>
  <c r="AL12" i="21"/>
  <c r="BH12" i="21" s="1"/>
  <c r="AZ10" i="21"/>
  <c r="BW14" i="5"/>
  <c r="CH14" i="5" s="1"/>
  <c r="CS13" i="5"/>
  <c r="DD13" i="5" s="1"/>
  <c r="DO13" i="5" s="1"/>
  <c r="I13" i="5" s="1"/>
  <c r="CO11" i="21"/>
  <c r="CZ11" i="21" s="1"/>
  <c r="DK11" i="21" s="1"/>
  <c r="E11" i="21" s="1"/>
  <c r="BS12" i="21"/>
  <c r="BY12" i="21"/>
  <c r="CU11" i="21"/>
  <c r="DF11" i="21" s="1"/>
  <c r="DQ11" i="21" s="1"/>
  <c r="K11" i="21" s="1"/>
  <c r="AS12" i="21"/>
  <c r="BO12" i="21" s="1"/>
  <c r="AR12" i="21"/>
  <c r="BN12" i="21" s="1"/>
  <c r="BC14" i="5"/>
  <c r="AR15" i="5" s="1"/>
  <c r="BN14" i="5"/>
  <c r="CC11" i="21"/>
  <c r="BQ12" i="21"/>
  <c r="CB12" i="21" s="1"/>
  <c r="CM11" i="21"/>
  <c r="CX11" i="21" s="1"/>
  <c r="DI11" i="21" s="1"/>
  <c r="C11" i="21" s="1"/>
  <c r="CQ12" i="21"/>
  <c r="DB12" i="21" s="1"/>
  <c r="DM12" i="21" s="1"/>
  <c r="G12" i="21" s="1"/>
  <c r="BU13" i="21"/>
  <c r="CF13" i="21" s="1"/>
  <c r="BR13" i="5"/>
  <c r="CC13" i="5" s="1"/>
  <c r="CN12" i="5"/>
  <c r="CY12" i="5" s="1"/>
  <c r="DJ12" i="5" s="1"/>
  <c r="D12" i="5" s="1"/>
  <c r="AO14" i="5"/>
  <c r="BK14" i="5" s="1"/>
  <c r="BY13" i="5"/>
  <c r="CJ13" i="5" s="1"/>
  <c r="CU12" i="5"/>
  <c r="DF12" i="5" s="1"/>
  <c r="DQ12" i="5" s="1"/>
  <c r="K12" i="5" s="1"/>
  <c r="BQ13" i="5"/>
  <c r="CB13" i="5" s="1"/>
  <c r="CM12" i="5"/>
  <c r="CX12" i="5" s="1"/>
  <c r="DI12" i="5" s="1"/>
  <c r="C12" i="5" s="1"/>
  <c r="BZ11" i="21"/>
  <c r="CK11" i="21" s="1"/>
  <c r="CV10" i="21"/>
  <c r="DG10" i="21" s="1"/>
  <c r="DR10" i="21" s="1"/>
  <c r="L10" i="21" s="1"/>
  <c r="AP10" i="21"/>
  <c r="BL10" i="21" s="1"/>
  <c r="CH10" i="21" s="1"/>
  <c r="AK16" i="5"/>
  <c r="BG16" i="5" s="1"/>
  <c r="AV16" i="5"/>
  <c r="CQ12" i="5"/>
  <c r="DB12" i="5" s="1"/>
  <c r="DM12" i="5" s="1"/>
  <c r="G12" i="5" s="1"/>
  <c r="BU13" i="5"/>
  <c r="CF13" i="5" s="1"/>
  <c r="B11" i="5"/>
  <c r="BP12" i="5"/>
  <c r="CA12" i="5" s="1"/>
  <c r="CL12" i="5" s="1"/>
  <c r="CW12" i="5" s="1"/>
  <c r="DH12" i="5" s="1"/>
  <c r="AT13" i="5"/>
  <c r="AI14" i="5" s="1"/>
  <c r="BE14" i="5" s="1"/>
  <c r="BA15" i="5" l="1"/>
  <c r="AP16" i="5" s="1"/>
  <c r="BL16" i="5" s="1"/>
  <c r="AU13" i="21"/>
  <c r="CD12" i="21"/>
  <c r="BS13" i="21" s="1"/>
  <c r="AZ14" i="5"/>
  <c r="AO15" i="5" s="1"/>
  <c r="BK15" i="5" s="1"/>
  <c r="AV12" i="21"/>
  <c r="AK13" i="21" s="1"/>
  <c r="BG13" i="21" s="1"/>
  <c r="AW12" i="21"/>
  <c r="AL13" i="21" s="1"/>
  <c r="BH13" i="21" s="1"/>
  <c r="BZ12" i="5"/>
  <c r="CV11" i="5"/>
  <c r="DG11" i="5" s="1"/>
  <c r="DR11" i="5" s="1"/>
  <c r="L11" i="5" s="1"/>
  <c r="CS10" i="21"/>
  <c r="DD10" i="21" s="1"/>
  <c r="DO10" i="21" s="1"/>
  <c r="BW11" i="21"/>
  <c r="CM12" i="21"/>
  <c r="CX12" i="21" s="1"/>
  <c r="DI12" i="21" s="1"/>
  <c r="C12" i="21" s="1"/>
  <c r="BQ13" i="21"/>
  <c r="CB13" i="21" s="1"/>
  <c r="AN14" i="21"/>
  <c r="BJ14" i="21" s="1"/>
  <c r="CR13" i="5"/>
  <c r="DC13" i="5" s="1"/>
  <c r="DN13" i="5" s="1"/>
  <c r="H13" i="5" s="1"/>
  <c r="BV14" i="5"/>
  <c r="CG14" i="5" s="1"/>
  <c r="BS14" i="5"/>
  <c r="CD14" i="5" s="1"/>
  <c r="CO13" i="5"/>
  <c r="CZ13" i="5" s="1"/>
  <c r="DK13" i="5" s="1"/>
  <c r="E13" i="5" s="1"/>
  <c r="AJ14" i="21"/>
  <c r="BF14" i="21" s="1"/>
  <c r="AL16" i="5"/>
  <c r="BH16" i="5" s="1"/>
  <c r="AO11" i="21"/>
  <c r="BK11" i="21" s="1"/>
  <c r="CV11" i="21"/>
  <c r="DG11" i="21" s="1"/>
  <c r="DR11" i="21" s="1"/>
  <c r="L11" i="21" s="1"/>
  <c r="BZ12" i="21"/>
  <c r="CK12" i="21" s="1"/>
  <c r="BC12" i="21"/>
  <c r="CJ12" i="21"/>
  <c r="CL11" i="21"/>
  <c r="CW11" i="21" s="1"/>
  <c r="DH11" i="21" s="1"/>
  <c r="B11" i="21" s="1"/>
  <c r="BP12" i="21"/>
  <c r="CA12" i="21" s="1"/>
  <c r="BR12" i="21"/>
  <c r="CC12" i="21" s="1"/>
  <c r="CN11" i="21"/>
  <c r="CY11" i="21" s="1"/>
  <c r="DJ11" i="21" s="1"/>
  <c r="D11" i="21" s="1"/>
  <c r="BD12" i="5"/>
  <c r="AS13" i="5" s="1"/>
  <c r="BO12" i="5"/>
  <c r="BD12" i="21"/>
  <c r="CU13" i="5"/>
  <c r="DF13" i="5" s="1"/>
  <c r="DQ13" i="5" s="1"/>
  <c r="K13" i="5" s="1"/>
  <c r="BY14" i="5"/>
  <c r="CJ14" i="5" s="1"/>
  <c r="CR10" i="21"/>
  <c r="DC10" i="21" s="1"/>
  <c r="DN10" i="21" s="1"/>
  <c r="H10" i="21" s="1"/>
  <c r="BV11" i="21"/>
  <c r="BX12" i="21"/>
  <c r="CT11" i="21"/>
  <c r="DE11" i="21" s="1"/>
  <c r="DP11" i="21" s="1"/>
  <c r="J11" i="21" s="1"/>
  <c r="BA10" i="21"/>
  <c r="BC15" i="5"/>
  <c r="AR16" i="5" s="1"/>
  <c r="BN15" i="5"/>
  <c r="BR14" i="5"/>
  <c r="CC14" i="5" s="1"/>
  <c r="CN13" i="5"/>
  <c r="CY13" i="5" s="1"/>
  <c r="DJ13" i="5" s="1"/>
  <c r="D13" i="5" s="1"/>
  <c r="BX15" i="5"/>
  <c r="CI15" i="5" s="1"/>
  <c r="CT14" i="5"/>
  <c r="DE14" i="5" s="1"/>
  <c r="DP14" i="5" s="1"/>
  <c r="J14" i="5" s="1"/>
  <c r="BW15" i="5"/>
  <c r="CH15" i="5" s="1"/>
  <c r="CS14" i="5"/>
  <c r="DD14" i="5" s="1"/>
  <c r="DO14" i="5" s="1"/>
  <c r="I14" i="5" s="1"/>
  <c r="BQ14" i="5"/>
  <c r="CB14" i="5" s="1"/>
  <c r="CM13" i="5"/>
  <c r="CX13" i="5" s="1"/>
  <c r="DI13" i="5" s="1"/>
  <c r="C13" i="5" s="1"/>
  <c r="AJ16" i="5"/>
  <c r="BF16" i="5" s="1"/>
  <c r="BU14" i="5"/>
  <c r="CF14" i="5" s="1"/>
  <c r="CQ13" i="5"/>
  <c r="DB13" i="5" s="1"/>
  <c r="DM13" i="5" s="1"/>
  <c r="G13" i="5" s="1"/>
  <c r="BU14" i="21"/>
  <c r="CQ13" i="21"/>
  <c r="DB13" i="21" s="1"/>
  <c r="DM13" i="21" s="1"/>
  <c r="G13" i="21" s="1"/>
  <c r="AT12" i="21"/>
  <c r="AQ12" i="21"/>
  <c r="BM12" i="21" s="1"/>
  <c r="B12" i="5"/>
  <c r="BP13" i="5"/>
  <c r="CA13" i="5" s="1"/>
  <c r="AT14" i="5"/>
  <c r="AI15" i="5" s="1"/>
  <c r="BE15" i="5" s="1"/>
  <c r="BA16" i="5" l="1"/>
  <c r="AW16" i="5"/>
  <c r="AZ15" i="5"/>
  <c r="AO16" i="5" s="1"/>
  <c r="CO12" i="21"/>
  <c r="CZ12" i="21" s="1"/>
  <c r="DK12" i="21" s="1"/>
  <c r="E12" i="21" s="1"/>
  <c r="CG11" i="21"/>
  <c r="AY14" i="21"/>
  <c r="CF14" i="21"/>
  <c r="CQ14" i="21" s="1"/>
  <c r="DB14" i="21" s="1"/>
  <c r="DM14" i="21" s="1"/>
  <c r="G14" i="21" s="1"/>
  <c r="AZ11" i="21"/>
  <c r="AO12" i="21" s="1"/>
  <c r="BK12" i="21" s="1"/>
  <c r="AV13" i="21"/>
  <c r="AK14" i="21" s="1"/>
  <c r="BG14" i="21" s="1"/>
  <c r="AW13" i="21"/>
  <c r="AL14" i="21" s="1"/>
  <c r="BH14" i="21" s="1"/>
  <c r="CD13" i="21"/>
  <c r="BS14" i="21" s="1"/>
  <c r="CI12" i="21"/>
  <c r="BX13" i="21" s="1"/>
  <c r="BB12" i="21"/>
  <c r="AQ13" i="21" s="1"/>
  <c r="BM13" i="21" s="1"/>
  <c r="AU14" i="21"/>
  <c r="AJ15" i="21" s="1"/>
  <c r="BD13" i="5"/>
  <c r="AS14" i="5" s="1"/>
  <c r="BO13" i="5"/>
  <c r="CO14" i="5"/>
  <c r="CZ14" i="5" s="1"/>
  <c r="DK14" i="5" s="1"/>
  <c r="E14" i="5" s="1"/>
  <c r="BS15" i="5"/>
  <c r="CD15" i="5" s="1"/>
  <c r="BP13" i="21"/>
  <c r="CL12" i="21"/>
  <c r="CW12" i="21" s="1"/>
  <c r="DH12" i="21" s="1"/>
  <c r="B12" i="21" s="1"/>
  <c r="AN15" i="21"/>
  <c r="BJ15" i="21" s="1"/>
  <c r="BZ13" i="21"/>
  <c r="CV12" i="21"/>
  <c r="DG12" i="21" s="1"/>
  <c r="DR12" i="21" s="1"/>
  <c r="L12" i="21" s="1"/>
  <c r="BQ14" i="21"/>
  <c r="CB14" i="21" s="1"/>
  <c r="CM13" i="21"/>
  <c r="CX13" i="21" s="1"/>
  <c r="DI13" i="21" s="1"/>
  <c r="C13" i="21" s="1"/>
  <c r="CN14" i="5"/>
  <c r="CY14" i="5" s="1"/>
  <c r="DJ14" i="5" s="1"/>
  <c r="D14" i="5" s="1"/>
  <c r="BR15" i="5"/>
  <c r="CC15" i="5" s="1"/>
  <c r="BU15" i="5"/>
  <c r="CF15" i="5" s="1"/>
  <c r="CQ14" i="5"/>
  <c r="DB14" i="5" s="1"/>
  <c r="DM14" i="5" s="1"/>
  <c r="G14" i="5" s="1"/>
  <c r="AU16" i="5"/>
  <c r="BQ15" i="5"/>
  <c r="CB15" i="5" s="1"/>
  <c r="CM14" i="5"/>
  <c r="CX14" i="5" s="1"/>
  <c r="DI14" i="5" s="1"/>
  <c r="C14" i="5" s="1"/>
  <c r="AP11" i="21"/>
  <c r="BL11" i="21" s="1"/>
  <c r="CH11" i="21" s="1"/>
  <c r="AZ16" i="5"/>
  <c r="BK16" i="5"/>
  <c r="CT15" i="5"/>
  <c r="DE15" i="5" s="1"/>
  <c r="DP15" i="5" s="1"/>
  <c r="J15" i="5" s="1"/>
  <c r="BX16" i="5"/>
  <c r="CI16" i="5" s="1"/>
  <c r="BR13" i="21"/>
  <c r="CC13" i="21" s="1"/>
  <c r="CN12" i="21"/>
  <c r="CY12" i="21" s="1"/>
  <c r="DJ12" i="21" s="1"/>
  <c r="D12" i="21" s="1"/>
  <c r="CU12" i="21"/>
  <c r="DF12" i="21" s="1"/>
  <c r="DQ12" i="21" s="1"/>
  <c r="K12" i="21" s="1"/>
  <c r="BY13" i="21"/>
  <c r="BV12" i="21"/>
  <c r="CR11" i="21"/>
  <c r="DC11" i="21" s="1"/>
  <c r="DN11" i="21" s="1"/>
  <c r="H11" i="21" s="1"/>
  <c r="BY15" i="5"/>
  <c r="CJ15" i="5" s="1"/>
  <c r="CU14" i="5"/>
  <c r="DF14" i="5" s="1"/>
  <c r="DQ14" i="5" s="1"/>
  <c r="K14" i="5" s="1"/>
  <c r="AR13" i="21"/>
  <c r="BN13" i="21" s="1"/>
  <c r="BC16" i="5"/>
  <c r="BN16" i="5"/>
  <c r="BV15" i="5"/>
  <c r="CG15" i="5" s="1"/>
  <c r="CR14" i="5"/>
  <c r="DC14" i="5" s="1"/>
  <c r="DN14" i="5" s="1"/>
  <c r="H14" i="5" s="1"/>
  <c r="CS15" i="5"/>
  <c r="DD15" i="5" s="1"/>
  <c r="DO15" i="5" s="1"/>
  <c r="I15" i="5" s="1"/>
  <c r="BW16" i="5"/>
  <c r="CH16" i="5" s="1"/>
  <c r="AI13" i="21"/>
  <c r="BE13" i="21" s="1"/>
  <c r="AS13" i="21"/>
  <c r="BO13" i="21" s="1"/>
  <c r="CK12" i="5"/>
  <c r="CL13" i="5"/>
  <c r="CW13" i="5" s="1"/>
  <c r="BP14" i="5"/>
  <c r="CA14" i="5" s="1"/>
  <c r="BP15" i="5" s="1"/>
  <c r="CA15" i="5" s="1"/>
  <c r="AT15" i="5"/>
  <c r="AI16" i="5" s="1"/>
  <c r="BE16" i="5" s="1"/>
  <c r="CG12" i="21" l="1"/>
  <c r="CR12" i="21" s="1"/>
  <c r="DC12" i="21" s="1"/>
  <c r="DN12" i="21" s="1"/>
  <c r="H12" i="21" s="1"/>
  <c r="BU15" i="21"/>
  <c r="CO13" i="21"/>
  <c r="CZ13" i="21" s="1"/>
  <c r="DK13" i="21" s="1"/>
  <c r="E13" i="21" s="1"/>
  <c r="CT12" i="21"/>
  <c r="DE12" i="21" s="1"/>
  <c r="DP12" i="21" s="1"/>
  <c r="J12" i="21" s="1"/>
  <c r="AV14" i="21"/>
  <c r="CJ13" i="21"/>
  <c r="BY14" i="21" s="1"/>
  <c r="BF15" i="21"/>
  <c r="AU15" i="21"/>
  <c r="AJ16" i="21" s="1"/>
  <c r="BF16" i="21" s="1"/>
  <c r="BD13" i="21"/>
  <c r="AS14" i="21" s="1"/>
  <c r="BO14" i="21" s="1"/>
  <c r="BB13" i="21"/>
  <c r="AQ14" i="21" s="1"/>
  <c r="BM14" i="21" s="1"/>
  <c r="AT13" i="21"/>
  <c r="AI14" i="21" s="1"/>
  <c r="BE14" i="21" s="1"/>
  <c r="CD14" i="21"/>
  <c r="CO14" i="21" s="1"/>
  <c r="CZ14" i="21" s="1"/>
  <c r="DK14" i="21" s="1"/>
  <c r="E14" i="21" s="1"/>
  <c r="AY15" i="21"/>
  <c r="AN16" i="21" s="1"/>
  <c r="BJ16" i="21" s="1"/>
  <c r="AW14" i="21"/>
  <c r="AL15" i="21" s="1"/>
  <c r="BH15" i="21" s="1"/>
  <c r="CK13" i="21"/>
  <c r="BZ14" i="21" s="1"/>
  <c r="BW12" i="21"/>
  <c r="CS11" i="21"/>
  <c r="DD11" i="21" s="1"/>
  <c r="DO11" i="21" s="1"/>
  <c r="BA11" i="21"/>
  <c r="CV12" i="5"/>
  <c r="DG12" i="5" s="1"/>
  <c r="DR12" i="5" s="1"/>
  <c r="L12" i="5" s="1"/>
  <c r="BZ13" i="5"/>
  <c r="CK13" i="5" s="1"/>
  <c r="CA13" i="21"/>
  <c r="BW17" i="5"/>
  <c r="CH17" i="5" s="1"/>
  <c r="CS16" i="5"/>
  <c r="DD16" i="5" s="1"/>
  <c r="DO16" i="5" s="1"/>
  <c r="I16" i="5" s="1"/>
  <c r="CO15" i="5"/>
  <c r="CZ15" i="5" s="1"/>
  <c r="DK15" i="5" s="1"/>
  <c r="E15" i="5" s="1"/>
  <c r="BS16" i="5"/>
  <c r="CD16" i="5" s="1"/>
  <c r="CI13" i="21"/>
  <c r="CM15" i="5"/>
  <c r="CX15" i="5" s="1"/>
  <c r="DI15" i="5" s="1"/>
  <c r="C15" i="5" s="1"/>
  <c r="BQ16" i="5"/>
  <c r="CB16" i="5" s="1"/>
  <c r="CN13" i="21"/>
  <c r="CY13" i="21" s="1"/>
  <c r="DJ13" i="21" s="1"/>
  <c r="D13" i="21" s="1"/>
  <c r="BR14" i="21"/>
  <c r="CC14" i="21" s="1"/>
  <c r="CQ15" i="5"/>
  <c r="DB15" i="5" s="1"/>
  <c r="DM15" i="5" s="1"/>
  <c r="G15" i="5" s="1"/>
  <c r="BU16" i="5"/>
  <c r="CF16" i="5" s="1"/>
  <c r="BV16" i="5"/>
  <c r="CG16" i="5" s="1"/>
  <c r="CR15" i="5"/>
  <c r="DC15" i="5" s="1"/>
  <c r="DN15" i="5" s="1"/>
  <c r="H15" i="5" s="1"/>
  <c r="BC13" i="21"/>
  <c r="CN15" i="5"/>
  <c r="CY15" i="5" s="1"/>
  <c r="DJ15" i="5" s="1"/>
  <c r="D15" i="5" s="1"/>
  <c r="BR16" i="5"/>
  <c r="CC16" i="5" s="1"/>
  <c r="BD14" i="5"/>
  <c r="AS15" i="5" s="1"/>
  <c r="BO14" i="5"/>
  <c r="AZ12" i="21"/>
  <c r="CF15" i="21"/>
  <c r="AK15" i="21"/>
  <c r="BG15" i="21" s="1"/>
  <c r="BY16" i="5"/>
  <c r="CJ16" i="5" s="1"/>
  <c r="CU15" i="5"/>
  <c r="DF15" i="5" s="1"/>
  <c r="DQ15" i="5" s="1"/>
  <c r="K15" i="5" s="1"/>
  <c r="BX17" i="5"/>
  <c r="CI17" i="5" s="1"/>
  <c r="CT16" i="5"/>
  <c r="DE16" i="5" s="1"/>
  <c r="DP16" i="5" s="1"/>
  <c r="J16" i="5" s="1"/>
  <c r="CM14" i="21"/>
  <c r="CX14" i="21" s="1"/>
  <c r="DI14" i="21" s="1"/>
  <c r="C14" i="21" s="1"/>
  <c r="BQ15" i="21"/>
  <c r="DH13" i="5"/>
  <c r="B13" i="5" s="1"/>
  <c r="CL15" i="5"/>
  <c r="CW15" i="5" s="1"/>
  <c r="DH15" i="5" s="1"/>
  <c r="CL14" i="5"/>
  <c r="CW14" i="5" s="1"/>
  <c r="AT16" i="5"/>
  <c r="BP16" i="5"/>
  <c r="CA16" i="5" s="1"/>
  <c r="BV13" i="21" l="1"/>
  <c r="CU13" i="21"/>
  <c r="DF13" i="21" s="1"/>
  <c r="DQ13" i="21" s="1"/>
  <c r="K13" i="21" s="1"/>
  <c r="BS15" i="21"/>
  <c r="CB15" i="21"/>
  <c r="AW15" i="21"/>
  <c r="AL16" i="21" s="1"/>
  <c r="BH16" i="21" s="1"/>
  <c r="AV15" i="21"/>
  <c r="AK16" i="21" s="1"/>
  <c r="BG16" i="21" s="1"/>
  <c r="AU16" i="21"/>
  <c r="CV13" i="21"/>
  <c r="DG13" i="21" s="1"/>
  <c r="DR13" i="21" s="1"/>
  <c r="L13" i="21" s="1"/>
  <c r="AT14" i="21"/>
  <c r="AI15" i="21" s="1"/>
  <c r="BE15" i="21" s="1"/>
  <c r="BB14" i="21"/>
  <c r="AQ15" i="21" s="1"/>
  <c r="BM15" i="21" s="1"/>
  <c r="CK14" i="21"/>
  <c r="CV14" i="21" s="1"/>
  <c r="DG14" i="21" s="1"/>
  <c r="DR14" i="21" s="1"/>
  <c r="L14" i="21" s="1"/>
  <c r="BD14" i="21"/>
  <c r="AS15" i="21" s="1"/>
  <c r="BO15" i="21" s="1"/>
  <c r="BV17" i="5"/>
  <c r="CG17" i="5" s="1"/>
  <c r="CR16" i="5"/>
  <c r="DC16" i="5" s="1"/>
  <c r="DN16" i="5" s="1"/>
  <c r="H16" i="5" s="1"/>
  <c r="BU16" i="21"/>
  <c r="CF16" i="21" s="1"/>
  <c r="CQ15" i="21"/>
  <c r="DB15" i="21" s="1"/>
  <c r="DM15" i="21" s="1"/>
  <c r="G15" i="21" s="1"/>
  <c r="BR15" i="21"/>
  <c r="CC15" i="21" s="1"/>
  <c r="CN14" i="21"/>
  <c r="CY14" i="21" s="1"/>
  <c r="DJ14" i="21" s="1"/>
  <c r="D14" i="21" s="1"/>
  <c r="BU17" i="5"/>
  <c r="CF17" i="5" s="1"/>
  <c r="CQ16" i="5"/>
  <c r="DB16" i="5" s="1"/>
  <c r="DM16" i="5" s="1"/>
  <c r="G16" i="5" s="1"/>
  <c r="BW18" i="5"/>
  <c r="CH18" i="5" s="1"/>
  <c r="CS17" i="5"/>
  <c r="DD17" i="5" s="1"/>
  <c r="DO17" i="5" s="1"/>
  <c r="I17" i="5" s="1"/>
  <c r="AO13" i="21"/>
  <c r="BK13" i="21" s="1"/>
  <c r="CG13" i="21" s="1"/>
  <c r="BZ14" i="5"/>
  <c r="CK14" i="5" s="1"/>
  <c r="CV13" i="5"/>
  <c r="DG13" i="5" s="1"/>
  <c r="DR13" i="5" s="1"/>
  <c r="L13" i="5" s="1"/>
  <c r="BD15" i="5"/>
  <c r="AS16" i="5" s="1"/>
  <c r="BO15" i="5"/>
  <c r="BX14" i="21"/>
  <c r="CI14" i="21" s="1"/>
  <c r="CT13" i="21"/>
  <c r="DE13" i="21" s="1"/>
  <c r="DP13" i="21" s="1"/>
  <c r="J13" i="21" s="1"/>
  <c r="AP12" i="21"/>
  <c r="BL12" i="21" s="1"/>
  <c r="CH12" i="21" s="1"/>
  <c r="CL13" i="21"/>
  <c r="CW13" i="21" s="1"/>
  <c r="DH13" i="21" s="1"/>
  <c r="B13" i="21" s="1"/>
  <c r="BP14" i="21"/>
  <c r="CA14" i="21" s="1"/>
  <c r="BQ16" i="21"/>
  <c r="CB16" i="21" s="1"/>
  <c r="CM15" i="21"/>
  <c r="CX15" i="21" s="1"/>
  <c r="DI15" i="21" s="1"/>
  <c r="C15" i="21" s="1"/>
  <c r="CT17" i="5"/>
  <c r="DE17" i="5" s="1"/>
  <c r="DP17" i="5" s="1"/>
  <c r="J17" i="5" s="1"/>
  <c r="BX18" i="5"/>
  <c r="CI18" i="5" s="1"/>
  <c r="CM16" i="5"/>
  <c r="CX16" i="5" s="1"/>
  <c r="DI16" i="5" s="1"/>
  <c r="C16" i="5" s="1"/>
  <c r="BQ17" i="5"/>
  <c r="CB17" i="5" s="1"/>
  <c r="AY16" i="21"/>
  <c r="BR17" i="5"/>
  <c r="CC17" i="5" s="1"/>
  <c r="CN16" i="5"/>
  <c r="CY16" i="5" s="1"/>
  <c r="DJ16" i="5" s="1"/>
  <c r="D16" i="5" s="1"/>
  <c r="BS17" i="5"/>
  <c r="CD17" i="5" s="1"/>
  <c r="CO16" i="5"/>
  <c r="CZ16" i="5" s="1"/>
  <c r="DK16" i="5" s="1"/>
  <c r="E16" i="5" s="1"/>
  <c r="AR14" i="21"/>
  <c r="BN14" i="21" s="1"/>
  <c r="CJ14" i="21" s="1"/>
  <c r="CD15" i="21"/>
  <c r="BY17" i="5"/>
  <c r="CJ17" i="5" s="1"/>
  <c r="CU16" i="5"/>
  <c r="DF16" i="5" s="1"/>
  <c r="DQ16" i="5" s="1"/>
  <c r="K16" i="5" s="1"/>
  <c r="DH14" i="5"/>
  <c r="B14" i="5" s="1"/>
  <c r="B15" i="5" s="1"/>
  <c r="CL16" i="5"/>
  <c r="CW16" i="5" s="1"/>
  <c r="BP17" i="5"/>
  <c r="CA17" i="5" s="1"/>
  <c r="BZ15" i="21" l="1"/>
  <c r="CK15" i="21" s="1"/>
  <c r="BB15" i="21"/>
  <c r="AV16" i="21"/>
  <c r="BD15" i="21"/>
  <c r="AS16" i="21" s="1"/>
  <c r="BA12" i="21"/>
  <c r="AP13" i="21" s="1"/>
  <c r="BL13" i="21" s="1"/>
  <c r="AZ13" i="21"/>
  <c r="AO14" i="21" s="1"/>
  <c r="BK14" i="21" s="1"/>
  <c r="BC14" i="21"/>
  <c r="AR15" i="21" s="1"/>
  <c r="BN15" i="21" s="1"/>
  <c r="AW16" i="21"/>
  <c r="CS12" i="21"/>
  <c r="DD12" i="21" s="1"/>
  <c r="DO12" i="21" s="1"/>
  <c r="BW13" i="21"/>
  <c r="BV14" i="21"/>
  <c r="CR13" i="21"/>
  <c r="DC13" i="21" s="1"/>
  <c r="DN13" i="21" s="1"/>
  <c r="H13" i="21" s="1"/>
  <c r="BU18" i="5"/>
  <c r="CF18" i="5" s="1"/>
  <c r="CQ17" i="5"/>
  <c r="DB17" i="5" s="1"/>
  <c r="DM17" i="5" s="1"/>
  <c r="G17" i="5" s="1"/>
  <c r="CO17" i="5"/>
  <c r="CZ17" i="5" s="1"/>
  <c r="DK17" i="5" s="1"/>
  <c r="E17" i="5" s="1"/>
  <c r="BS18" i="5"/>
  <c r="CD18" i="5" s="1"/>
  <c r="BR18" i="5"/>
  <c r="CC18" i="5" s="1"/>
  <c r="CN17" i="5"/>
  <c r="CY17" i="5" s="1"/>
  <c r="DJ17" i="5" s="1"/>
  <c r="D17" i="5" s="1"/>
  <c r="BP15" i="21"/>
  <c r="CA15" i="21" s="1"/>
  <c r="CL14" i="21"/>
  <c r="CW14" i="21" s="1"/>
  <c r="DH14" i="21" s="1"/>
  <c r="B14" i="21" s="1"/>
  <c r="AQ16" i="21"/>
  <c r="BM16" i="21" s="1"/>
  <c r="BD16" i="5"/>
  <c r="BO16" i="5"/>
  <c r="CN15" i="21"/>
  <c r="CY15" i="21" s="1"/>
  <c r="DJ15" i="21" s="1"/>
  <c r="D15" i="21" s="1"/>
  <c r="BR16" i="21"/>
  <c r="CC16" i="21" s="1"/>
  <c r="AT15" i="21"/>
  <c r="CM17" i="5"/>
  <c r="CX17" i="5" s="1"/>
  <c r="DI17" i="5" s="1"/>
  <c r="C17" i="5" s="1"/>
  <c r="BQ18" i="5"/>
  <c r="CB18" i="5" s="1"/>
  <c r="CT18" i="5"/>
  <c r="DE18" i="5" s="1"/>
  <c r="DP18" i="5" s="1"/>
  <c r="J18" i="5" s="1"/>
  <c r="BX19" i="5"/>
  <c r="CI19" i="5" s="1"/>
  <c r="BW19" i="5"/>
  <c r="CH19" i="5" s="1"/>
  <c r="CS18" i="5"/>
  <c r="DD18" i="5" s="1"/>
  <c r="DO18" i="5" s="1"/>
  <c r="I18" i="5" s="1"/>
  <c r="BY15" i="21"/>
  <c r="CU14" i="21"/>
  <c r="DF14" i="21" s="1"/>
  <c r="DQ14" i="21" s="1"/>
  <c r="K14" i="21" s="1"/>
  <c r="BS16" i="21"/>
  <c r="CD16" i="21" s="1"/>
  <c r="CO15" i="21"/>
  <c r="CZ15" i="21" s="1"/>
  <c r="DK15" i="21" s="1"/>
  <c r="E15" i="21" s="1"/>
  <c r="CM16" i="21"/>
  <c r="CX16" i="21" s="1"/>
  <c r="DI16" i="21" s="1"/>
  <c r="C16" i="21" s="1"/>
  <c r="BQ17" i="21"/>
  <c r="CB17" i="21" s="1"/>
  <c r="BZ15" i="5"/>
  <c r="CK15" i="5" s="1"/>
  <c r="CV14" i="5"/>
  <c r="DG14" i="5" s="1"/>
  <c r="DR14" i="5" s="1"/>
  <c r="L14" i="5" s="1"/>
  <c r="BU17" i="21"/>
  <c r="CF17" i="21" s="1"/>
  <c r="CQ16" i="21"/>
  <c r="DB16" i="21" s="1"/>
  <c r="DM16" i="21" s="1"/>
  <c r="G16" i="21" s="1"/>
  <c r="CU17" i="5"/>
  <c r="DF17" i="5" s="1"/>
  <c r="DQ17" i="5" s="1"/>
  <c r="K17" i="5" s="1"/>
  <c r="BY18" i="5"/>
  <c r="CJ18" i="5" s="1"/>
  <c r="BX15" i="21"/>
  <c r="CI15" i="21" s="1"/>
  <c r="CT14" i="21"/>
  <c r="DE14" i="21" s="1"/>
  <c r="DP14" i="21" s="1"/>
  <c r="J14" i="21" s="1"/>
  <c r="BV18" i="5"/>
  <c r="CG18" i="5" s="1"/>
  <c r="CR17" i="5"/>
  <c r="DC17" i="5" s="1"/>
  <c r="DN17" i="5" s="1"/>
  <c r="H17" i="5" s="1"/>
  <c r="DH16" i="5"/>
  <c r="B16" i="5" s="1"/>
  <c r="CL17" i="5"/>
  <c r="CW17" i="5" s="1"/>
  <c r="BP18" i="5"/>
  <c r="CA18" i="5" s="1"/>
  <c r="BO16" i="21" l="1"/>
  <c r="BD16" i="21"/>
  <c r="CJ15" i="21"/>
  <c r="BA13" i="21"/>
  <c r="AZ14" i="21"/>
  <c r="CO18" i="5"/>
  <c r="CZ18" i="5" s="1"/>
  <c r="DK18" i="5" s="1"/>
  <c r="E18" i="5" s="1"/>
  <c r="BS19" i="5"/>
  <c r="CD19" i="5" s="1"/>
  <c r="BY16" i="21"/>
  <c r="CU15" i="21"/>
  <c r="DF15" i="21" s="1"/>
  <c r="DQ15" i="21" s="1"/>
  <c r="K15" i="21" s="1"/>
  <c r="BX16" i="21"/>
  <c r="CI16" i="21" s="1"/>
  <c r="CT15" i="21"/>
  <c r="DE15" i="21" s="1"/>
  <c r="DP15" i="21" s="1"/>
  <c r="J15" i="21" s="1"/>
  <c r="AP14" i="21"/>
  <c r="BL14" i="21" s="1"/>
  <c r="CM18" i="5"/>
  <c r="CX18" i="5" s="1"/>
  <c r="DI18" i="5" s="1"/>
  <c r="C18" i="5" s="1"/>
  <c r="BQ19" i="5"/>
  <c r="CB19" i="5" s="1"/>
  <c r="CQ18" i="5"/>
  <c r="DB18" i="5" s="1"/>
  <c r="DM18" i="5" s="1"/>
  <c r="G18" i="5" s="1"/>
  <c r="BU19" i="5"/>
  <c r="CF19" i="5" s="1"/>
  <c r="BS17" i="21"/>
  <c r="CD17" i="21" s="1"/>
  <c r="CO16" i="21"/>
  <c r="CZ16" i="21" s="1"/>
  <c r="DK16" i="21" s="1"/>
  <c r="E16" i="21" s="1"/>
  <c r="BB16" i="21"/>
  <c r="BP16" i="21"/>
  <c r="CL15" i="21"/>
  <c r="CW15" i="21" s="1"/>
  <c r="DH15" i="21" s="1"/>
  <c r="B15" i="21" s="1"/>
  <c r="CN18" i="5"/>
  <c r="CY18" i="5" s="1"/>
  <c r="DJ18" i="5" s="1"/>
  <c r="D18" i="5" s="1"/>
  <c r="BR19" i="5"/>
  <c r="CC19" i="5" s="1"/>
  <c r="CU18" i="5"/>
  <c r="DF18" i="5" s="1"/>
  <c r="DQ18" i="5" s="1"/>
  <c r="K18" i="5" s="1"/>
  <c r="BY19" i="5"/>
  <c r="CJ19" i="5" s="1"/>
  <c r="BU18" i="21"/>
  <c r="CF18" i="21" s="1"/>
  <c r="CQ17" i="21"/>
  <c r="DB17" i="21" s="1"/>
  <c r="DM17" i="21" s="1"/>
  <c r="G17" i="21" s="1"/>
  <c r="BW20" i="5"/>
  <c r="CH20" i="5" s="1"/>
  <c r="CS19" i="5"/>
  <c r="DD19" i="5" s="1"/>
  <c r="DO19" i="5" s="1"/>
  <c r="I19" i="5" s="1"/>
  <c r="AI16" i="21"/>
  <c r="BE16" i="21" s="1"/>
  <c r="CG14" i="21"/>
  <c r="BV19" i="5"/>
  <c r="CG19" i="5" s="1"/>
  <c r="CR18" i="5"/>
  <c r="DC18" i="5" s="1"/>
  <c r="DN18" i="5" s="1"/>
  <c r="H18" i="5" s="1"/>
  <c r="BC15" i="21"/>
  <c r="CV15" i="5"/>
  <c r="DG15" i="5" s="1"/>
  <c r="DR15" i="5" s="1"/>
  <c r="L15" i="5" s="1"/>
  <c r="BZ16" i="5"/>
  <c r="CK16" i="5" s="1"/>
  <c r="BR17" i="21"/>
  <c r="CC17" i="21" s="1"/>
  <c r="CN16" i="21"/>
  <c r="CY16" i="21" s="1"/>
  <c r="DJ16" i="21" s="1"/>
  <c r="D16" i="21" s="1"/>
  <c r="CH13" i="21"/>
  <c r="CT19" i="5"/>
  <c r="DE19" i="5" s="1"/>
  <c r="DP19" i="5" s="1"/>
  <c r="J19" i="5" s="1"/>
  <c r="BX20" i="5"/>
  <c r="CI20" i="5" s="1"/>
  <c r="CV15" i="21"/>
  <c r="DG15" i="21" s="1"/>
  <c r="DR15" i="21" s="1"/>
  <c r="L15" i="21" s="1"/>
  <c r="BZ16" i="21"/>
  <c r="CK16" i="21" s="1"/>
  <c r="BQ18" i="21"/>
  <c r="CB18" i="21" s="1"/>
  <c r="CM17" i="21"/>
  <c r="CX17" i="21" s="1"/>
  <c r="DI17" i="21" s="1"/>
  <c r="C17" i="21" s="1"/>
  <c r="DH17" i="5"/>
  <c r="B17" i="5" s="1"/>
  <c r="CL18" i="5"/>
  <c r="CW18" i="5" s="1"/>
  <c r="BP19" i="5"/>
  <c r="CA19" i="5" s="1"/>
  <c r="AT16" i="21" l="1"/>
  <c r="CO17" i="21"/>
  <c r="CZ17" i="21" s="1"/>
  <c r="DK17" i="21" s="1"/>
  <c r="E17" i="21" s="1"/>
  <c r="BS18" i="21"/>
  <c r="CD18" i="21" s="1"/>
  <c r="CR14" i="21"/>
  <c r="DC14" i="21" s="1"/>
  <c r="DN14" i="21" s="1"/>
  <c r="H14" i="21" s="1"/>
  <c r="BV15" i="21"/>
  <c r="BX17" i="21"/>
  <c r="CI17" i="21" s="1"/>
  <c r="CT16" i="21"/>
  <c r="DE16" i="21" s="1"/>
  <c r="DP16" i="21" s="1"/>
  <c r="J16" i="21" s="1"/>
  <c r="CR19" i="5"/>
  <c r="DC19" i="5" s="1"/>
  <c r="DN19" i="5" s="1"/>
  <c r="H19" i="5" s="1"/>
  <c r="BV20" i="5"/>
  <c r="CG20" i="5" s="1"/>
  <c r="BX21" i="5"/>
  <c r="CI21" i="5" s="1"/>
  <c r="CT20" i="5"/>
  <c r="DE20" i="5" s="1"/>
  <c r="DP20" i="5" s="1"/>
  <c r="J20" i="5" s="1"/>
  <c r="BY20" i="5"/>
  <c r="CJ20" i="5" s="1"/>
  <c r="CU19" i="5"/>
  <c r="DF19" i="5" s="1"/>
  <c r="DQ19" i="5" s="1"/>
  <c r="K19" i="5" s="1"/>
  <c r="BU20" i="5"/>
  <c r="CF20" i="5" s="1"/>
  <c r="CQ19" i="5"/>
  <c r="DB19" i="5" s="1"/>
  <c r="DM19" i="5" s="1"/>
  <c r="G19" i="5" s="1"/>
  <c r="BZ17" i="21"/>
  <c r="CK17" i="21" s="1"/>
  <c r="CV16" i="21"/>
  <c r="DG16" i="21" s="1"/>
  <c r="DR16" i="21" s="1"/>
  <c r="L16" i="21" s="1"/>
  <c r="CM19" i="5"/>
  <c r="CX19" i="5" s="1"/>
  <c r="DI19" i="5" s="1"/>
  <c r="C19" i="5" s="1"/>
  <c r="BQ20" i="5"/>
  <c r="CB20" i="5" s="1"/>
  <c r="CS13" i="21"/>
  <c r="DD13" i="21" s="1"/>
  <c r="DO13" i="21" s="1"/>
  <c r="BW14" i="21"/>
  <c r="CH14" i="21" s="1"/>
  <c r="BZ17" i="5"/>
  <c r="CK17" i="5" s="1"/>
  <c r="CV16" i="5"/>
  <c r="DG16" i="5" s="1"/>
  <c r="DR16" i="5" s="1"/>
  <c r="L16" i="5" s="1"/>
  <c r="CO19" i="5"/>
  <c r="CZ19" i="5" s="1"/>
  <c r="DK19" i="5" s="1"/>
  <c r="E19" i="5" s="1"/>
  <c r="BS20" i="5"/>
  <c r="CD20" i="5" s="1"/>
  <c r="BA14" i="21"/>
  <c r="CA16" i="21"/>
  <c r="CM18" i="21"/>
  <c r="CX18" i="21" s="1"/>
  <c r="DI18" i="21" s="1"/>
  <c r="C18" i="21" s="1"/>
  <c r="BQ19" i="21"/>
  <c r="CB19" i="21" s="1"/>
  <c r="BW21" i="5"/>
  <c r="CH21" i="5" s="1"/>
  <c r="CS20" i="5"/>
  <c r="DD20" i="5" s="1"/>
  <c r="DO20" i="5" s="1"/>
  <c r="I20" i="5" s="1"/>
  <c r="CQ18" i="21"/>
  <c r="DB18" i="21" s="1"/>
  <c r="DM18" i="21" s="1"/>
  <c r="G18" i="21" s="1"/>
  <c r="BU19" i="21"/>
  <c r="CF19" i="21" s="1"/>
  <c r="BR20" i="5"/>
  <c r="CC20" i="5" s="1"/>
  <c r="CN19" i="5"/>
  <c r="CY19" i="5" s="1"/>
  <c r="DJ19" i="5" s="1"/>
  <c r="D19" i="5" s="1"/>
  <c r="BR18" i="21"/>
  <c r="CC18" i="21" s="1"/>
  <c r="CN17" i="21"/>
  <c r="CY17" i="21" s="1"/>
  <c r="DJ17" i="21" s="1"/>
  <c r="D17" i="21" s="1"/>
  <c r="AR16" i="21"/>
  <c r="BN16" i="21" s="1"/>
  <c r="CJ16" i="21" s="1"/>
  <c r="AO15" i="21"/>
  <c r="BK15" i="21" s="1"/>
  <c r="DH18" i="5"/>
  <c r="B18" i="5" s="1"/>
  <c r="CL19" i="5"/>
  <c r="CW19" i="5" s="1"/>
  <c r="BP20" i="5"/>
  <c r="CA20" i="5" s="1"/>
  <c r="BC16" i="21" l="1"/>
  <c r="AZ15" i="21"/>
  <c r="BY17" i="21"/>
  <c r="CJ17" i="21" s="1"/>
  <c r="CU16" i="21"/>
  <c r="DF16" i="21" s="1"/>
  <c r="DQ16" i="21" s="1"/>
  <c r="K16" i="21" s="1"/>
  <c r="CL16" i="21"/>
  <c r="CW16" i="21" s="1"/>
  <c r="DH16" i="21" s="1"/>
  <c r="B16" i="21" s="1"/>
  <c r="BP17" i="21"/>
  <c r="CA17" i="21" s="1"/>
  <c r="CS21" i="5"/>
  <c r="DD21" i="5" s="1"/>
  <c r="DO21" i="5" s="1"/>
  <c r="I21" i="5" s="1"/>
  <c r="BW22" i="5"/>
  <c r="CH22" i="5" s="1"/>
  <c r="BS21" i="5"/>
  <c r="CD21" i="5" s="1"/>
  <c r="CO20" i="5"/>
  <c r="CZ20" i="5" s="1"/>
  <c r="DK20" i="5" s="1"/>
  <c r="E20" i="5" s="1"/>
  <c r="AP15" i="21"/>
  <c r="BL15" i="21" s="1"/>
  <c r="AO16" i="21"/>
  <c r="BK16" i="21" s="1"/>
  <c r="BX18" i="21"/>
  <c r="CI18" i="21" s="1"/>
  <c r="CT17" i="21"/>
  <c r="DE17" i="21" s="1"/>
  <c r="DP17" i="21" s="1"/>
  <c r="J17" i="21" s="1"/>
  <c r="BQ20" i="21"/>
  <c r="CB20" i="21" s="1"/>
  <c r="CM19" i="21"/>
  <c r="CX19" i="21" s="1"/>
  <c r="DI19" i="21" s="1"/>
  <c r="C19" i="21" s="1"/>
  <c r="BV21" i="5"/>
  <c r="CG21" i="5" s="1"/>
  <c r="CR20" i="5"/>
  <c r="DC20" i="5" s="1"/>
  <c r="DN20" i="5" s="1"/>
  <c r="H20" i="5" s="1"/>
  <c r="BW15" i="21"/>
  <c r="CS14" i="21"/>
  <c r="DD14" i="21" s="1"/>
  <c r="DO14" i="21" s="1"/>
  <c r="CM20" i="5"/>
  <c r="CX20" i="5" s="1"/>
  <c r="DI20" i="5" s="1"/>
  <c r="C20" i="5" s="1"/>
  <c r="BQ21" i="5"/>
  <c r="CB21" i="5" s="1"/>
  <c r="CG15" i="21"/>
  <c r="CV17" i="21"/>
  <c r="DG17" i="21" s="1"/>
  <c r="DR17" i="21" s="1"/>
  <c r="L17" i="21" s="1"/>
  <c r="BZ18" i="21"/>
  <c r="CK18" i="21" s="1"/>
  <c r="BY21" i="5"/>
  <c r="CJ21" i="5" s="1"/>
  <c r="CU20" i="5"/>
  <c r="DF20" i="5" s="1"/>
  <c r="DQ20" i="5" s="1"/>
  <c r="K20" i="5" s="1"/>
  <c r="CT21" i="5"/>
  <c r="DE21" i="5" s="1"/>
  <c r="DP21" i="5" s="1"/>
  <c r="J21" i="5" s="1"/>
  <c r="BX22" i="5"/>
  <c r="CI22" i="5" s="1"/>
  <c r="BZ18" i="5"/>
  <c r="CK18" i="5" s="1"/>
  <c r="CV17" i="5"/>
  <c r="DG17" i="5" s="1"/>
  <c r="DR17" i="5" s="1"/>
  <c r="L17" i="5" s="1"/>
  <c r="CN18" i="21"/>
  <c r="CY18" i="21" s="1"/>
  <c r="DJ18" i="21" s="1"/>
  <c r="D18" i="21" s="1"/>
  <c r="BR19" i="21"/>
  <c r="CC19" i="21" s="1"/>
  <c r="BU21" i="5"/>
  <c r="CF21" i="5" s="1"/>
  <c r="CQ20" i="5"/>
  <c r="DB20" i="5" s="1"/>
  <c r="DM20" i="5" s="1"/>
  <c r="G20" i="5" s="1"/>
  <c r="CN20" i="5"/>
  <c r="CY20" i="5" s="1"/>
  <c r="DJ20" i="5" s="1"/>
  <c r="D20" i="5" s="1"/>
  <c r="BR21" i="5"/>
  <c r="CC21" i="5" s="1"/>
  <c r="BU20" i="21"/>
  <c r="CF20" i="21" s="1"/>
  <c r="CQ19" i="21"/>
  <c r="DB19" i="21" s="1"/>
  <c r="DM19" i="21" s="1"/>
  <c r="G19" i="21" s="1"/>
  <c r="BS19" i="21"/>
  <c r="CD19" i="21" s="1"/>
  <c r="CO18" i="21"/>
  <c r="CZ18" i="21" s="1"/>
  <c r="DK18" i="21" s="1"/>
  <c r="E18" i="21" s="1"/>
  <c r="DH19" i="5"/>
  <c r="B19" i="5" s="1"/>
  <c r="CL20" i="5"/>
  <c r="CW20" i="5" s="1"/>
  <c r="BP21" i="5"/>
  <c r="CA21" i="5" s="1"/>
  <c r="BA15" i="21" l="1"/>
  <c r="AZ16" i="21"/>
  <c r="CT22" i="5"/>
  <c r="DE22" i="5" s="1"/>
  <c r="DP22" i="5" s="1"/>
  <c r="J22" i="5" s="1"/>
  <c r="BX23" i="5"/>
  <c r="CI23" i="5" s="1"/>
  <c r="AP16" i="21"/>
  <c r="BL16" i="21" s="1"/>
  <c r="BX19" i="21"/>
  <c r="CI19" i="21" s="1"/>
  <c r="CT18" i="21"/>
  <c r="DE18" i="21" s="1"/>
  <c r="DP18" i="21" s="1"/>
  <c r="J18" i="21" s="1"/>
  <c r="BS22" i="5"/>
  <c r="CD22" i="5" s="1"/>
  <c r="CO21" i="5"/>
  <c r="CZ21" i="5" s="1"/>
  <c r="DK21" i="5" s="1"/>
  <c r="E21" i="5" s="1"/>
  <c r="BW23" i="5"/>
  <c r="CH23" i="5" s="1"/>
  <c r="CS22" i="5"/>
  <c r="DD22" i="5" s="1"/>
  <c r="DO22" i="5" s="1"/>
  <c r="I22" i="5" s="1"/>
  <c r="BZ19" i="5"/>
  <c r="CK19" i="5" s="1"/>
  <c r="CV18" i="5"/>
  <c r="DG18" i="5" s="1"/>
  <c r="DR18" i="5" s="1"/>
  <c r="L18" i="5" s="1"/>
  <c r="BZ19" i="21"/>
  <c r="CK19" i="21" s="1"/>
  <c r="CV18" i="21"/>
  <c r="DG18" i="21" s="1"/>
  <c r="DR18" i="21" s="1"/>
  <c r="L18" i="21" s="1"/>
  <c r="CH15" i="21"/>
  <c r="CL17" i="21"/>
  <c r="CW17" i="21" s="1"/>
  <c r="DH17" i="21" s="1"/>
  <c r="B17" i="21" s="1"/>
  <c r="BP18" i="21"/>
  <c r="CA18" i="21" s="1"/>
  <c r="BQ21" i="21"/>
  <c r="CB21" i="21" s="1"/>
  <c r="CM20" i="21"/>
  <c r="CX20" i="21" s="1"/>
  <c r="DI20" i="21" s="1"/>
  <c r="C20" i="21" s="1"/>
  <c r="CU21" i="5"/>
  <c r="DF21" i="5" s="1"/>
  <c r="DQ21" i="5" s="1"/>
  <c r="K21" i="5" s="1"/>
  <c r="BY22" i="5"/>
  <c r="CJ22" i="5" s="1"/>
  <c r="BS20" i="21"/>
  <c r="CD20" i="21" s="1"/>
  <c r="CO19" i="21"/>
  <c r="CZ19" i="21" s="1"/>
  <c r="DK19" i="21" s="1"/>
  <c r="E19" i="21" s="1"/>
  <c r="CR15" i="21"/>
  <c r="DC15" i="21" s="1"/>
  <c r="DN15" i="21" s="1"/>
  <c r="H15" i="21" s="1"/>
  <c r="BV16" i="21"/>
  <c r="CG16" i="21" s="1"/>
  <c r="CQ20" i="21"/>
  <c r="DB20" i="21" s="1"/>
  <c r="DM20" i="21" s="1"/>
  <c r="G20" i="21" s="1"/>
  <c r="BU21" i="21"/>
  <c r="CF21" i="21" s="1"/>
  <c r="BR22" i="5"/>
  <c r="CC22" i="5" s="1"/>
  <c r="CN21" i="5"/>
  <c r="CY21" i="5" s="1"/>
  <c r="DJ21" i="5" s="1"/>
  <c r="D21" i="5" s="1"/>
  <c r="BR20" i="21"/>
  <c r="CC20" i="21" s="1"/>
  <c r="CN19" i="21"/>
  <c r="CY19" i="21" s="1"/>
  <c r="DJ19" i="21" s="1"/>
  <c r="D19" i="21" s="1"/>
  <c r="CR21" i="5"/>
  <c r="DC21" i="5" s="1"/>
  <c r="DN21" i="5" s="1"/>
  <c r="H21" i="5" s="1"/>
  <c r="BV22" i="5"/>
  <c r="CG22" i="5" s="1"/>
  <c r="BQ22" i="5"/>
  <c r="CB22" i="5" s="1"/>
  <c r="CM21" i="5"/>
  <c r="CX21" i="5" s="1"/>
  <c r="DI21" i="5" s="1"/>
  <c r="C21" i="5" s="1"/>
  <c r="CQ21" i="5"/>
  <c r="DB21" i="5" s="1"/>
  <c r="DM21" i="5" s="1"/>
  <c r="G21" i="5" s="1"/>
  <c r="BU22" i="5"/>
  <c r="CF22" i="5" s="1"/>
  <c r="BY18" i="21"/>
  <c r="CJ18" i="21" s="1"/>
  <c r="CU17" i="21"/>
  <c r="DF17" i="21" s="1"/>
  <c r="DQ17" i="21" s="1"/>
  <c r="K17" i="21" s="1"/>
  <c r="DH20" i="5"/>
  <c r="B20" i="5" s="1"/>
  <c r="CL21" i="5"/>
  <c r="CW21" i="5" s="1"/>
  <c r="BP22" i="5"/>
  <c r="CA22" i="5" s="1"/>
  <c r="BR21" i="21" l="1"/>
  <c r="CC21" i="21" s="1"/>
  <c r="CN20" i="21"/>
  <c r="CY20" i="21" s="1"/>
  <c r="DJ20" i="21" s="1"/>
  <c r="D20" i="21" s="1"/>
  <c r="BR23" i="5"/>
  <c r="CC23" i="5" s="1"/>
  <c r="CN22" i="5"/>
  <c r="CY22" i="5" s="1"/>
  <c r="DJ22" i="5" s="1"/>
  <c r="D22" i="5" s="1"/>
  <c r="BZ20" i="5"/>
  <c r="CK20" i="5" s="1"/>
  <c r="CV19" i="5"/>
  <c r="DG19" i="5" s="1"/>
  <c r="DR19" i="5" s="1"/>
  <c r="L19" i="5" s="1"/>
  <c r="CT19" i="21"/>
  <c r="DE19" i="21" s="1"/>
  <c r="DP19" i="21" s="1"/>
  <c r="J19" i="21" s="1"/>
  <c r="BX20" i="21"/>
  <c r="CI20" i="21" s="1"/>
  <c r="BW16" i="21"/>
  <c r="CH16" i="21" s="1"/>
  <c r="CS15" i="21"/>
  <c r="DD15" i="21" s="1"/>
  <c r="DO15" i="21" s="1"/>
  <c r="CQ21" i="21"/>
  <c r="DB21" i="21" s="1"/>
  <c r="DM21" i="21" s="1"/>
  <c r="G21" i="21" s="1"/>
  <c r="BU22" i="21"/>
  <c r="CF22" i="21" s="1"/>
  <c r="BV17" i="21"/>
  <c r="CG17" i="21" s="1"/>
  <c r="CR16" i="21"/>
  <c r="DC16" i="21" s="1"/>
  <c r="DN16" i="21" s="1"/>
  <c r="H16" i="21" s="1"/>
  <c r="BY23" i="5"/>
  <c r="CJ23" i="5" s="1"/>
  <c r="CU22" i="5"/>
  <c r="DF22" i="5" s="1"/>
  <c r="DQ22" i="5" s="1"/>
  <c r="K22" i="5" s="1"/>
  <c r="BA16" i="21"/>
  <c r="BW24" i="5"/>
  <c r="CH24" i="5" s="1"/>
  <c r="CS23" i="5"/>
  <c r="DD23" i="5" s="1"/>
  <c r="DO23" i="5" s="1"/>
  <c r="I23" i="5" s="1"/>
  <c r="BS23" i="5"/>
  <c r="CD23" i="5" s="1"/>
  <c r="CO22" i="5"/>
  <c r="CZ22" i="5" s="1"/>
  <c r="DK22" i="5" s="1"/>
  <c r="E22" i="5" s="1"/>
  <c r="BY19" i="21"/>
  <c r="CJ19" i="21" s="1"/>
  <c r="CU18" i="21"/>
  <c r="DF18" i="21" s="1"/>
  <c r="DQ18" i="21" s="1"/>
  <c r="K18" i="21" s="1"/>
  <c r="BU23" i="5"/>
  <c r="CF23" i="5" s="1"/>
  <c r="CQ22" i="5"/>
  <c r="DB22" i="5" s="1"/>
  <c r="DM22" i="5" s="1"/>
  <c r="G22" i="5" s="1"/>
  <c r="BQ23" i="5"/>
  <c r="CB23" i="5" s="1"/>
  <c r="CM22" i="5"/>
  <c r="CX22" i="5" s="1"/>
  <c r="DI22" i="5" s="1"/>
  <c r="C22" i="5" s="1"/>
  <c r="CM21" i="21"/>
  <c r="CX21" i="21" s="1"/>
  <c r="DI21" i="21" s="1"/>
  <c r="C21" i="21" s="1"/>
  <c r="BQ22" i="21"/>
  <c r="CB22" i="21" s="1"/>
  <c r="CT23" i="5"/>
  <c r="DE23" i="5" s="1"/>
  <c r="DP23" i="5" s="1"/>
  <c r="J23" i="5" s="1"/>
  <c r="BX24" i="5"/>
  <c r="CI24" i="5" s="1"/>
  <c r="CV19" i="21"/>
  <c r="DG19" i="21" s="1"/>
  <c r="DR19" i="21" s="1"/>
  <c r="L19" i="21" s="1"/>
  <c r="BZ20" i="21"/>
  <c r="CK20" i="21" s="1"/>
  <c r="CO20" i="21"/>
  <c r="CZ20" i="21" s="1"/>
  <c r="DK20" i="21" s="1"/>
  <c r="E20" i="21" s="1"/>
  <c r="BS21" i="21"/>
  <c r="CD21" i="21" s="1"/>
  <c r="BV23" i="5"/>
  <c r="CG23" i="5" s="1"/>
  <c r="CR22" i="5"/>
  <c r="DC22" i="5" s="1"/>
  <c r="DN22" i="5" s="1"/>
  <c r="H22" i="5" s="1"/>
  <c r="CL18" i="21"/>
  <c r="CW18" i="21" s="1"/>
  <c r="DH18" i="21" s="1"/>
  <c r="B18" i="21" s="1"/>
  <c r="BP19" i="21"/>
  <c r="CA19" i="21" s="1"/>
  <c r="DH21" i="5"/>
  <c r="B21" i="5" s="1"/>
  <c r="CL22" i="5"/>
  <c r="CW22" i="5" s="1"/>
  <c r="BP23" i="5"/>
  <c r="CA23" i="5" s="1"/>
  <c r="BU24" i="5" l="1"/>
  <c r="CF24" i="5" s="1"/>
  <c r="CQ23" i="5"/>
  <c r="DB23" i="5" s="1"/>
  <c r="DM23" i="5" s="1"/>
  <c r="G23" i="5" s="1"/>
  <c r="CU19" i="21"/>
  <c r="DF19" i="21" s="1"/>
  <c r="DQ19" i="21" s="1"/>
  <c r="K19" i="21" s="1"/>
  <c r="BY20" i="21"/>
  <c r="CJ20" i="21" s="1"/>
  <c r="BU23" i="21"/>
  <c r="CF23" i="21" s="1"/>
  <c r="CQ22" i="21"/>
  <c r="DB22" i="21" s="1"/>
  <c r="DM22" i="21" s="1"/>
  <c r="G22" i="21" s="1"/>
  <c r="BY24" i="5"/>
  <c r="CJ24" i="5" s="1"/>
  <c r="CU23" i="5"/>
  <c r="DF23" i="5" s="1"/>
  <c r="DQ23" i="5" s="1"/>
  <c r="K23" i="5" s="1"/>
  <c r="CR17" i="21"/>
  <c r="DC17" i="21" s="1"/>
  <c r="DN17" i="21" s="1"/>
  <c r="H17" i="21" s="1"/>
  <c r="BV18" i="21"/>
  <c r="CG18" i="21" s="1"/>
  <c r="CS16" i="21"/>
  <c r="DD16" i="21" s="1"/>
  <c r="DO16" i="21" s="1"/>
  <c r="BW17" i="21"/>
  <c r="CH17" i="21" s="1"/>
  <c r="BZ21" i="5"/>
  <c r="CK21" i="5" s="1"/>
  <c r="CV20" i="5"/>
  <c r="DG20" i="5" s="1"/>
  <c r="DR20" i="5" s="1"/>
  <c r="L20" i="5" s="1"/>
  <c r="CL19" i="21"/>
  <c r="CW19" i="21" s="1"/>
  <c r="DH19" i="21" s="1"/>
  <c r="B19" i="21" s="1"/>
  <c r="BP20" i="21"/>
  <c r="CA20" i="21" s="1"/>
  <c r="CM22" i="21"/>
  <c r="CX22" i="21" s="1"/>
  <c r="DI22" i="21" s="1"/>
  <c r="C22" i="21" s="1"/>
  <c r="BQ23" i="21"/>
  <c r="CB23" i="21" s="1"/>
  <c r="BX21" i="21"/>
  <c r="CI21" i="21" s="1"/>
  <c r="CT20" i="21"/>
  <c r="DE20" i="21" s="1"/>
  <c r="DP20" i="21" s="1"/>
  <c r="J20" i="21" s="1"/>
  <c r="BV24" i="5"/>
  <c r="CG24" i="5" s="1"/>
  <c r="CR23" i="5"/>
  <c r="DC23" i="5" s="1"/>
  <c r="DN23" i="5" s="1"/>
  <c r="H23" i="5" s="1"/>
  <c r="BW25" i="5"/>
  <c r="CH25" i="5" s="1"/>
  <c r="CS24" i="5"/>
  <c r="DD24" i="5" s="1"/>
  <c r="DO24" i="5" s="1"/>
  <c r="I24" i="5" s="1"/>
  <c r="BR24" i="5"/>
  <c r="CC24" i="5" s="1"/>
  <c r="CN23" i="5"/>
  <c r="CY23" i="5" s="1"/>
  <c r="DJ23" i="5" s="1"/>
  <c r="D23" i="5" s="1"/>
  <c r="CM23" i="5"/>
  <c r="CX23" i="5" s="1"/>
  <c r="DI23" i="5" s="1"/>
  <c r="C23" i="5" s="1"/>
  <c r="BQ24" i="5"/>
  <c r="CB24" i="5" s="1"/>
  <c r="BS24" i="5"/>
  <c r="CD24" i="5" s="1"/>
  <c r="CO23" i="5"/>
  <c r="CZ23" i="5" s="1"/>
  <c r="DK23" i="5" s="1"/>
  <c r="E23" i="5" s="1"/>
  <c r="CO21" i="21"/>
  <c r="CZ21" i="21" s="1"/>
  <c r="DK21" i="21" s="1"/>
  <c r="E21" i="21" s="1"/>
  <c r="BS22" i="21"/>
  <c r="CD22" i="21" s="1"/>
  <c r="CV20" i="21"/>
  <c r="DG20" i="21" s="1"/>
  <c r="DR20" i="21" s="1"/>
  <c r="L20" i="21" s="1"/>
  <c r="BZ21" i="21"/>
  <c r="CK21" i="21" s="1"/>
  <c r="CT24" i="5"/>
  <c r="DE24" i="5" s="1"/>
  <c r="DP24" i="5" s="1"/>
  <c r="J24" i="5" s="1"/>
  <c r="BX25" i="5"/>
  <c r="CI25" i="5" s="1"/>
  <c r="CN21" i="21"/>
  <c r="CY21" i="21" s="1"/>
  <c r="DJ21" i="21" s="1"/>
  <c r="D21" i="21" s="1"/>
  <c r="BR22" i="21"/>
  <c r="CC22" i="21" s="1"/>
  <c r="DH22" i="5"/>
  <c r="B22" i="5" s="1"/>
  <c r="CL23" i="5"/>
  <c r="CW23" i="5" s="1"/>
  <c r="BP24" i="5"/>
  <c r="CA24" i="5" s="1"/>
  <c r="CO22" i="21" l="1"/>
  <c r="CZ22" i="21" s="1"/>
  <c r="DK22" i="21" s="1"/>
  <c r="E22" i="21" s="1"/>
  <c r="BS23" i="21"/>
  <c r="CD23" i="21" s="1"/>
  <c r="CS17" i="21"/>
  <c r="DD17" i="21" s="1"/>
  <c r="DO17" i="21" s="1"/>
  <c r="BW18" i="21"/>
  <c r="CH18" i="21" s="1"/>
  <c r="BQ25" i="5"/>
  <c r="CB25" i="5" s="1"/>
  <c r="CM24" i="5"/>
  <c r="CX24" i="5" s="1"/>
  <c r="DI24" i="5" s="1"/>
  <c r="C24" i="5" s="1"/>
  <c r="BV19" i="21"/>
  <c r="CG19" i="21" s="1"/>
  <c r="CR18" i="21"/>
  <c r="DC18" i="21" s="1"/>
  <c r="DN18" i="21" s="1"/>
  <c r="H18" i="21" s="1"/>
  <c r="CN24" i="5"/>
  <c r="CY24" i="5" s="1"/>
  <c r="DJ24" i="5" s="1"/>
  <c r="D24" i="5" s="1"/>
  <c r="BR25" i="5"/>
  <c r="CC25" i="5" s="1"/>
  <c r="CQ23" i="21"/>
  <c r="DB23" i="21" s="1"/>
  <c r="DM23" i="21" s="1"/>
  <c r="G23" i="21" s="1"/>
  <c r="BU24" i="21"/>
  <c r="CF24" i="21" s="1"/>
  <c r="CO24" i="5"/>
  <c r="CZ24" i="5" s="1"/>
  <c r="DK24" i="5" s="1"/>
  <c r="E24" i="5" s="1"/>
  <c r="BS25" i="5"/>
  <c r="CD25" i="5" s="1"/>
  <c r="CS25" i="5"/>
  <c r="DD25" i="5" s="1"/>
  <c r="DO25" i="5" s="1"/>
  <c r="I25" i="5" s="1"/>
  <c r="BW26" i="5"/>
  <c r="CH26" i="5" s="1"/>
  <c r="BY21" i="21"/>
  <c r="CJ21" i="21" s="1"/>
  <c r="CU20" i="21"/>
  <c r="DF20" i="21" s="1"/>
  <c r="DQ20" i="21" s="1"/>
  <c r="K20" i="21" s="1"/>
  <c r="BX22" i="21"/>
  <c r="CI22" i="21" s="1"/>
  <c r="CT21" i="21"/>
  <c r="DE21" i="21" s="1"/>
  <c r="DP21" i="21" s="1"/>
  <c r="J21" i="21" s="1"/>
  <c r="CL20" i="21"/>
  <c r="CW20" i="21" s="1"/>
  <c r="DH20" i="21" s="1"/>
  <c r="B20" i="21" s="1"/>
  <c r="BP21" i="21"/>
  <c r="CA21" i="21" s="1"/>
  <c r="BZ22" i="5"/>
  <c r="CK22" i="5" s="1"/>
  <c r="CV21" i="5"/>
  <c r="DG21" i="5" s="1"/>
  <c r="DR21" i="5" s="1"/>
  <c r="L21" i="5" s="1"/>
  <c r="CN22" i="21"/>
  <c r="CY22" i="21" s="1"/>
  <c r="DJ22" i="21" s="1"/>
  <c r="D22" i="21" s="1"/>
  <c r="BR23" i="21"/>
  <c r="CC23" i="21" s="1"/>
  <c r="CT25" i="5"/>
  <c r="DE25" i="5" s="1"/>
  <c r="DP25" i="5" s="1"/>
  <c r="J25" i="5" s="1"/>
  <c r="BX26" i="5"/>
  <c r="CI26" i="5" s="1"/>
  <c r="CV21" i="21"/>
  <c r="DG21" i="21" s="1"/>
  <c r="DR21" i="21" s="1"/>
  <c r="L21" i="21" s="1"/>
  <c r="BZ22" i="21"/>
  <c r="CK22" i="21" s="1"/>
  <c r="BQ24" i="21"/>
  <c r="CB24" i="21" s="1"/>
  <c r="CM23" i="21"/>
  <c r="CX23" i="21" s="1"/>
  <c r="DI23" i="21" s="1"/>
  <c r="C23" i="21" s="1"/>
  <c r="BY25" i="5"/>
  <c r="CJ25" i="5" s="1"/>
  <c r="CU24" i="5"/>
  <c r="DF24" i="5" s="1"/>
  <c r="DQ24" i="5" s="1"/>
  <c r="K24" i="5" s="1"/>
  <c r="BV25" i="5"/>
  <c r="CG25" i="5" s="1"/>
  <c r="CR24" i="5"/>
  <c r="DC24" i="5" s="1"/>
  <c r="DN24" i="5" s="1"/>
  <c r="H24" i="5" s="1"/>
  <c r="BU25" i="5"/>
  <c r="CF25" i="5" s="1"/>
  <c r="CQ24" i="5"/>
  <c r="DB24" i="5" s="1"/>
  <c r="DM24" i="5" s="1"/>
  <c r="G24" i="5" s="1"/>
  <c r="DH23" i="5"/>
  <c r="B23" i="5" s="1"/>
  <c r="CL24" i="5"/>
  <c r="CW24" i="5" s="1"/>
  <c r="BP25" i="5"/>
  <c r="CA25" i="5" s="1"/>
  <c r="CV22" i="21" l="1"/>
  <c r="DG22" i="21" s="1"/>
  <c r="DR22" i="21" s="1"/>
  <c r="L22" i="21" s="1"/>
  <c r="BZ23" i="21"/>
  <c r="CK23" i="21" s="1"/>
  <c r="BS26" i="5"/>
  <c r="CD26" i="5" s="1"/>
  <c r="CO25" i="5"/>
  <c r="CZ25" i="5" s="1"/>
  <c r="DK25" i="5" s="1"/>
  <c r="E25" i="5" s="1"/>
  <c r="BQ25" i="21"/>
  <c r="CB25" i="21" s="1"/>
  <c r="CM24" i="21"/>
  <c r="CX24" i="21" s="1"/>
  <c r="DI24" i="21" s="1"/>
  <c r="C24" i="21" s="1"/>
  <c r="BX27" i="5"/>
  <c r="CI27" i="5" s="1"/>
  <c r="CT26" i="5"/>
  <c r="DE26" i="5" s="1"/>
  <c r="DP26" i="5" s="1"/>
  <c r="J26" i="5" s="1"/>
  <c r="CV22" i="5"/>
  <c r="DG22" i="5" s="1"/>
  <c r="DR22" i="5" s="1"/>
  <c r="L22" i="5" s="1"/>
  <c r="BZ23" i="5"/>
  <c r="CK23" i="5" s="1"/>
  <c r="CS26" i="5"/>
  <c r="DD26" i="5" s="1"/>
  <c r="DO26" i="5" s="1"/>
  <c r="I26" i="5" s="1"/>
  <c r="BW27" i="5"/>
  <c r="CH27" i="5" s="1"/>
  <c r="BU26" i="5"/>
  <c r="CF26" i="5" s="1"/>
  <c r="CQ25" i="5"/>
  <c r="DB25" i="5" s="1"/>
  <c r="DM25" i="5" s="1"/>
  <c r="G25" i="5" s="1"/>
  <c r="CM25" i="5"/>
  <c r="CX25" i="5" s="1"/>
  <c r="DI25" i="5" s="1"/>
  <c r="C25" i="5" s="1"/>
  <c r="BQ26" i="5"/>
  <c r="CB26" i="5" s="1"/>
  <c r="BW19" i="21"/>
  <c r="CH19" i="21" s="1"/>
  <c r="CS18" i="21"/>
  <c r="DD18" i="21" s="1"/>
  <c r="DO18" i="21" s="1"/>
  <c r="BU25" i="21"/>
  <c r="CF25" i="21" s="1"/>
  <c r="CQ24" i="21"/>
  <c r="DB24" i="21" s="1"/>
  <c r="DM24" i="21" s="1"/>
  <c r="G24" i="21" s="1"/>
  <c r="BR26" i="5"/>
  <c r="CC26" i="5" s="1"/>
  <c r="CN25" i="5"/>
  <c r="CY25" i="5" s="1"/>
  <c r="DJ25" i="5" s="1"/>
  <c r="D25" i="5" s="1"/>
  <c r="CT22" i="21"/>
  <c r="DE22" i="21" s="1"/>
  <c r="DP22" i="21" s="1"/>
  <c r="J22" i="21" s="1"/>
  <c r="BX23" i="21"/>
  <c r="CI23" i="21" s="1"/>
  <c r="CR19" i="21"/>
  <c r="DC19" i="21" s="1"/>
  <c r="DN19" i="21" s="1"/>
  <c r="H19" i="21" s="1"/>
  <c r="BV20" i="21"/>
  <c r="CG20" i="21" s="1"/>
  <c r="BP22" i="21"/>
  <c r="CA22" i="21" s="1"/>
  <c r="CL21" i="21"/>
  <c r="CW21" i="21" s="1"/>
  <c r="DH21" i="21" s="1"/>
  <c r="B21" i="21" s="1"/>
  <c r="BS24" i="21"/>
  <c r="CD24" i="21" s="1"/>
  <c r="CO23" i="21"/>
  <c r="CZ23" i="21" s="1"/>
  <c r="DK23" i="21" s="1"/>
  <c r="E23" i="21" s="1"/>
  <c r="CN23" i="21"/>
  <c r="CY23" i="21" s="1"/>
  <c r="DJ23" i="21" s="1"/>
  <c r="D23" i="21" s="1"/>
  <c r="BR24" i="21"/>
  <c r="CC24" i="21" s="1"/>
  <c r="BV26" i="5"/>
  <c r="CG26" i="5" s="1"/>
  <c r="CR25" i="5"/>
  <c r="DC25" i="5" s="1"/>
  <c r="DN25" i="5" s="1"/>
  <c r="H25" i="5" s="1"/>
  <c r="CU25" i="5"/>
  <c r="DF25" i="5" s="1"/>
  <c r="DQ25" i="5" s="1"/>
  <c r="K25" i="5" s="1"/>
  <c r="BY26" i="5"/>
  <c r="CJ26" i="5" s="1"/>
  <c r="BY22" i="21"/>
  <c r="CJ22" i="21" s="1"/>
  <c r="CU21" i="21"/>
  <c r="DF21" i="21" s="1"/>
  <c r="DQ21" i="21" s="1"/>
  <c r="K21" i="21" s="1"/>
  <c r="DH24" i="5"/>
  <c r="B24" i="5" s="1"/>
  <c r="CL25" i="5"/>
  <c r="CW25" i="5" s="1"/>
  <c r="BP26" i="5"/>
  <c r="CA26" i="5" s="1"/>
  <c r="BU27" i="5" l="1"/>
  <c r="CF27" i="5" s="1"/>
  <c r="CQ26" i="5"/>
  <c r="DB26" i="5" s="1"/>
  <c r="DM26" i="5" s="1"/>
  <c r="G26" i="5" s="1"/>
  <c r="CV23" i="5"/>
  <c r="DG23" i="5" s="1"/>
  <c r="DR23" i="5" s="1"/>
  <c r="L23" i="5" s="1"/>
  <c r="BZ24" i="5"/>
  <c r="CK24" i="5" s="1"/>
  <c r="CT27" i="5"/>
  <c r="DE27" i="5" s="1"/>
  <c r="DP27" i="5" s="1"/>
  <c r="J27" i="5" s="1"/>
  <c r="BX28" i="5"/>
  <c r="CI28" i="5" s="1"/>
  <c r="CM26" i="5"/>
  <c r="CX26" i="5" s="1"/>
  <c r="DI26" i="5" s="1"/>
  <c r="C26" i="5" s="1"/>
  <c r="BQ27" i="5"/>
  <c r="CB27" i="5" s="1"/>
  <c r="BW28" i="5"/>
  <c r="CH28" i="5" s="1"/>
  <c r="CS27" i="5"/>
  <c r="DD27" i="5" s="1"/>
  <c r="DO27" i="5" s="1"/>
  <c r="I27" i="5" s="1"/>
  <c r="BR27" i="5"/>
  <c r="CC27" i="5" s="1"/>
  <c r="CN26" i="5"/>
  <c r="CY26" i="5" s="1"/>
  <c r="DJ26" i="5" s="1"/>
  <c r="D26" i="5" s="1"/>
  <c r="BQ26" i="21"/>
  <c r="CB26" i="21" s="1"/>
  <c r="CM25" i="21"/>
  <c r="CX25" i="21" s="1"/>
  <c r="DI25" i="21" s="1"/>
  <c r="C25" i="21" s="1"/>
  <c r="BX24" i="21"/>
  <c r="CI24" i="21" s="1"/>
  <c r="CT23" i="21"/>
  <c r="DE23" i="21" s="1"/>
  <c r="DP23" i="21" s="1"/>
  <c r="J23" i="21" s="1"/>
  <c r="BU26" i="21"/>
  <c r="CF26" i="21" s="1"/>
  <c r="CQ25" i="21"/>
  <c r="DB25" i="21" s="1"/>
  <c r="DM25" i="21" s="1"/>
  <c r="G25" i="21" s="1"/>
  <c r="BS27" i="5"/>
  <c r="CD27" i="5" s="1"/>
  <c r="CO26" i="5"/>
  <c r="CZ26" i="5" s="1"/>
  <c r="DK26" i="5" s="1"/>
  <c r="E26" i="5" s="1"/>
  <c r="BP23" i="21"/>
  <c r="CA23" i="21" s="1"/>
  <c r="CL22" i="21"/>
  <c r="CW22" i="21" s="1"/>
  <c r="DH22" i="21" s="1"/>
  <c r="B22" i="21" s="1"/>
  <c r="BY27" i="5"/>
  <c r="CJ27" i="5" s="1"/>
  <c r="CU26" i="5"/>
  <c r="DF26" i="5" s="1"/>
  <c r="DQ26" i="5" s="1"/>
  <c r="K26" i="5" s="1"/>
  <c r="CV23" i="21"/>
  <c r="DG23" i="21" s="1"/>
  <c r="DR23" i="21" s="1"/>
  <c r="L23" i="21" s="1"/>
  <c r="BZ24" i="21"/>
  <c r="CK24" i="21" s="1"/>
  <c r="CN24" i="21"/>
  <c r="CY24" i="21" s="1"/>
  <c r="DJ24" i="21" s="1"/>
  <c r="D24" i="21" s="1"/>
  <c r="BR25" i="21"/>
  <c r="CC25" i="21" s="1"/>
  <c r="BS25" i="21"/>
  <c r="CD25" i="21" s="1"/>
  <c r="CO24" i="21"/>
  <c r="CZ24" i="21" s="1"/>
  <c r="DK24" i="21" s="1"/>
  <c r="E24" i="21" s="1"/>
  <c r="CR20" i="21"/>
  <c r="DC20" i="21" s="1"/>
  <c r="DN20" i="21" s="1"/>
  <c r="H20" i="21" s="1"/>
  <c r="BV21" i="21"/>
  <c r="CG21" i="21" s="1"/>
  <c r="CU22" i="21"/>
  <c r="DF22" i="21" s="1"/>
  <c r="DQ22" i="21" s="1"/>
  <c r="K22" i="21" s="1"/>
  <c r="BY23" i="21"/>
  <c r="CJ23" i="21" s="1"/>
  <c r="BV27" i="5"/>
  <c r="CG27" i="5" s="1"/>
  <c r="CR26" i="5"/>
  <c r="DC26" i="5" s="1"/>
  <c r="DN26" i="5" s="1"/>
  <c r="H26" i="5" s="1"/>
  <c r="BW20" i="21"/>
  <c r="CH20" i="21" s="1"/>
  <c r="CS19" i="21"/>
  <c r="DD19" i="21" s="1"/>
  <c r="DO19" i="21" s="1"/>
  <c r="DH25" i="5"/>
  <c r="B25" i="5" s="1"/>
  <c r="CL26" i="5"/>
  <c r="CW26" i="5" s="1"/>
  <c r="BP27" i="5"/>
  <c r="CA27" i="5" s="1"/>
  <c r="CT28" i="5" l="1"/>
  <c r="DE28" i="5" s="1"/>
  <c r="DP28" i="5" s="1"/>
  <c r="J28" i="5" s="1"/>
  <c r="BX29" i="5"/>
  <c r="CI29" i="5" s="1"/>
  <c r="CN25" i="21"/>
  <c r="CY25" i="21" s="1"/>
  <c r="DJ25" i="21" s="1"/>
  <c r="D25" i="21" s="1"/>
  <c r="BR26" i="21"/>
  <c r="CC26" i="21" s="1"/>
  <c r="BZ25" i="21"/>
  <c r="CK25" i="21" s="1"/>
  <c r="CV24" i="21"/>
  <c r="DG24" i="21" s="1"/>
  <c r="DR24" i="21" s="1"/>
  <c r="L24" i="21" s="1"/>
  <c r="BQ28" i="5"/>
  <c r="CB28" i="5" s="1"/>
  <c r="CM27" i="5"/>
  <c r="CX27" i="5" s="1"/>
  <c r="DI27" i="5" s="1"/>
  <c r="C27" i="5" s="1"/>
  <c r="CR21" i="21"/>
  <c r="DC21" i="21" s="1"/>
  <c r="DN21" i="21" s="1"/>
  <c r="H21" i="21" s="1"/>
  <c r="BV22" i="21"/>
  <c r="CG22" i="21" s="1"/>
  <c r="BW29" i="5"/>
  <c r="CH29" i="5" s="1"/>
  <c r="CS28" i="5"/>
  <c r="DD28" i="5" s="1"/>
  <c r="DO28" i="5" s="1"/>
  <c r="I28" i="5" s="1"/>
  <c r="CV24" i="5"/>
  <c r="DG24" i="5" s="1"/>
  <c r="DR24" i="5" s="1"/>
  <c r="L24" i="5" s="1"/>
  <c r="BZ25" i="5"/>
  <c r="CK25" i="5" s="1"/>
  <c r="BP24" i="21"/>
  <c r="CA24" i="21" s="1"/>
  <c r="CL23" i="21"/>
  <c r="CW23" i="21" s="1"/>
  <c r="DH23" i="21" s="1"/>
  <c r="B23" i="21" s="1"/>
  <c r="BV28" i="5"/>
  <c r="CG28" i="5" s="1"/>
  <c r="CR27" i="5"/>
  <c r="DC27" i="5" s="1"/>
  <c r="DN27" i="5" s="1"/>
  <c r="H27" i="5" s="1"/>
  <c r="BS28" i="5"/>
  <c r="CD28" i="5" s="1"/>
  <c r="CO27" i="5"/>
  <c r="CZ27" i="5" s="1"/>
  <c r="DK27" i="5" s="1"/>
  <c r="E27" i="5" s="1"/>
  <c r="CT24" i="21"/>
  <c r="DE24" i="21" s="1"/>
  <c r="DP24" i="21" s="1"/>
  <c r="J24" i="21" s="1"/>
  <c r="BX25" i="21"/>
  <c r="CI25" i="21" s="1"/>
  <c r="CO25" i="21"/>
  <c r="CZ25" i="21" s="1"/>
  <c r="DK25" i="21" s="1"/>
  <c r="E25" i="21" s="1"/>
  <c r="BS26" i="21"/>
  <c r="CD26" i="21" s="1"/>
  <c r="BR28" i="5"/>
  <c r="CC28" i="5" s="1"/>
  <c r="CN27" i="5"/>
  <c r="CY27" i="5" s="1"/>
  <c r="DJ27" i="5" s="1"/>
  <c r="D27" i="5" s="1"/>
  <c r="BW21" i="21"/>
  <c r="CH21" i="21" s="1"/>
  <c r="CS20" i="21"/>
  <c r="DD20" i="21" s="1"/>
  <c r="DO20" i="21" s="1"/>
  <c r="CU23" i="21"/>
  <c r="DF23" i="21" s="1"/>
  <c r="DQ23" i="21" s="1"/>
  <c r="K23" i="21" s="1"/>
  <c r="BY24" i="21"/>
  <c r="CJ24" i="21" s="1"/>
  <c r="BQ27" i="21"/>
  <c r="CB27" i="21" s="1"/>
  <c r="CM26" i="21"/>
  <c r="CX26" i="21" s="1"/>
  <c r="DI26" i="21" s="1"/>
  <c r="C26" i="21" s="1"/>
  <c r="BY28" i="5"/>
  <c r="CJ28" i="5" s="1"/>
  <c r="CU27" i="5"/>
  <c r="DF27" i="5" s="1"/>
  <c r="DQ27" i="5" s="1"/>
  <c r="K27" i="5" s="1"/>
  <c r="CQ26" i="21"/>
  <c r="DB26" i="21" s="1"/>
  <c r="DM26" i="21" s="1"/>
  <c r="G26" i="21" s="1"/>
  <c r="BU27" i="21"/>
  <c r="CF27" i="21" s="1"/>
  <c r="CQ27" i="5"/>
  <c r="DB27" i="5" s="1"/>
  <c r="DM27" i="5" s="1"/>
  <c r="G27" i="5" s="1"/>
  <c r="BU28" i="5"/>
  <c r="CF28" i="5" s="1"/>
  <c r="DH26" i="5"/>
  <c r="B26" i="5" s="1"/>
  <c r="CL27" i="5"/>
  <c r="CW27" i="5" s="1"/>
  <c r="BP28" i="5"/>
  <c r="CA28" i="5" s="1"/>
  <c r="CV25" i="5" l="1"/>
  <c r="DG25" i="5" s="1"/>
  <c r="DR25" i="5" s="1"/>
  <c r="L25" i="5" s="1"/>
  <c r="BZ26" i="5"/>
  <c r="CK26" i="5" s="1"/>
  <c r="BZ26" i="21"/>
  <c r="CK26" i="21" s="1"/>
  <c r="CV25" i="21"/>
  <c r="DG25" i="21" s="1"/>
  <c r="DR25" i="21" s="1"/>
  <c r="L25" i="21" s="1"/>
  <c r="CM27" i="21"/>
  <c r="CX27" i="21" s="1"/>
  <c r="DI27" i="21" s="1"/>
  <c r="C27" i="21" s="1"/>
  <c r="BQ28" i="21"/>
  <c r="CB28" i="21" s="1"/>
  <c r="CU24" i="21"/>
  <c r="DF24" i="21" s="1"/>
  <c r="DQ24" i="21" s="1"/>
  <c r="K24" i="21" s="1"/>
  <c r="BY25" i="21"/>
  <c r="CJ25" i="21" s="1"/>
  <c r="CM28" i="5"/>
  <c r="CX28" i="5" s="1"/>
  <c r="DI28" i="5" s="1"/>
  <c r="C28" i="5" s="1"/>
  <c r="BQ29" i="5"/>
  <c r="CB29" i="5" s="1"/>
  <c r="BR27" i="21"/>
  <c r="CC27" i="21" s="1"/>
  <c r="CN26" i="21"/>
  <c r="CY26" i="21" s="1"/>
  <c r="DJ26" i="21" s="1"/>
  <c r="D26" i="21" s="1"/>
  <c r="BU29" i="5"/>
  <c r="CF29" i="5" s="1"/>
  <c r="CQ28" i="5"/>
  <c r="DB28" i="5" s="1"/>
  <c r="DM28" i="5" s="1"/>
  <c r="G28" i="5" s="1"/>
  <c r="BS29" i="5"/>
  <c r="CD29" i="5" s="1"/>
  <c r="CO28" i="5"/>
  <c r="CZ28" i="5" s="1"/>
  <c r="DK28" i="5" s="1"/>
  <c r="E28" i="5" s="1"/>
  <c r="CL24" i="21"/>
  <c r="CW24" i="21" s="1"/>
  <c r="DH24" i="21" s="1"/>
  <c r="B24" i="21" s="1"/>
  <c r="BP25" i="21"/>
  <c r="CA25" i="21" s="1"/>
  <c r="BW30" i="5"/>
  <c r="CH30" i="5" s="1"/>
  <c r="CS29" i="5"/>
  <c r="DD29" i="5" s="1"/>
  <c r="DO29" i="5" s="1"/>
  <c r="I29" i="5" s="1"/>
  <c r="BR29" i="5"/>
  <c r="CC29" i="5" s="1"/>
  <c r="CN28" i="5"/>
  <c r="CY28" i="5" s="1"/>
  <c r="DJ28" i="5" s="1"/>
  <c r="D28" i="5" s="1"/>
  <c r="BS27" i="21"/>
  <c r="CD27" i="21" s="1"/>
  <c r="CO26" i="21"/>
  <c r="CZ26" i="21" s="1"/>
  <c r="DK26" i="21" s="1"/>
  <c r="E26" i="21" s="1"/>
  <c r="CT29" i="5"/>
  <c r="DE29" i="5" s="1"/>
  <c r="DP29" i="5" s="1"/>
  <c r="J29" i="5" s="1"/>
  <c r="BX30" i="5"/>
  <c r="CI30" i="5" s="1"/>
  <c r="BW22" i="21"/>
  <c r="CH22" i="21" s="1"/>
  <c r="CS21" i="21"/>
  <c r="DD21" i="21" s="1"/>
  <c r="DO21" i="21" s="1"/>
  <c r="BV23" i="21"/>
  <c r="CG23" i="21" s="1"/>
  <c r="CR22" i="21"/>
  <c r="DC22" i="21" s="1"/>
  <c r="DN22" i="21" s="1"/>
  <c r="H22" i="21" s="1"/>
  <c r="CT25" i="21"/>
  <c r="DE25" i="21" s="1"/>
  <c r="DP25" i="21" s="1"/>
  <c r="J25" i="21" s="1"/>
  <c r="BX26" i="21"/>
  <c r="CI26" i="21" s="1"/>
  <c r="BU28" i="21"/>
  <c r="CF28" i="21" s="1"/>
  <c r="CQ27" i="21"/>
  <c r="DB27" i="21" s="1"/>
  <c r="DM27" i="21" s="1"/>
  <c r="G27" i="21" s="1"/>
  <c r="BY29" i="5"/>
  <c r="CJ29" i="5" s="1"/>
  <c r="CU28" i="5"/>
  <c r="DF28" i="5" s="1"/>
  <c r="DQ28" i="5" s="1"/>
  <c r="K28" i="5" s="1"/>
  <c r="BV29" i="5"/>
  <c r="CG29" i="5" s="1"/>
  <c r="CR28" i="5"/>
  <c r="DC28" i="5" s="1"/>
  <c r="DN28" i="5" s="1"/>
  <c r="H28" i="5" s="1"/>
  <c r="DH27" i="5"/>
  <c r="B27" i="5" s="1"/>
  <c r="CL28" i="5"/>
  <c r="CW28" i="5" s="1"/>
  <c r="BP29" i="5"/>
  <c r="CA29" i="5" s="1"/>
  <c r="BR28" i="21" l="1"/>
  <c r="CC28" i="21" s="1"/>
  <c r="CN27" i="21"/>
  <c r="CY27" i="21" s="1"/>
  <c r="DJ27" i="21" s="1"/>
  <c r="D27" i="21" s="1"/>
  <c r="BQ30" i="5"/>
  <c r="CB30" i="5" s="1"/>
  <c r="CM29" i="5"/>
  <c r="CX29" i="5" s="1"/>
  <c r="DI29" i="5" s="1"/>
  <c r="C29" i="5" s="1"/>
  <c r="BW23" i="21"/>
  <c r="CH23" i="21" s="1"/>
  <c r="CS22" i="21"/>
  <c r="DD22" i="21" s="1"/>
  <c r="DO22" i="21" s="1"/>
  <c r="BX31" i="5"/>
  <c r="CI31" i="5" s="1"/>
  <c r="CT30" i="5"/>
  <c r="DE30" i="5" s="1"/>
  <c r="DP30" i="5" s="1"/>
  <c r="J30" i="5" s="1"/>
  <c r="CO27" i="21"/>
  <c r="CZ27" i="21" s="1"/>
  <c r="DK27" i="21" s="1"/>
  <c r="E27" i="21" s="1"/>
  <c r="BS28" i="21"/>
  <c r="CD28" i="21" s="1"/>
  <c r="BX27" i="21"/>
  <c r="CI27" i="21" s="1"/>
  <c r="CT26" i="21"/>
  <c r="DE26" i="21" s="1"/>
  <c r="DP26" i="21" s="1"/>
  <c r="J26" i="21" s="1"/>
  <c r="BS30" i="5"/>
  <c r="CD30" i="5" s="1"/>
  <c r="CO29" i="5"/>
  <c r="CZ29" i="5" s="1"/>
  <c r="DK29" i="5" s="1"/>
  <c r="E29" i="5" s="1"/>
  <c r="CQ29" i="5"/>
  <c r="DB29" i="5" s="1"/>
  <c r="DM29" i="5" s="1"/>
  <c r="G29" i="5" s="1"/>
  <c r="BU30" i="5"/>
  <c r="CF30" i="5" s="1"/>
  <c r="BW31" i="5"/>
  <c r="CH31" i="5" s="1"/>
  <c r="CS30" i="5"/>
  <c r="DD30" i="5" s="1"/>
  <c r="DO30" i="5" s="1"/>
  <c r="I30" i="5" s="1"/>
  <c r="BZ27" i="21"/>
  <c r="CK27" i="21" s="1"/>
  <c r="CV26" i="21"/>
  <c r="DG26" i="21" s="1"/>
  <c r="DR26" i="21" s="1"/>
  <c r="L26" i="21" s="1"/>
  <c r="CU25" i="21"/>
  <c r="DF25" i="21" s="1"/>
  <c r="DQ25" i="21" s="1"/>
  <c r="K25" i="21" s="1"/>
  <c r="BY26" i="21"/>
  <c r="CJ26" i="21" s="1"/>
  <c r="BV30" i="5"/>
  <c r="CG30" i="5" s="1"/>
  <c r="CR29" i="5"/>
  <c r="DC29" i="5" s="1"/>
  <c r="DN29" i="5" s="1"/>
  <c r="H29" i="5" s="1"/>
  <c r="BR30" i="5"/>
  <c r="CC30" i="5" s="1"/>
  <c r="CN29" i="5"/>
  <c r="CY29" i="5" s="1"/>
  <c r="DJ29" i="5" s="1"/>
  <c r="D29" i="5" s="1"/>
  <c r="CL25" i="21"/>
  <c r="CW25" i="21" s="1"/>
  <c r="DH25" i="21" s="1"/>
  <c r="B25" i="21" s="1"/>
  <c r="BP26" i="21"/>
  <c r="CA26" i="21" s="1"/>
  <c r="CV26" i="5"/>
  <c r="DG26" i="5" s="1"/>
  <c r="DR26" i="5" s="1"/>
  <c r="L26" i="5" s="1"/>
  <c r="BZ27" i="5"/>
  <c r="CK27" i="5" s="1"/>
  <c r="CR23" i="21"/>
  <c r="DC23" i="21" s="1"/>
  <c r="DN23" i="21" s="1"/>
  <c r="H23" i="21" s="1"/>
  <c r="BV24" i="21"/>
  <c r="CG24" i="21" s="1"/>
  <c r="BQ29" i="21"/>
  <c r="CB29" i="21" s="1"/>
  <c r="CM28" i="21"/>
  <c r="CX28" i="21" s="1"/>
  <c r="DI28" i="21" s="1"/>
  <c r="C28" i="21" s="1"/>
  <c r="BY30" i="5"/>
  <c r="CJ30" i="5" s="1"/>
  <c r="CU29" i="5"/>
  <c r="DF29" i="5" s="1"/>
  <c r="DQ29" i="5" s="1"/>
  <c r="K29" i="5" s="1"/>
  <c r="CQ28" i="21"/>
  <c r="DB28" i="21" s="1"/>
  <c r="DM28" i="21" s="1"/>
  <c r="G28" i="21" s="1"/>
  <c r="BU29" i="21"/>
  <c r="CF29" i="21" s="1"/>
  <c r="DH28" i="5"/>
  <c r="B28" i="5" s="1"/>
  <c r="CL29" i="5"/>
  <c r="CW29" i="5" s="1"/>
  <c r="BP30" i="5"/>
  <c r="CA30" i="5" s="1"/>
  <c r="BX28" i="21" l="1"/>
  <c r="CI28" i="21" s="1"/>
  <c r="CT27" i="21"/>
  <c r="DE27" i="21" s="1"/>
  <c r="DP27" i="21" s="1"/>
  <c r="J27" i="21" s="1"/>
  <c r="CU26" i="21"/>
  <c r="DF26" i="21" s="1"/>
  <c r="DQ26" i="21" s="1"/>
  <c r="K26" i="21" s="1"/>
  <c r="BY27" i="21"/>
  <c r="CJ27" i="21" s="1"/>
  <c r="CO30" i="5"/>
  <c r="CZ30" i="5" s="1"/>
  <c r="DK30" i="5" s="1"/>
  <c r="E30" i="5" s="1"/>
  <c r="BS31" i="5"/>
  <c r="CD31" i="5" s="1"/>
  <c r="BW24" i="21"/>
  <c r="CH24" i="21" s="1"/>
  <c r="CS23" i="21"/>
  <c r="DD23" i="21" s="1"/>
  <c r="DO23" i="21" s="1"/>
  <c r="BP27" i="21"/>
  <c r="CA27" i="21" s="1"/>
  <c r="CL26" i="21"/>
  <c r="CW26" i="21" s="1"/>
  <c r="DH26" i="21" s="1"/>
  <c r="B26" i="21" s="1"/>
  <c r="BS29" i="21"/>
  <c r="CD29" i="21" s="1"/>
  <c r="CO28" i="21"/>
  <c r="CZ28" i="21" s="1"/>
  <c r="DK28" i="21" s="1"/>
  <c r="E28" i="21" s="1"/>
  <c r="CN30" i="5"/>
  <c r="CY30" i="5" s="1"/>
  <c r="DJ30" i="5" s="1"/>
  <c r="D30" i="5" s="1"/>
  <c r="BR31" i="5"/>
  <c r="CC31" i="5" s="1"/>
  <c r="CT31" i="5"/>
  <c r="DE31" i="5" s="1"/>
  <c r="DP31" i="5" s="1"/>
  <c r="J31" i="5" s="1"/>
  <c r="BX32" i="5"/>
  <c r="CI32" i="5" s="1"/>
  <c r="BV25" i="21"/>
  <c r="CG25" i="21" s="1"/>
  <c r="CR24" i="21"/>
  <c r="DC24" i="21" s="1"/>
  <c r="DN24" i="21" s="1"/>
  <c r="H24" i="21" s="1"/>
  <c r="BU30" i="21"/>
  <c r="CF30" i="21" s="1"/>
  <c r="CQ29" i="21"/>
  <c r="DB29" i="21" s="1"/>
  <c r="DM29" i="21" s="1"/>
  <c r="G29" i="21" s="1"/>
  <c r="CU30" i="5"/>
  <c r="DF30" i="5" s="1"/>
  <c r="DQ30" i="5" s="1"/>
  <c r="K30" i="5" s="1"/>
  <c r="BY31" i="5"/>
  <c r="CJ31" i="5" s="1"/>
  <c r="BZ28" i="21"/>
  <c r="CK28" i="21" s="1"/>
  <c r="CV27" i="21"/>
  <c r="DG27" i="21" s="1"/>
  <c r="DR27" i="21" s="1"/>
  <c r="L27" i="21" s="1"/>
  <c r="BQ31" i="5"/>
  <c r="CB31" i="5" s="1"/>
  <c r="CM30" i="5"/>
  <c r="CX30" i="5" s="1"/>
  <c r="DI30" i="5" s="1"/>
  <c r="C30" i="5" s="1"/>
  <c r="BV31" i="5"/>
  <c r="CG31" i="5" s="1"/>
  <c r="CR30" i="5"/>
  <c r="DC30" i="5" s="1"/>
  <c r="DN30" i="5" s="1"/>
  <c r="H30" i="5" s="1"/>
  <c r="CQ30" i="5"/>
  <c r="DB30" i="5" s="1"/>
  <c r="DM30" i="5" s="1"/>
  <c r="G30" i="5" s="1"/>
  <c r="BU31" i="5"/>
  <c r="CF31" i="5" s="1"/>
  <c r="CV27" i="5"/>
  <c r="DG27" i="5" s="1"/>
  <c r="DR27" i="5" s="1"/>
  <c r="L27" i="5" s="1"/>
  <c r="BZ28" i="5"/>
  <c r="CK28" i="5" s="1"/>
  <c r="CM29" i="21"/>
  <c r="CX29" i="21" s="1"/>
  <c r="DI29" i="21" s="1"/>
  <c r="C29" i="21" s="1"/>
  <c r="BQ30" i="21"/>
  <c r="CB30" i="21" s="1"/>
  <c r="BW32" i="5"/>
  <c r="CH32" i="5" s="1"/>
  <c r="CS31" i="5"/>
  <c r="DD31" i="5" s="1"/>
  <c r="DO31" i="5" s="1"/>
  <c r="I31" i="5" s="1"/>
  <c r="CN28" i="21"/>
  <c r="CY28" i="21" s="1"/>
  <c r="DJ28" i="21" s="1"/>
  <c r="D28" i="21" s="1"/>
  <c r="BR29" i="21"/>
  <c r="CC29" i="21" s="1"/>
  <c r="DH29" i="5"/>
  <c r="B29" i="5" s="1"/>
  <c r="CL30" i="5"/>
  <c r="CW30" i="5" s="1"/>
  <c r="BP31" i="5"/>
  <c r="CA31" i="5" s="1"/>
  <c r="CV28" i="5" l="1"/>
  <c r="DG28" i="5" s="1"/>
  <c r="DR28" i="5" s="1"/>
  <c r="L28" i="5" s="1"/>
  <c r="BZ29" i="5"/>
  <c r="CK29" i="5" s="1"/>
  <c r="BR32" i="5"/>
  <c r="CC32" i="5" s="1"/>
  <c r="CN31" i="5"/>
  <c r="CY31" i="5" s="1"/>
  <c r="DJ31" i="5" s="1"/>
  <c r="D31" i="5" s="1"/>
  <c r="BX33" i="5"/>
  <c r="CI33" i="5" s="1"/>
  <c r="CT33" i="5" s="1"/>
  <c r="DE33" i="5" s="1"/>
  <c r="DP33" i="5" s="1"/>
  <c r="CT32" i="5"/>
  <c r="DE32" i="5" s="1"/>
  <c r="DP32" i="5" s="1"/>
  <c r="J32" i="5" s="1"/>
  <c r="CQ31" i="5"/>
  <c r="DB31" i="5" s="1"/>
  <c r="DM31" i="5" s="1"/>
  <c r="G31" i="5" s="1"/>
  <c r="BU32" i="5"/>
  <c r="CF32" i="5" s="1"/>
  <c r="BY28" i="21"/>
  <c r="CJ28" i="21" s="1"/>
  <c r="CU27" i="21"/>
  <c r="DF27" i="21" s="1"/>
  <c r="DQ27" i="21" s="1"/>
  <c r="K27" i="21" s="1"/>
  <c r="BV32" i="5"/>
  <c r="CG32" i="5" s="1"/>
  <c r="CR31" i="5"/>
  <c r="DC31" i="5" s="1"/>
  <c r="DN31" i="5" s="1"/>
  <c r="H31" i="5" s="1"/>
  <c r="CM31" i="5"/>
  <c r="CX31" i="5" s="1"/>
  <c r="DI31" i="5" s="1"/>
  <c r="C31" i="5" s="1"/>
  <c r="BQ32" i="5"/>
  <c r="CB32" i="5" s="1"/>
  <c r="CS24" i="21"/>
  <c r="DD24" i="21" s="1"/>
  <c r="DO24" i="21" s="1"/>
  <c r="BW25" i="21"/>
  <c r="CH25" i="21" s="1"/>
  <c r="BP28" i="21"/>
  <c r="CA28" i="21" s="1"/>
  <c r="CL27" i="21"/>
  <c r="CW27" i="21" s="1"/>
  <c r="DH27" i="21" s="1"/>
  <c r="B27" i="21" s="1"/>
  <c r="CV28" i="21"/>
  <c r="DG28" i="21" s="1"/>
  <c r="DR28" i="21" s="1"/>
  <c r="L28" i="21" s="1"/>
  <c r="BZ29" i="21"/>
  <c r="CK29" i="21" s="1"/>
  <c r="CU31" i="5"/>
  <c r="DF31" i="5" s="1"/>
  <c r="DQ31" i="5" s="1"/>
  <c r="K31" i="5" s="1"/>
  <c r="BY32" i="5"/>
  <c r="CJ32" i="5" s="1"/>
  <c r="CO29" i="21"/>
  <c r="CZ29" i="21" s="1"/>
  <c r="DK29" i="21" s="1"/>
  <c r="E29" i="21" s="1"/>
  <c r="BS30" i="21"/>
  <c r="CD30" i="21" s="1"/>
  <c r="CN29" i="21"/>
  <c r="CY29" i="21" s="1"/>
  <c r="DJ29" i="21" s="1"/>
  <c r="D29" i="21" s="1"/>
  <c r="BR30" i="21"/>
  <c r="CC30" i="21" s="1"/>
  <c r="BS32" i="5"/>
  <c r="CD32" i="5" s="1"/>
  <c r="CO31" i="5"/>
  <c r="CZ31" i="5" s="1"/>
  <c r="DK31" i="5" s="1"/>
  <c r="E31" i="5" s="1"/>
  <c r="BW33" i="5"/>
  <c r="CH33" i="5" s="1"/>
  <c r="CS33" i="5" s="1"/>
  <c r="DD33" i="5" s="1"/>
  <c r="DO33" i="5" s="1"/>
  <c r="CS32" i="5"/>
  <c r="DD32" i="5" s="1"/>
  <c r="DO32" i="5" s="1"/>
  <c r="I32" i="5" s="1"/>
  <c r="BU31" i="21"/>
  <c r="CF31" i="21" s="1"/>
  <c r="CQ30" i="21"/>
  <c r="DB30" i="21" s="1"/>
  <c r="DM30" i="21" s="1"/>
  <c r="G30" i="21" s="1"/>
  <c r="CM30" i="21"/>
  <c r="CX30" i="21" s="1"/>
  <c r="DI30" i="21" s="1"/>
  <c r="C30" i="21" s="1"/>
  <c r="BQ31" i="21"/>
  <c r="CB31" i="21" s="1"/>
  <c r="BV26" i="21"/>
  <c r="CG26" i="21" s="1"/>
  <c r="CR25" i="21"/>
  <c r="DC25" i="21" s="1"/>
  <c r="DN25" i="21" s="1"/>
  <c r="H25" i="21" s="1"/>
  <c r="BX29" i="21"/>
  <c r="CI29" i="21" s="1"/>
  <c r="CT28" i="21"/>
  <c r="DE28" i="21" s="1"/>
  <c r="DP28" i="21" s="1"/>
  <c r="J28" i="21" s="1"/>
  <c r="DH30" i="5"/>
  <c r="B30" i="5" s="1"/>
  <c r="CL31" i="5"/>
  <c r="CW31" i="5" s="1"/>
  <c r="BP32" i="5"/>
  <c r="CA32" i="5" s="1"/>
  <c r="J33" i="5" l="1"/>
  <c r="J46" i="1" s="1"/>
  <c r="I33" i="5"/>
  <c r="I46" i="1" s="1"/>
  <c r="BW26" i="21"/>
  <c r="CH26" i="21" s="1"/>
  <c r="CS25" i="21"/>
  <c r="DD25" i="21" s="1"/>
  <c r="DO25" i="21" s="1"/>
  <c r="BR31" i="21"/>
  <c r="CC31" i="21" s="1"/>
  <c r="CN30" i="21"/>
  <c r="CY30" i="21" s="1"/>
  <c r="DJ30" i="21" s="1"/>
  <c r="D30" i="21" s="1"/>
  <c r="BU33" i="5"/>
  <c r="CF33" i="5" s="1"/>
  <c r="CQ33" i="5" s="1"/>
  <c r="DB33" i="5" s="1"/>
  <c r="DM33" i="5" s="1"/>
  <c r="CQ32" i="5"/>
  <c r="DB32" i="5" s="1"/>
  <c r="DM32" i="5" s="1"/>
  <c r="G32" i="5" s="1"/>
  <c r="CO30" i="21"/>
  <c r="CZ30" i="21" s="1"/>
  <c r="DK30" i="21" s="1"/>
  <c r="E30" i="21" s="1"/>
  <c r="BS31" i="21"/>
  <c r="CD31" i="21" s="1"/>
  <c r="BV33" i="5"/>
  <c r="CG33" i="5" s="1"/>
  <c r="CR33" i="5" s="1"/>
  <c r="DC33" i="5" s="1"/>
  <c r="DN33" i="5" s="1"/>
  <c r="CR32" i="5"/>
  <c r="DC32" i="5" s="1"/>
  <c r="DN32" i="5" s="1"/>
  <c r="H32" i="5" s="1"/>
  <c r="CU32" i="5"/>
  <c r="DF32" i="5" s="1"/>
  <c r="DQ32" i="5" s="1"/>
  <c r="K32" i="5" s="1"/>
  <c r="BY33" i="5"/>
  <c r="CJ33" i="5" s="1"/>
  <c r="CU33" i="5" s="1"/>
  <c r="DF33" i="5" s="1"/>
  <c r="DQ33" i="5" s="1"/>
  <c r="CT29" i="21"/>
  <c r="DE29" i="21" s="1"/>
  <c r="DP29" i="21" s="1"/>
  <c r="J29" i="21" s="1"/>
  <c r="BX30" i="21"/>
  <c r="CI30" i="21" s="1"/>
  <c r="CN32" i="5"/>
  <c r="CY32" i="5" s="1"/>
  <c r="DJ32" i="5" s="1"/>
  <c r="D32" i="5" s="1"/>
  <c r="BR33" i="5"/>
  <c r="CC33" i="5" s="1"/>
  <c r="CN33" i="5" s="1"/>
  <c r="CY33" i="5" s="1"/>
  <c r="DJ33" i="5" s="1"/>
  <c r="BS33" i="5"/>
  <c r="CD33" i="5" s="1"/>
  <c r="CO33" i="5" s="1"/>
  <c r="CZ33" i="5" s="1"/>
  <c r="DK33" i="5" s="1"/>
  <c r="CO32" i="5"/>
  <c r="CZ32" i="5" s="1"/>
  <c r="DK32" i="5" s="1"/>
  <c r="E32" i="5" s="1"/>
  <c r="BY29" i="21"/>
  <c r="CJ29" i="21" s="1"/>
  <c r="CU28" i="21"/>
  <c r="DF28" i="21" s="1"/>
  <c r="DQ28" i="21" s="1"/>
  <c r="K28" i="21" s="1"/>
  <c r="BZ30" i="21"/>
  <c r="CK30" i="21" s="1"/>
  <c r="CV29" i="21"/>
  <c r="DG29" i="21" s="1"/>
  <c r="DR29" i="21" s="1"/>
  <c r="L29" i="21" s="1"/>
  <c r="BQ32" i="21"/>
  <c r="CB32" i="21" s="1"/>
  <c r="CM31" i="21"/>
  <c r="CX31" i="21" s="1"/>
  <c r="DI31" i="21" s="1"/>
  <c r="C31" i="21" s="1"/>
  <c r="CV29" i="5"/>
  <c r="DG29" i="5" s="1"/>
  <c r="DR29" i="5" s="1"/>
  <c r="L29" i="5" s="1"/>
  <c r="BZ30" i="5"/>
  <c r="CK30" i="5" s="1"/>
  <c r="BU32" i="21"/>
  <c r="CF32" i="21" s="1"/>
  <c r="CQ31" i="21"/>
  <c r="DB31" i="21" s="1"/>
  <c r="DM31" i="21" s="1"/>
  <c r="G31" i="21" s="1"/>
  <c r="BQ33" i="5"/>
  <c r="CB33" i="5" s="1"/>
  <c r="CM33" i="5" s="1"/>
  <c r="CX33" i="5" s="1"/>
  <c r="DI33" i="5" s="1"/>
  <c r="CM32" i="5"/>
  <c r="CX32" i="5" s="1"/>
  <c r="DI32" i="5" s="1"/>
  <c r="C32" i="5" s="1"/>
  <c r="BV27" i="21"/>
  <c r="CG27" i="21" s="1"/>
  <c r="CR26" i="21"/>
  <c r="DC26" i="21" s="1"/>
  <c r="DN26" i="21" s="1"/>
  <c r="H26" i="21" s="1"/>
  <c r="CL28" i="21"/>
  <c r="CW28" i="21" s="1"/>
  <c r="DH28" i="21" s="1"/>
  <c r="B28" i="21" s="1"/>
  <c r="BP29" i="21"/>
  <c r="CA29" i="21" s="1"/>
  <c r="DH31" i="5"/>
  <c r="B31" i="5" s="1"/>
  <c r="CL32" i="5"/>
  <c r="CW32" i="5" s="1"/>
  <c r="BP33" i="5"/>
  <c r="CA33" i="5" s="1"/>
  <c r="G33" i="5" l="1"/>
  <c r="G46" i="1" s="1"/>
  <c r="H33" i="5"/>
  <c r="H46" i="1" s="1"/>
  <c r="C33" i="5"/>
  <c r="C46" i="1" s="1"/>
  <c r="E33" i="5"/>
  <c r="E46" i="1" s="1"/>
  <c r="CR27" i="21"/>
  <c r="DC27" i="21" s="1"/>
  <c r="DN27" i="21" s="1"/>
  <c r="H27" i="21" s="1"/>
  <c r="BV28" i="21"/>
  <c r="CG28" i="21" s="1"/>
  <c r="CQ32" i="21"/>
  <c r="DB32" i="21" s="1"/>
  <c r="DM32" i="21" s="1"/>
  <c r="G32" i="21" s="1"/>
  <c r="BU33" i="21"/>
  <c r="CF33" i="21" s="1"/>
  <c r="CQ33" i="21" s="1"/>
  <c r="DB33" i="21" s="1"/>
  <c r="DM33" i="21" s="1"/>
  <c r="CO31" i="21"/>
  <c r="CZ31" i="21" s="1"/>
  <c r="DK31" i="21" s="1"/>
  <c r="E31" i="21" s="1"/>
  <c r="BS32" i="21"/>
  <c r="CD32" i="21" s="1"/>
  <c r="K33" i="5"/>
  <c r="K46" i="1" s="1"/>
  <c r="BQ33" i="21"/>
  <c r="CB33" i="21" s="1"/>
  <c r="CM33" i="21" s="1"/>
  <c r="CX33" i="21" s="1"/>
  <c r="DI33" i="21" s="1"/>
  <c r="CM32" i="21"/>
  <c r="CX32" i="21" s="1"/>
  <c r="DI32" i="21" s="1"/>
  <c r="C32" i="21" s="1"/>
  <c r="CV30" i="21"/>
  <c r="DG30" i="21" s="1"/>
  <c r="DR30" i="21" s="1"/>
  <c r="L30" i="21" s="1"/>
  <c r="BZ31" i="21"/>
  <c r="CK31" i="21" s="1"/>
  <c r="CU29" i="21"/>
  <c r="DF29" i="21" s="1"/>
  <c r="DQ29" i="21" s="1"/>
  <c r="K29" i="21" s="1"/>
  <c r="BY30" i="21"/>
  <c r="CJ30" i="21" s="1"/>
  <c r="BR32" i="21"/>
  <c r="CC32" i="21" s="1"/>
  <c r="CN31" i="21"/>
  <c r="CY31" i="21" s="1"/>
  <c r="DJ31" i="21" s="1"/>
  <c r="D31" i="21" s="1"/>
  <c r="CT30" i="21"/>
  <c r="DE30" i="21" s="1"/>
  <c r="DP30" i="21" s="1"/>
  <c r="J30" i="21" s="1"/>
  <c r="BX31" i="21"/>
  <c r="CI31" i="21" s="1"/>
  <c r="D33" i="5"/>
  <c r="D46" i="1" s="1"/>
  <c r="CV30" i="5"/>
  <c r="DG30" i="5" s="1"/>
  <c r="DR30" i="5" s="1"/>
  <c r="L30" i="5" s="1"/>
  <c r="BZ31" i="5"/>
  <c r="CK31" i="5" s="1"/>
  <c r="CL29" i="21"/>
  <c r="CW29" i="21" s="1"/>
  <c r="DH29" i="21" s="1"/>
  <c r="B29" i="21" s="1"/>
  <c r="BP30" i="21"/>
  <c r="CA30" i="21" s="1"/>
  <c r="BW27" i="21"/>
  <c r="CH27" i="21" s="1"/>
  <c r="CS26" i="21"/>
  <c r="DD26" i="21" s="1"/>
  <c r="DO26" i="21" s="1"/>
  <c r="DH32" i="5"/>
  <c r="B32" i="5" s="1"/>
  <c r="CL33" i="5"/>
  <c r="CW33" i="5" s="1"/>
  <c r="C33" i="21" l="1"/>
  <c r="C12" i="1" s="1"/>
  <c r="BR33" i="21"/>
  <c r="CC33" i="21" s="1"/>
  <c r="CN33" i="21" s="1"/>
  <c r="CY33" i="21" s="1"/>
  <c r="DJ33" i="21" s="1"/>
  <c r="CN32" i="21"/>
  <c r="CY32" i="21" s="1"/>
  <c r="DJ32" i="21" s="1"/>
  <c r="D32" i="21" s="1"/>
  <c r="CV31" i="21"/>
  <c r="DG31" i="21" s="1"/>
  <c r="DR31" i="21" s="1"/>
  <c r="L31" i="21" s="1"/>
  <c r="BZ32" i="21"/>
  <c r="CK32" i="21" s="1"/>
  <c r="BP31" i="21"/>
  <c r="CA31" i="21" s="1"/>
  <c r="CL30" i="21"/>
  <c r="CW30" i="21" s="1"/>
  <c r="DH30" i="21" s="1"/>
  <c r="B30" i="21" s="1"/>
  <c r="CV31" i="5"/>
  <c r="DG31" i="5" s="1"/>
  <c r="DR31" i="5" s="1"/>
  <c r="L31" i="5" s="1"/>
  <c r="BZ32" i="5"/>
  <c r="CK32" i="5" s="1"/>
  <c r="BY31" i="21"/>
  <c r="CJ31" i="21" s="1"/>
  <c r="CU30" i="21"/>
  <c r="DF30" i="21" s="1"/>
  <c r="DQ30" i="21" s="1"/>
  <c r="K30" i="21" s="1"/>
  <c r="CS27" i="21"/>
  <c r="DD27" i="21" s="1"/>
  <c r="DO27" i="21" s="1"/>
  <c r="BW28" i="21"/>
  <c r="CH28" i="21" s="1"/>
  <c r="BS33" i="21"/>
  <c r="CD33" i="21" s="1"/>
  <c r="CO33" i="21" s="1"/>
  <c r="CZ33" i="21" s="1"/>
  <c r="DK33" i="21" s="1"/>
  <c r="CO32" i="21"/>
  <c r="CZ32" i="21" s="1"/>
  <c r="DK32" i="21" s="1"/>
  <c r="E32" i="21" s="1"/>
  <c r="CR28" i="21"/>
  <c r="DC28" i="21" s="1"/>
  <c r="DN28" i="21" s="1"/>
  <c r="H28" i="21" s="1"/>
  <c r="BV29" i="21"/>
  <c r="CG29" i="21" s="1"/>
  <c r="G33" i="21"/>
  <c r="G12" i="1" s="1"/>
  <c r="BX32" i="21"/>
  <c r="CI32" i="21" s="1"/>
  <c r="CT31" i="21"/>
  <c r="DE31" i="21" s="1"/>
  <c r="DP31" i="21" s="1"/>
  <c r="J31" i="21" s="1"/>
  <c r="DH33" i="5"/>
  <c r="B33" i="5" s="1"/>
  <c r="B46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E33" i="21" l="1"/>
  <c r="E12" i="1" s="1"/>
  <c r="I27" i="21"/>
  <c r="D33" i="21"/>
  <c r="D12" i="1" s="1"/>
  <c r="CR29" i="21"/>
  <c r="DC29" i="21" s="1"/>
  <c r="DN29" i="21" s="1"/>
  <c r="H29" i="21" s="1"/>
  <c r="BV30" i="21"/>
  <c r="CG30" i="21" s="1"/>
  <c r="CS28" i="21"/>
  <c r="DD28" i="21" s="1"/>
  <c r="DO28" i="21" s="1"/>
  <c r="I28" i="21" s="1"/>
  <c r="BW29" i="21"/>
  <c r="CH29" i="21" s="1"/>
  <c r="CU31" i="21"/>
  <c r="DF31" i="21" s="1"/>
  <c r="DQ31" i="21" s="1"/>
  <c r="K31" i="21" s="1"/>
  <c r="BY32" i="21"/>
  <c r="CJ32" i="21" s="1"/>
  <c r="BZ33" i="5"/>
  <c r="CK33" i="5" s="1"/>
  <c r="CV33" i="5" s="1"/>
  <c r="DG33" i="5" s="1"/>
  <c r="DR33" i="5" s="1"/>
  <c r="CV32" i="5"/>
  <c r="DG32" i="5" s="1"/>
  <c r="DR32" i="5" s="1"/>
  <c r="L32" i="5" s="1"/>
  <c r="CV32" i="21"/>
  <c r="DG32" i="21" s="1"/>
  <c r="DR32" i="21" s="1"/>
  <c r="L32" i="21" s="1"/>
  <c r="BZ33" i="21"/>
  <c r="CK33" i="21" s="1"/>
  <c r="CV33" i="21" s="1"/>
  <c r="DG33" i="21" s="1"/>
  <c r="DR33" i="21" s="1"/>
  <c r="CL31" i="21"/>
  <c r="CW31" i="21" s="1"/>
  <c r="DH31" i="21" s="1"/>
  <c r="B31" i="21" s="1"/>
  <c r="BP32" i="21"/>
  <c r="CA32" i="21" s="1"/>
  <c r="BX33" i="21"/>
  <c r="CI33" i="21" s="1"/>
  <c r="CT33" i="21" s="1"/>
  <c r="DE33" i="21" s="1"/>
  <c r="DP33" i="21" s="1"/>
  <c r="CT32" i="21"/>
  <c r="DE32" i="21" s="1"/>
  <c r="DP32" i="21" s="1"/>
  <c r="J32" i="21" s="1"/>
  <c r="L33" i="5" l="1"/>
  <c r="L46" i="1" s="1"/>
  <c r="L33" i="21"/>
  <c r="L12" i="1" s="1"/>
  <c r="J33" i="21"/>
  <c r="J12" i="1" s="1"/>
  <c r="CL32" i="21"/>
  <c r="CW32" i="21" s="1"/>
  <c r="DH32" i="21" s="1"/>
  <c r="B32" i="21" s="1"/>
  <c r="BP33" i="21"/>
  <c r="CA33" i="21" s="1"/>
  <c r="CL33" i="21" s="1"/>
  <c r="CW33" i="21" s="1"/>
  <c r="DH33" i="21" s="1"/>
  <c r="BY33" i="21"/>
  <c r="CJ33" i="21" s="1"/>
  <c r="CU33" i="21" s="1"/>
  <c r="DF33" i="21" s="1"/>
  <c r="DQ33" i="21" s="1"/>
  <c r="CU32" i="21"/>
  <c r="DF32" i="21" s="1"/>
  <c r="DQ32" i="21" s="1"/>
  <c r="K32" i="21" s="1"/>
  <c r="BW30" i="21"/>
  <c r="CH30" i="21" s="1"/>
  <c r="CS29" i="21"/>
  <c r="DD29" i="21" s="1"/>
  <c r="DO29" i="21" s="1"/>
  <c r="I29" i="21" s="1"/>
  <c r="CR30" i="21"/>
  <c r="DC30" i="21" s="1"/>
  <c r="DN30" i="21" s="1"/>
  <c r="H30" i="21" s="1"/>
  <c r="BV31" i="21"/>
  <c r="CG31" i="21" s="1"/>
  <c r="K33" i="21" l="1"/>
  <c r="K12" i="1" s="1"/>
  <c r="B33" i="21"/>
  <c r="B12" i="1" s="1"/>
  <c r="BV32" i="21"/>
  <c r="CG32" i="21" s="1"/>
  <c r="CR31" i="21"/>
  <c r="DC31" i="21" s="1"/>
  <c r="DN31" i="21" s="1"/>
  <c r="H31" i="21" s="1"/>
  <c r="CS30" i="21"/>
  <c r="DD30" i="21" s="1"/>
  <c r="DO30" i="21" s="1"/>
  <c r="I30" i="21" s="1"/>
  <c r="BW31" i="21"/>
  <c r="CH31" i="21" s="1"/>
  <c r="CS31" i="21" l="1"/>
  <c r="DD31" i="21" s="1"/>
  <c r="DO31" i="21" s="1"/>
  <c r="I31" i="21" s="1"/>
  <c r="BW32" i="21"/>
  <c r="CH32" i="21" s="1"/>
  <c r="BV33" i="21"/>
  <c r="CG33" i="21" s="1"/>
  <c r="CR33" i="21" s="1"/>
  <c r="DC33" i="21" s="1"/>
  <c r="DN33" i="21" s="1"/>
  <c r="CR32" i="21"/>
  <c r="DC32" i="21" s="1"/>
  <c r="DN32" i="21" s="1"/>
  <c r="H32" i="21" s="1"/>
  <c r="H33" i="21" l="1"/>
  <c r="H12" i="1" s="1"/>
  <c r="BW33" i="21"/>
  <c r="CH33" i="21" s="1"/>
  <c r="CS33" i="21" s="1"/>
  <c r="DD33" i="21" s="1"/>
  <c r="DO33" i="21" s="1"/>
  <c r="CS32" i="21"/>
  <c r="DD32" i="21" s="1"/>
  <c r="DO32" i="21" s="1"/>
  <c r="I32" i="21" s="1"/>
  <c r="I33" i="21" l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2" authorId="0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3" authorId="0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4" authorId="0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5" authorId="0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18" authorId="0" shapeId="0" xr:uid="{EC1B09F5-CAC5-4B69-94FA-0B9BDD7A2E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Need to confirm that I am reading AltJet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7BAEAC1B-2B6C-466A-BC7F-257025B6509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On farm</t>
        </r>
      </text>
    </comment>
    <comment ref="A16" authorId="0" shapeId="0" xr:uid="{DB36768E-BB01-43A1-8D5D-6495FA27FC6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Switchgrass - need to update the substance list to include switchgrass as a unique substance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2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D2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</commentList>
</comments>
</file>

<file path=xl/sharedStrings.xml><?xml version="1.0" encoding="utf-8"?>
<sst xmlns="http://schemas.openxmlformats.org/spreadsheetml/2006/main" count="8347" uniqueCount="2630">
  <si>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</si>
  <si>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</si>
  <si>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</si>
  <si>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</si>
  <si>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</si>
  <si>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</si>
  <si>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</si>
  <si>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</si>
  <si>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</si>
  <si>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</si>
  <si>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</si>
  <si>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</si>
  <si>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</si>
  <si>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</si>
  <si>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</si>
  <si>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</si>
  <si>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</si>
  <si>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</si>
  <si>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</si>
  <si>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</si>
  <si>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</si>
  <si>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</si>
  <si>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</si>
  <si>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</si>
  <si>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</si>
  <si>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</si>
  <si>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</si>
  <si>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</si>
  <si>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</si>
  <si>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</si>
  <si>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</si>
  <si>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</si>
  <si>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</si>
  <si>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</si>
  <si>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</si>
  <si>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</si>
  <si>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</si>
  <si>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</si>
  <si>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</si>
  <si>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</si>
  <si>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</si>
  <si>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</si>
  <si>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</si>
  <si>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</si>
  <si>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</si>
  <si>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</si>
  <si>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</si>
  <si>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</si>
  <si>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</si>
  <si>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</si>
  <si>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</si>
  <si>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</si>
  <si>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</si>
  <si>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</si>
  <si>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</si>
  <si>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</si>
  <si>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</si>
  <si>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</si>
  <si>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</si>
  <si>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</si>
  <si>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</si>
  <si>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</si>
  <si>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</si>
  <si>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</si>
  <si>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</si>
  <si>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</si>
  <si>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</si>
  <si>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</si>
  <si>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</si>
  <si>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</si>
  <si>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</si>
  <si>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</si>
  <si>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</si>
  <si>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</si>
  <si>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</si>
  <si>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</si>
  <si>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</si>
  <si>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</si>
  <si>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</si>
  <si>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</si>
  <si>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</si>
  <si>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</si>
  <si>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</si>
  <si>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</si>
  <si>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</si>
  <si>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</si>
  <si>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</si>
  <si>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</si>
  <si>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</si>
  <si>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</si>
  <si>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</si>
  <si>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</si>
  <si>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</si>
  <si>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</si>
  <si>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</si>
  <si>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</si>
  <si>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</si>
  <si>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</si>
  <si>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</si>
  <si>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</si>
  <si>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</si>
  <si>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</si>
  <si>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</si>
  <si>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</si>
  <si>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</si>
  <si>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FIPS</t>
  </si>
  <si>
    <t>State</t>
  </si>
  <si>
    <t>County</t>
  </si>
  <si>
    <t>Longitude Centroid</t>
  </si>
  <si>
    <t>Latitude Centroid</t>
  </si>
  <si>
    <t>Unified Units (t/yr in each county)</t>
  </si>
  <si>
    <t>Annual AFDW [g m^-1 day^-1]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</si>
  <si>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</si>
  <si>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</si>
  <si>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</si>
  <si>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</si>
  <si>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</si>
  <si>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</si>
  <si>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</si>
  <si>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</si>
  <si>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</si>
  <si>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</si>
  <si>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</si>
  <si>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</si>
  <si>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</si>
  <si>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</si>
  <si>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</si>
  <si>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</si>
  <si>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</si>
  <si>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</si>
  <si>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</si>
  <si>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</si>
  <si>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</si>
  <si>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</si>
  <si>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</si>
  <si>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</si>
  <si>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</si>
  <si>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</si>
  <si>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</si>
  <si>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</si>
  <si>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</si>
  <si>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</si>
  <si>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</si>
  <si>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</si>
  <si>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</si>
  <si>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</si>
  <si>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</si>
  <si>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</si>
  <si>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</si>
  <si>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</si>
  <si>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</si>
  <si>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</si>
  <si>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</si>
  <si>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</si>
  <si>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</si>
  <si>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</si>
  <si>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</si>
  <si>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</si>
  <si>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</si>
  <si>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</si>
  <si>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</si>
  <si>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</si>
  <si>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</si>
  <si>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</si>
  <si>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</si>
  <si>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</si>
  <si>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</si>
  <si>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</si>
  <si>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</si>
  <si>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</si>
  <si>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</si>
  <si>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</si>
  <si>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</si>
  <si>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</si>
  <si>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</si>
  <si>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</si>
  <si>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</si>
  <si>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</si>
  <si>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</si>
  <si>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</si>
  <si>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</si>
  <si>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</si>
  <si>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</si>
  <si>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</si>
  <si>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</si>
  <si>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</si>
  <si>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</si>
  <si>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</si>
  <si>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</si>
  <si>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</si>
  <si>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</si>
  <si>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</si>
  <si>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</si>
  <si>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</si>
  <si>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</si>
  <si>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</si>
  <si>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</si>
  <si>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</si>
  <si>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</si>
  <si>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</si>
  <si>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</si>
  <si>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</si>
  <si>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</si>
  <si>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</si>
  <si>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</si>
  <si>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</si>
  <si>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</si>
  <si>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</si>
  <si>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</si>
  <si>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</si>
  <si>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</si>
  <si>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</si>
  <si>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</si>
  <si>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</si>
  <si>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</si>
  <si>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</si>
  <si>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</si>
  <si>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</si>
  <si>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</si>
  <si>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</si>
  <si>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</si>
  <si>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</si>
  <si>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</si>
  <si>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</si>
  <si>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</si>
  <si>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</si>
  <si>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</si>
  <si>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</si>
  <si>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</si>
  <si>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</si>
  <si>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</si>
  <si>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</si>
  <si>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</si>
  <si>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</si>
  <si>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</si>
  <si>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</si>
  <si>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</si>
  <si>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</si>
  <si>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</si>
  <si>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</si>
  <si>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</si>
  <si>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</si>
  <si>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</si>
  <si>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</si>
  <si>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</si>
  <si>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</si>
  <si>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</si>
  <si>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</si>
  <si>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</si>
  <si>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</si>
  <si>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</si>
  <si>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</si>
  <si>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</si>
  <si>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</si>
  <si>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</si>
  <si>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</si>
  <si>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</si>
  <si>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</si>
  <si>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</si>
  <si>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</si>
  <si>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</si>
  <si>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</si>
  <si>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</si>
  <si>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</si>
  <si>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</si>
  <si>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</si>
  <si>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</si>
  <si>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</si>
  <si>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</si>
  <si>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</si>
  <si>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</si>
  <si>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</si>
  <si>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</si>
  <si>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</si>
  <si>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</si>
  <si>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</si>
  <si>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</si>
  <si>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</si>
  <si>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</si>
  <si>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</si>
  <si>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</si>
  <si>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</si>
  <si>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</si>
  <si>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</si>
  <si>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</si>
  <si>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</si>
  <si>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</si>
  <si>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</si>
  <si>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</si>
  <si>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</si>
  <si>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</si>
  <si>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</si>
  <si>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</si>
  <si>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</si>
  <si>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</si>
  <si>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</si>
  <si>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</si>
  <si>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</si>
  <si>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</si>
  <si>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</si>
  <si>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</si>
  <si>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</si>
  <si>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</si>
  <si>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</si>
  <si>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</si>
  <si>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</si>
  <si>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</si>
  <si>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</si>
  <si>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</si>
  <si>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</si>
  <si>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</si>
  <si>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</si>
  <si>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</si>
  <si>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</si>
  <si>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</si>
  <si>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</si>
  <si>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</si>
  <si>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</si>
  <si>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</si>
  <si>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</si>
  <si>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</si>
  <si>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</si>
  <si>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</si>
  <si>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</si>
  <si>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</si>
  <si>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</si>
  <si>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</si>
  <si>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</si>
  <si>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</si>
  <si>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</si>
  <si>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</si>
  <si>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</si>
  <si>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</si>
  <si>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</si>
  <si>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</si>
  <si>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</si>
  <si>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</si>
  <si>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</si>
  <si>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</si>
  <si>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</si>
  <si>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</si>
  <si>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</si>
  <si>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</si>
  <si>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</si>
  <si>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</si>
  <si>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</si>
  <si>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</si>
  <si>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</si>
  <si>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</si>
  <si>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</si>
  <si>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</si>
  <si>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</si>
  <si>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</si>
  <si>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</si>
  <si>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</si>
  <si>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</si>
  <si>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</si>
  <si>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</si>
  <si>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</si>
  <si>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</si>
  <si>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</si>
  <si>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</si>
  <si>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</si>
  <si>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</si>
  <si>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</si>
  <si>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</si>
  <si>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</si>
  <si>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</si>
  <si>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</si>
  <si>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</si>
  <si>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</si>
  <si>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</si>
  <si>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</si>
  <si>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</si>
  <si>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</si>
  <si>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</si>
  <si>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</si>
  <si>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</si>
  <si>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</si>
  <si>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</si>
  <si>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</si>
  <si>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</si>
  <si>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</si>
  <si>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</si>
  <si>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</si>
  <si>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</si>
  <si>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</si>
  <si>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</si>
  <si>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</si>
  <si>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</si>
  <si>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</si>
  <si>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</si>
  <si>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</si>
  <si>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</si>
  <si>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</si>
  <si>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</si>
  <si>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</si>
  <si>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</si>
  <si>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</si>
  <si>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</si>
  <si>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</si>
  <si>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</si>
  <si>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</si>
  <si>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</si>
  <si>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</si>
  <si>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</si>
  <si>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</si>
  <si>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</si>
  <si>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</si>
  <si>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</si>
  <si>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</si>
  <si>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</si>
  <si>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</si>
  <si>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</si>
  <si>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</si>
  <si>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</si>
  <si>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</si>
  <si>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</si>
  <si>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</si>
  <si>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</si>
  <si>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</si>
  <si>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</si>
  <si>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</si>
  <si>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</si>
  <si>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</si>
  <si>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</si>
  <si>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</si>
  <si>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</si>
  <si>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</si>
  <si>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</si>
  <si>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</si>
  <si>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</si>
  <si>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</si>
  <si>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</si>
  <si>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</si>
  <si>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</si>
  <si>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</si>
  <si>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</si>
  <si>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</si>
  <si>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</si>
  <si>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</si>
  <si>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</si>
  <si>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</si>
  <si>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</si>
  <si>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</si>
  <si>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</si>
  <si>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</si>
  <si>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</si>
  <si>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</si>
  <si>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</si>
  <si>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</si>
  <si>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</si>
  <si>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</si>
  <si>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</si>
  <si>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</si>
  <si>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</si>
  <si>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</si>
  <si>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</si>
  <si>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</si>
  <si>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</si>
  <si>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</si>
  <si>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</si>
  <si>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</si>
  <si>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</si>
  <si>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</si>
  <si>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</si>
  <si>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</si>
  <si>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</si>
  <si>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</si>
  <si>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</si>
  <si>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</si>
  <si>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</si>
  <si>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</si>
  <si>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</si>
  <si>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</si>
  <si>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</si>
  <si>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</si>
  <si>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</si>
  <si>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</si>
  <si>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</si>
  <si>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</si>
  <si>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</si>
  <si>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</si>
  <si>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</si>
  <si>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</si>
  <si>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</si>
  <si>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</si>
  <si>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</si>
  <si>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</si>
  <si>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</si>
  <si>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</si>
  <si>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</si>
  <si>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</si>
  <si>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</si>
  <si>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</si>
  <si>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</si>
  <si>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</si>
  <si>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</si>
  <si>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</si>
  <si>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</si>
  <si>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</si>
  <si>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</si>
  <si>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</si>
  <si>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</si>
  <si>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</si>
  <si>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</si>
  <si>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</si>
  <si>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</si>
  <si>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</si>
  <si>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</si>
  <si>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</si>
  <si>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</si>
  <si>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</si>
  <si>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</si>
  <si>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</si>
  <si>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</si>
  <si>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</si>
  <si>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</si>
  <si>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</si>
  <si>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</si>
  <si>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</si>
  <si>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</si>
  <si>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</si>
  <si>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</si>
  <si>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</si>
  <si>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</si>
  <si>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</si>
  <si>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</si>
  <si>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</si>
  <si>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</si>
  <si>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</si>
  <si>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</si>
  <si>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</si>
  <si>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</si>
  <si>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</si>
  <si>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</si>
  <si>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</si>
  <si>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</si>
  <si>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</si>
  <si>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</si>
  <si>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</si>
  <si>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</si>
  <si>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</si>
  <si>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</si>
  <si>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</si>
  <si>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</si>
  <si>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</si>
  <si>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</si>
  <si>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</si>
  <si>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</si>
  <si>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</si>
  <si>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</si>
  <si>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</si>
  <si>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</si>
  <si>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</si>
  <si>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</si>
  <si>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</si>
  <si>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</si>
  <si>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</si>
  <si>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</si>
  <si>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</si>
  <si>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</si>
  <si>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</si>
  <si>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</si>
  <si>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</si>
  <si>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</si>
  <si>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</si>
  <si>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</si>
  <si>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</si>
  <si>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</si>
  <si>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</si>
  <si>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</si>
  <si>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</si>
  <si>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</si>
  <si>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</si>
  <si>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</si>
  <si>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</si>
  <si>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</si>
  <si>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</si>
  <si>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</si>
  <si>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</si>
  <si>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</si>
  <si>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</si>
  <si>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</si>
  <si>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</si>
  <si>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</si>
  <si>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</si>
  <si>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</si>
  <si>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</si>
  <si>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</si>
  <si>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</si>
  <si>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</si>
  <si>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</si>
  <si>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</si>
  <si>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</si>
  <si>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</si>
  <si>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</si>
  <si>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</si>
  <si>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</si>
  <si>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</si>
  <si>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</si>
  <si>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</si>
  <si>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</si>
  <si>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</si>
  <si>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</si>
  <si>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</si>
  <si>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</si>
  <si>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</si>
  <si>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</si>
  <si>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</si>
  <si>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</si>
  <si>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</si>
  <si>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</si>
  <si>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</si>
  <si>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</si>
  <si>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</si>
  <si>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</si>
  <si>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</si>
  <si>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</si>
  <si>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</si>
  <si>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</si>
  <si>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</si>
  <si>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</si>
  <si>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</si>
  <si>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</si>
  <si>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</si>
  <si>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</si>
  <si>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</si>
  <si>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</si>
  <si>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</si>
  <si>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</si>
  <si>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</si>
  <si>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</si>
  <si>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</si>
  <si>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</si>
  <si>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</si>
  <si>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</si>
  <si>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</si>
  <si>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</si>
  <si>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</si>
  <si>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</si>
  <si>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</si>
  <si>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</si>
  <si>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</si>
  <si>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</si>
  <si>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</si>
  <si>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</si>
  <si>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</si>
  <si>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</si>
  <si>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</si>
  <si>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</si>
  <si>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</si>
  <si>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</si>
  <si>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</si>
  <si>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</si>
  <si>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</si>
  <si>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</si>
  <si>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</si>
  <si>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</si>
  <si>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</si>
  <si>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</si>
  <si>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</si>
  <si>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</si>
  <si>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</si>
  <si>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</si>
  <si>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</si>
  <si>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</si>
  <si>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</si>
  <si>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</si>
  <si>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</si>
  <si>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</si>
  <si>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</si>
  <si>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</si>
  <si>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</si>
  <si>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</si>
  <si>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</si>
  <si>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</si>
  <si>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</si>
  <si>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</si>
  <si>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</si>
  <si>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</si>
  <si>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</si>
  <si>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</si>
  <si>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</si>
  <si>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</si>
  <si>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</si>
  <si>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</si>
  <si>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</si>
  <si>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</si>
  <si>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</si>
  <si>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</si>
  <si>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</si>
  <si>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</si>
  <si>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</si>
  <si>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</si>
  <si>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</si>
  <si>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</si>
  <si>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</si>
  <si>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</si>
  <si>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</si>
  <si>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</si>
  <si>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</si>
  <si>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</si>
  <si>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</si>
  <si>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</si>
  <si>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</si>
  <si>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</si>
  <si>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</si>
  <si>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</si>
  <si>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</si>
  <si>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</si>
  <si>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</si>
  <si>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</si>
  <si>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</si>
  <si>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</si>
  <si>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</si>
  <si>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</si>
  <si>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</si>
  <si>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</si>
  <si>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</si>
  <si>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</si>
  <si>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</si>
  <si>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</si>
  <si>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</si>
  <si>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</si>
  <si>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</si>
  <si>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</si>
  <si>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</si>
  <si>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</si>
  <si>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</si>
  <si>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</si>
  <si>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</si>
  <si>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</si>
  <si>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</si>
  <si>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</si>
  <si>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</si>
  <si>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</si>
  <si>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</si>
  <si>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</si>
  <si>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</si>
  <si>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</si>
  <si>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</si>
  <si>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</si>
  <si>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</si>
  <si>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</si>
  <si>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</si>
  <si>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</si>
  <si>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</si>
  <si>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</si>
  <si>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</si>
  <si>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</si>
  <si>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</si>
  <si>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</si>
  <si>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</si>
  <si>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</si>
  <si>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</si>
  <si>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</si>
  <si>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</si>
  <si>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</si>
  <si>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</si>
  <si>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</si>
  <si>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</si>
  <si>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</si>
  <si>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</si>
  <si>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</si>
  <si>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</si>
  <si>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</si>
  <si>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</si>
  <si>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</si>
  <si>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</si>
  <si>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</si>
  <si>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</si>
  <si>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</si>
  <si>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</si>
  <si>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</si>
  <si>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</si>
  <si>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</si>
  <si>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</si>
  <si>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</si>
  <si>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</si>
  <si>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</si>
  <si>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</si>
  <si>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</si>
  <si>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</si>
  <si>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</si>
  <si>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</si>
  <si>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</si>
  <si>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</si>
  <si>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</si>
  <si>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</si>
  <si>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</si>
  <si>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</si>
  <si>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</si>
  <si>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</si>
  <si>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</si>
  <si>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</si>
  <si>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</si>
  <si>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</si>
  <si>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</si>
  <si>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</si>
  <si>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</si>
  <si>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</si>
  <si>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</si>
  <si>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</si>
  <si>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</si>
  <si>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</si>
  <si>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</si>
  <si>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</si>
  <si>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</si>
  <si>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</si>
  <si>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</si>
  <si>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</si>
  <si>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</si>
  <si>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</si>
  <si>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</si>
  <si>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</si>
  <si>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</si>
  <si>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</si>
  <si>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</si>
  <si>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</si>
  <si>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</si>
  <si>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</si>
  <si>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</si>
  <si>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</si>
  <si>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</si>
  <si>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</si>
  <si>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</si>
  <si>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</si>
  <si>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</si>
  <si>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</si>
  <si>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</si>
  <si>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</si>
  <si>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</si>
  <si>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</si>
  <si>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</si>
  <si>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</si>
  <si>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</si>
  <si>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</si>
  <si>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</si>
  <si>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</si>
  <si>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</si>
  <si>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</si>
  <si>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</si>
  <si>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</si>
  <si>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</si>
  <si>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</si>
  <si>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</si>
  <si>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</si>
  <si>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</si>
  <si>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</si>
  <si>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</si>
  <si>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</si>
  <si>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</si>
  <si>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</si>
  <si>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</si>
  <si>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</si>
  <si>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</si>
  <si>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</si>
  <si>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</si>
  <si>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</si>
  <si>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</si>
  <si>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</si>
  <si>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</si>
  <si>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</si>
  <si>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</si>
  <si>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</si>
  <si>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</si>
  <si>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</si>
  <si>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</si>
  <si>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</si>
  <si>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</si>
  <si>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</si>
  <si>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</si>
  <si>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</si>
  <si>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</si>
  <si>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</si>
  <si>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</si>
  <si>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</si>
  <si>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</si>
  <si>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</si>
  <si>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</si>
  <si>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</si>
  <si>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</si>
  <si>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</si>
  <si>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</si>
  <si>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</si>
  <si>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</si>
  <si>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</si>
  <si>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</si>
  <si>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</si>
  <si>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</si>
  <si>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</si>
  <si>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</si>
  <si>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</si>
  <si>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</si>
  <si>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</si>
  <si>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</si>
  <si>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</si>
  <si>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</si>
  <si>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</si>
  <si>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</si>
  <si>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</si>
  <si>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</si>
  <si>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</si>
  <si>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</si>
  <si>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</si>
  <si>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</si>
  <si>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</si>
  <si>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</si>
  <si>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</si>
  <si>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</si>
  <si>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</si>
  <si>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</si>
  <si>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</si>
  <si>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</si>
  <si>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</si>
  <si>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</si>
  <si>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</si>
  <si>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</si>
  <si>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</si>
  <si>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</si>
  <si>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</si>
  <si>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</si>
  <si>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</si>
  <si>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</si>
  <si>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</si>
  <si>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</si>
  <si>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</si>
  <si>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</si>
  <si>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</si>
  <si>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</si>
  <si>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</si>
  <si>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</si>
  <si>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</si>
  <si>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</si>
  <si>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</si>
  <si>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</si>
  <si>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</si>
  <si>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</si>
  <si>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</si>
  <si>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</si>
  <si>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</si>
  <si>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</si>
  <si>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</si>
  <si>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</si>
  <si>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</si>
  <si>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</si>
  <si>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</si>
  <si>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</si>
  <si>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</si>
  <si>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</si>
  <si>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</si>
  <si>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</si>
  <si>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</si>
  <si>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</si>
  <si>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</si>
  <si>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</si>
  <si>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</si>
  <si>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</si>
  <si>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</si>
  <si>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</si>
  <si>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</si>
  <si>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</si>
  <si>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</si>
  <si>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</si>
  <si>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</si>
  <si>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</si>
  <si>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</si>
  <si>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</si>
  <si>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</si>
  <si>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</si>
  <si>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</si>
  <si>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</si>
  <si>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</si>
  <si>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</si>
  <si>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</si>
  <si>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</si>
  <si>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</si>
  <si>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</si>
  <si>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</si>
  <si>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</si>
  <si>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</si>
  <si>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</si>
  <si>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</si>
  <si>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</si>
  <si>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</si>
  <si>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</si>
  <si>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</si>
  <si>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</si>
  <si>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</si>
  <si>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</si>
  <si>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</si>
  <si>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</si>
  <si>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</si>
  <si>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</si>
  <si>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</si>
  <si>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</si>
  <si>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</si>
  <si>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</si>
  <si>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</si>
  <si>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</si>
  <si>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</si>
  <si>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</si>
  <si>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</si>
  <si>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</si>
  <si>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</si>
  <si>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</si>
  <si>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</si>
  <si>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</si>
  <si>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</si>
  <si>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</si>
  <si>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</si>
  <si>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</si>
  <si>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</si>
  <si>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</si>
  <si>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</si>
  <si>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</si>
  <si>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</si>
  <si>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</si>
  <si>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</si>
  <si>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</si>
  <si>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</si>
  <si>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</si>
  <si>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</si>
  <si>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</si>
  <si>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</si>
  <si>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</si>
  <si>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</si>
  <si>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</si>
  <si>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</si>
  <si>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</si>
  <si>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</si>
  <si>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</si>
  <si>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</si>
  <si>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</si>
  <si>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</si>
  <si>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</si>
  <si>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</si>
  <si>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</si>
  <si>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</si>
  <si>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</si>
  <si>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</si>
  <si>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</si>
  <si>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</si>
  <si>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</si>
  <si>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</si>
  <si>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</si>
  <si>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</si>
  <si>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</si>
  <si>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</si>
  <si>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</si>
  <si>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</si>
  <si>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</si>
  <si>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</si>
  <si>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</si>
  <si>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</si>
  <si>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</si>
  <si>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</si>
  <si>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</si>
  <si>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</si>
  <si>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</si>
  <si>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</si>
  <si>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</si>
  <si>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</si>
  <si>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</si>
  <si>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</si>
  <si>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</si>
  <si>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</si>
  <si>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</si>
  <si>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</si>
  <si>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</si>
  <si>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</si>
  <si>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</si>
  <si>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</si>
  <si>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</si>
  <si>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</si>
  <si>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</si>
  <si>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</si>
  <si>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</si>
  <si>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</si>
  <si>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</si>
  <si>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</si>
  <si>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</si>
  <si>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</si>
  <si>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</si>
  <si>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</si>
  <si>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</si>
  <si>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</si>
  <si>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</si>
  <si>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</si>
  <si>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</si>
  <si>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</si>
  <si>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</si>
  <si>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</si>
  <si>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</si>
  <si>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</si>
  <si>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</si>
  <si>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</si>
  <si>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</si>
  <si>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</si>
  <si>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</si>
  <si>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</si>
  <si>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</si>
  <si>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</si>
  <si>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</si>
  <si>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</si>
  <si>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</si>
  <si>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</si>
  <si>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</si>
  <si>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</si>
  <si>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</si>
  <si>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</si>
  <si>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</si>
  <si>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</si>
  <si>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</si>
  <si>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</si>
  <si>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</si>
  <si>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</si>
  <si>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</si>
  <si>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</si>
  <si>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</si>
  <si>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</si>
  <si>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</si>
  <si>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</si>
  <si>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</si>
  <si>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</si>
  <si>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</si>
  <si>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</si>
  <si>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</si>
  <si>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</si>
  <si>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</si>
  <si>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</si>
  <si>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</si>
  <si>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</si>
  <si>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</si>
  <si>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</si>
  <si>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</si>
  <si>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</si>
  <si>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</si>
  <si>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</si>
  <si>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</si>
  <si>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</si>
  <si>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</si>
  <si>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</si>
  <si>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</si>
  <si>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</si>
  <si>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</si>
  <si>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</si>
  <si>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</si>
  <si>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</si>
  <si>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</si>
  <si>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</si>
  <si>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</si>
  <si>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</si>
  <si>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</si>
  <si>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</si>
  <si>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</si>
  <si>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</si>
  <si>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</si>
  <si>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</si>
  <si>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</si>
  <si>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</si>
  <si>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</si>
  <si>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</si>
  <si>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</si>
  <si>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</si>
  <si>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</si>
  <si>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</si>
  <si>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</si>
  <si>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</si>
  <si>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</si>
  <si>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</si>
  <si>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</si>
  <si>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</si>
  <si>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</si>
  <si>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</si>
  <si>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</si>
  <si>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</si>
  <si>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</si>
  <si>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</si>
  <si>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</si>
  <si>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</si>
  <si>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</si>
  <si>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</si>
  <si>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</si>
  <si>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</si>
  <si>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</si>
  <si>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</si>
  <si>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</si>
  <si>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</si>
  <si>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</si>
  <si>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</si>
  <si>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</si>
  <si>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</si>
  <si>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</si>
  <si>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</si>
  <si>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</si>
  <si>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</si>
  <si>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</si>
  <si>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</si>
  <si>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</si>
  <si>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</si>
  <si>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</si>
  <si>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</si>
  <si>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</si>
  <si>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</si>
  <si>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</si>
  <si>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</si>
  <si>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</si>
  <si>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</si>
  <si>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</si>
  <si>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</si>
  <si>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</si>
  <si>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</si>
  <si>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</si>
  <si>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</si>
  <si>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</si>
  <si>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</si>
  <si>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</si>
  <si>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</si>
  <si>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</si>
  <si>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</si>
  <si>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</si>
  <si>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</si>
  <si>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</si>
  <si>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</si>
  <si>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</si>
  <si>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</si>
  <si>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</si>
  <si>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</si>
  <si>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</si>
  <si>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</si>
  <si>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</si>
  <si>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</si>
  <si>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</si>
  <si>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</si>
  <si>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</si>
  <si>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</si>
  <si>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</si>
  <si>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</si>
  <si>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</si>
  <si>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</si>
  <si>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</si>
  <si>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</si>
  <si>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</si>
  <si>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</si>
  <si>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</si>
  <si>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</si>
  <si>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</si>
  <si>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</si>
  <si>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</si>
  <si>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</si>
  <si>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</si>
  <si>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</si>
  <si>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</si>
  <si>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</si>
  <si>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</si>
  <si>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</si>
  <si>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</si>
  <si>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</si>
  <si>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</si>
  <si>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</si>
  <si>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</si>
  <si>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</si>
  <si>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</si>
  <si>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</si>
  <si>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</si>
  <si>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</si>
  <si>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</si>
  <si>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</si>
  <si>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</si>
  <si>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</si>
  <si>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</si>
  <si>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</si>
  <si>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</si>
  <si>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</si>
  <si>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</si>
  <si>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</si>
  <si>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</si>
  <si>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</si>
  <si>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</si>
  <si>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</si>
  <si>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</si>
  <si>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</si>
  <si>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</si>
  <si>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</si>
  <si>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</si>
  <si>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</si>
  <si>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</si>
  <si>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</si>
  <si>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</si>
  <si>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</si>
  <si>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</si>
  <si>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</si>
  <si>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</si>
  <si>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</si>
  <si>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</si>
  <si>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</si>
  <si>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</si>
  <si>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</si>
  <si>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</si>
  <si>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</si>
  <si>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</si>
  <si>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</si>
  <si>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</si>
  <si>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</si>
  <si>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</si>
  <si>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</si>
  <si>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</si>
  <si>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</si>
  <si>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</si>
  <si>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</si>
  <si>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</si>
  <si>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</si>
  <si>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</si>
  <si>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</si>
  <si>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</si>
  <si>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</si>
  <si>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</si>
  <si>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</si>
  <si>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</si>
  <si>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</si>
  <si>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</si>
  <si>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</si>
  <si>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</si>
  <si>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</si>
  <si>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</si>
  <si>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</si>
  <si>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</si>
  <si>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</si>
  <si>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</si>
  <si>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</si>
  <si>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</si>
  <si>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</si>
  <si>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</si>
  <si>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</si>
  <si>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</si>
  <si>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</si>
  <si>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</si>
  <si>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</si>
  <si>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</si>
  <si>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</si>
  <si>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</si>
  <si>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</si>
  <si>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</si>
  <si>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</si>
  <si>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</si>
  <si>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</si>
  <si>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</si>
  <si>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</si>
  <si>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</si>
  <si>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</si>
  <si>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</si>
  <si>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</si>
  <si>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</si>
  <si>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</si>
  <si>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</si>
  <si>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</si>
  <si>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</si>
  <si>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</si>
  <si>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</si>
  <si>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</si>
  <si>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</si>
  <si>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</si>
  <si>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</si>
  <si>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</si>
  <si>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</si>
  <si>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</si>
  <si>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</si>
  <si>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</si>
  <si>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</si>
  <si>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</si>
  <si>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</si>
  <si>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</si>
  <si>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</si>
  <si>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</si>
  <si>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</si>
  <si>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</si>
  <si>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</si>
  <si>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</si>
  <si>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</si>
  <si>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</si>
  <si>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</si>
  <si>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</si>
  <si>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</si>
  <si>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</si>
  <si>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</si>
  <si>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</si>
  <si>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</si>
  <si>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</si>
  <si>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</si>
  <si>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</si>
  <si>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</si>
  <si>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</si>
  <si>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</si>
  <si>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</si>
  <si>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</si>
  <si>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</si>
  <si>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</si>
  <si>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</si>
  <si>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</si>
  <si>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</si>
  <si>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</si>
  <si>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</si>
  <si>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</si>
  <si>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</si>
  <si>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</si>
  <si>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</si>
  <si>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</si>
  <si>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</si>
  <si>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</si>
  <si>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</si>
  <si>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</si>
  <si>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</si>
  <si>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</si>
  <si>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</si>
  <si>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</si>
  <si>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</si>
  <si>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</si>
  <si>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</si>
  <si>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</si>
  <si>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</si>
  <si>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</si>
  <si>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</si>
  <si>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</si>
  <si>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</si>
  <si>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</si>
  <si>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</si>
  <si>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</si>
  <si>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</si>
  <si>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</si>
  <si>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</si>
  <si>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</si>
  <si>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</si>
  <si>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</si>
  <si>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</si>
  <si>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</si>
  <si>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</si>
  <si>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</si>
  <si>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</si>
  <si>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</si>
  <si>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</si>
  <si>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</si>
  <si>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</si>
  <si>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</si>
  <si>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</si>
  <si>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</si>
  <si>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</si>
  <si>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</si>
  <si>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</si>
  <si>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</si>
  <si>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</si>
  <si>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</si>
  <si>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</si>
  <si>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</si>
  <si>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</si>
  <si>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</si>
  <si>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</si>
  <si>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</si>
  <si>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</si>
  <si>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</si>
  <si>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</si>
  <si>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</si>
  <si>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</si>
  <si>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</si>
  <si>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</si>
  <si>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</si>
  <si>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</si>
  <si>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</si>
  <si>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</si>
  <si>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</si>
  <si>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</si>
  <si>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</si>
  <si>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</si>
  <si>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</si>
  <si>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</si>
  <si>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</si>
  <si>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</si>
  <si>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</si>
  <si>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</si>
  <si>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</si>
  <si>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</si>
  <si>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</si>
  <si>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</si>
  <si>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</si>
  <si>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</si>
  <si>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</si>
  <si>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</si>
  <si>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</si>
  <si>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</si>
  <si>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</si>
  <si>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</si>
  <si>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</si>
  <si>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</si>
  <si>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</si>
  <si>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</si>
  <si>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</si>
  <si>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</si>
  <si>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</si>
  <si>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</si>
  <si>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</si>
  <si>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</si>
  <si>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</si>
  <si>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</si>
  <si>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</si>
  <si>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</si>
  <si>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</si>
  <si>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</si>
  <si>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</si>
  <si>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</si>
  <si>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</si>
  <si>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</si>
  <si>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</si>
  <si>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</si>
  <si>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</si>
  <si>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</si>
  <si>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</si>
  <si>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</si>
  <si>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</si>
  <si>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</si>
  <si>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</si>
  <si>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</si>
  <si>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</si>
  <si>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</si>
  <si>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</si>
  <si>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</si>
  <si>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</si>
  <si>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</si>
  <si>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</si>
  <si>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</si>
  <si>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</si>
  <si>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</si>
  <si>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</si>
  <si>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</si>
  <si>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</si>
  <si>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</si>
  <si>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</si>
  <si>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</si>
  <si>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</si>
  <si>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</si>
  <si>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</si>
  <si>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</si>
  <si>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</si>
  <si>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</si>
  <si>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</si>
  <si>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</si>
  <si>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</si>
  <si>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</si>
  <si>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</si>
  <si>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</si>
  <si>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</si>
  <si>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</si>
  <si>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</si>
  <si>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</si>
  <si>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</si>
  <si>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</si>
  <si>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</si>
  <si>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</si>
  <si>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</si>
  <si>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</si>
  <si>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</si>
  <si>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</si>
  <si>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</si>
  <si>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</si>
  <si>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</si>
  <si>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</si>
  <si>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</si>
  <si>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</si>
  <si>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</si>
  <si>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</si>
  <si>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</si>
  <si>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</si>
  <si>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</si>
  <si>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</si>
  <si>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</si>
  <si>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</si>
  <si>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</si>
  <si>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</si>
  <si>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</si>
  <si>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</si>
  <si>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</si>
  <si>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</si>
  <si>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</si>
  <si>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</si>
  <si>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</si>
  <si>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</si>
  <si>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</si>
  <si>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</si>
  <si>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</si>
  <si>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</si>
  <si>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</si>
  <si>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</si>
  <si>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</si>
  <si>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</si>
  <si>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</si>
  <si>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</si>
  <si>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</si>
  <si>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</si>
  <si>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</si>
  <si>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</si>
  <si>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</si>
  <si>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</si>
  <si>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</si>
  <si>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</si>
  <si>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</si>
  <si>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</si>
  <si>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</si>
  <si>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</si>
  <si>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</si>
  <si>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</si>
  <si>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</si>
  <si>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</si>
  <si>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</si>
  <si>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</si>
  <si>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</si>
  <si>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</si>
  <si>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</si>
  <si>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</si>
  <si>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</si>
  <si>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</si>
  <si>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</si>
  <si>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</si>
  <si>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</si>
  <si>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</si>
  <si>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</si>
  <si>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</si>
  <si>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</si>
  <si>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</si>
  <si>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</si>
  <si>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</si>
  <si>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</si>
  <si>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</si>
  <si>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</si>
  <si>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</si>
  <si>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</si>
  <si>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</si>
  <si>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</si>
  <si>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</si>
  <si>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</si>
  <si>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</si>
  <si>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</si>
  <si>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</si>
  <si>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</si>
  <si>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</si>
  <si>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</si>
  <si>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</si>
  <si>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</si>
  <si>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</si>
  <si>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</si>
  <si>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</si>
  <si>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</si>
  <si>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</si>
  <si>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</si>
  <si>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</si>
  <si>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</si>
  <si>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</si>
  <si>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</si>
  <si>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</si>
  <si>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</si>
  <si>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</si>
  <si>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</si>
  <si>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</si>
  <si>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</si>
  <si>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</si>
  <si>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</si>
  <si>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</si>
  <si>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</si>
  <si>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</si>
  <si>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</si>
  <si>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</si>
  <si>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</si>
  <si>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</si>
  <si>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</si>
  <si>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</si>
  <si>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</si>
  <si>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</si>
  <si>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</si>
  <si>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</si>
  <si>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</si>
  <si>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</si>
  <si>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</si>
  <si>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</si>
  <si>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</si>
  <si>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</si>
  <si>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</si>
  <si>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</si>
  <si>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</si>
  <si>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</si>
  <si>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</si>
  <si>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</si>
  <si>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</si>
  <si>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</si>
  <si>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</si>
  <si>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</si>
  <si>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</si>
  <si>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</si>
  <si>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</si>
  <si>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</si>
  <si>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</si>
  <si>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</si>
  <si>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</si>
  <si>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</si>
  <si>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</si>
  <si>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</si>
  <si>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</si>
  <si>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</si>
  <si>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</si>
  <si>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</si>
  <si>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</si>
  <si>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</si>
  <si>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</si>
  <si>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</si>
  <si>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</si>
  <si>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</si>
  <si>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</si>
  <si>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</si>
  <si>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</si>
  <si>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</si>
  <si>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</si>
  <si>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</si>
  <si>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</si>
  <si>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</si>
  <si>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</si>
  <si>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</si>
  <si>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</si>
  <si>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</si>
  <si>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</si>
  <si>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</si>
  <si>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</si>
  <si>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</si>
  <si>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</si>
  <si>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</si>
  <si>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</si>
  <si>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</si>
  <si>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</si>
  <si>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</si>
  <si>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</si>
  <si>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</si>
  <si>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</si>
  <si>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</si>
  <si>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</si>
  <si>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</si>
  <si>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</si>
  <si>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</si>
  <si>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</si>
  <si>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</si>
  <si>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</si>
  <si>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</si>
  <si>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</si>
  <si>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</si>
  <si>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</si>
  <si>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</si>
  <si>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</si>
  <si>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</si>
  <si>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</si>
  <si>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</si>
  <si>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</si>
  <si>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</si>
  <si>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</si>
  <si>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</si>
  <si>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</si>
  <si>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</si>
  <si>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</si>
  <si>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</si>
  <si>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</si>
  <si>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</si>
  <si>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</si>
  <si>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</si>
  <si>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</si>
  <si>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</si>
  <si>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</si>
  <si>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</si>
  <si>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</si>
  <si>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</si>
  <si>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</si>
  <si>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</si>
  <si>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</si>
  <si>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</si>
  <si>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</si>
  <si>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</si>
  <si>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</si>
  <si>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</si>
  <si>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</si>
  <si>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</si>
  <si>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</si>
  <si>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</si>
  <si>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</si>
  <si>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</si>
  <si>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</si>
  <si>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</si>
  <si>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</si>
  <si>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</si>
  <si>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</si>
  <si>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</si>
  <si>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</si>
  <si>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</si>
  <si>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</si>
  <si>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</si>
  <si>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</si>
  <si>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</si>
  <si>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</si>
  <si>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</si>
  <si>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</si>
  <si>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</si>
  <si>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</si>
  <si>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</si>
  <si>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</si>
  <si>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</si>
  <si>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</si>
  <si>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</si>
  <si>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</si>
  <si>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</si>
  <si>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</si>
  <si>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</si>
  <si>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</si>
  <si>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</si>
  <si>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</si>
  <si>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</si>
  <si>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</si>
  <si>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</si>
  <si>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</si>
  <si>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</si>
  <si>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</si>
  <si>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</si>
  <si>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</si>
  <si>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</si>
  <si>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</si>
  <si>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</si>
  <si>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</si>
  <si>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</si>
  <si>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</si>
  <si>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</si>
  <si>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</si>
  <si>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</si>
  <si>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</si>
  <si>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</si>
  <si>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</si>
  <si>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</si>
  <si>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</si>
  <si>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</si>
  <si>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</si>
  <si>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</si>
  <si>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</si>
  <si>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</si>
  <si>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</si>
  <si>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</si>
  <si>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</si>
  <si>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</si>
  <si>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</si>
  <si>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</si>
  <si>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</si>
  <si>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</si>
  <si>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</si>
  <si>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</si>
  <si>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</si>
  <si>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</si>
  <si>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</si>
  <si>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</si>
  <si>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</si>
  <si>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</si>
  <si>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</si>
  <si>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</si>
  <si>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</si>
  <si>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</si>
  <si>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</si>
  <si>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</si>
  <si>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</si>
  <si>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</si>
  <si>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</si>
  <si>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</si>
  <si>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</si>
  <si>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</si>
  <si>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</si>
  <si>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</si>
  <si>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</si>
  <si>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</si>
  <si>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Hampton city</t>
  </si>
  <si>
    <t>Newport News city</t>
  </si>
  <si>
    <t>Norfolk city</t>
  </si>
  <si>
    <t>Suffolk city</t>
  </si>
  <si>
    <t>Virginia Beach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</si>
  <si>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</si>
  <si>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</si>
  <si>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</si>
  <si>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</si>
  <si>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</si>
  <si>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</si>
  <si>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</si>
  <si>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</si>
  <si>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</si>
  <si>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</si>
  <si>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</si>
  <si>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</si>
  <si>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</si>
  <si>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</si>
  <si>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</si>
  <si>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</si>
  <si>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</si>
  <si>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</si>
  <si>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</si>
  <si>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</si>
  <si>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</si>
  <si>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</si>
  <si>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</si>
  <si>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</si>
  <si>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</si>
  <si>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</si>
  <si>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</si>
  <si>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</si>
  <si>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</si>
  <si>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</si>
  <si>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</si>
  <si>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</si>
  <si>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</si>
  <si>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</si>
  <si>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</si>
  <si>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</si>
  <si>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</si>
  <si>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</si>
  <si>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</si>
  <si>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</si>
  <si>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</si>
  <si>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</si>
  <si>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</si>
  <si>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</si>
  <si>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</si>
  <si>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</si>
  <si>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</si>
  <si>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</si>
  <si>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</si>
  <si>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</si>
  <si>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</si>
  <si>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</si>
  <si>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</si>
  <si>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</si>
  <si>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</si>
  <si>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</si>
  <si>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</si>
  <si>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</si>
  <si>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</si>
  <si>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</si>
  <si>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</si>
  <si>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</si>
  <si>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</si>
  <si>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</si>
  <si>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</si>
  <si>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</si>
  <si>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</si>
  <si>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</si>
  <si>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</si>
  <si>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</si>
  <si>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</si>
  <si>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</si>
  <si>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</si>
  <si>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</si>
  <si>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</si>
  <si>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</si>
  <si>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</si>
  <si>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</si>
  <si>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</si>
  <si>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</si>
  <si>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</si>
  <si>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</si>
  <si>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</si>
  <si>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</si>
  <si>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</si>
  <si>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</si>
  <si>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</si>
  <si>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</si>
  <si>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</si>
  <si>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</si>
  <si>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</si>
  <si>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</si>
  <si>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</si>
  <si>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</si>
  <si>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</si>
  <si>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</si>
  <si>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</si>
  <si>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</si>
  <si>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</si>
  <si>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</si>
  <si>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</si>
  <si>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Product Credits (g CO2e/yr):</t>
  </si>
  <si>
    <t>HHV (MJ/X):</t>
  </si>
  <si>
    <t>HHV Yield (MJ/yr):</t>
  </si>
  <si>
    <t>Totals:</t>
  </si>
  <si>
    <t>LCA Metrics</t>
  </si>
  <si>
    <t>Energy Allocation Pre-Comb GHG (g CO2e/MJ)</t>
  </si>
  <si>
    <t>Mass Allocation Pre-Comb GHG (g CO2e/kg)</t>
  </si>
  <si>
    <t>Economic Allocation Pre-Comb GHG (g CO2e/$ baseline rev)</t>
  </si>
  <si>
    <t>System Expansion (g CO2e/MJ liq trans fuel)</t>
  </si>
  <si>
    <t>Name_Units</t>
  </si>
  <si>
    <t>Key_String</t>
  </si>
  <si>
    <t>In_or_out</t>
  </si>
  <si>
    <t>Default_Unit</t>
  </si>
  <si>
    <t>HHV</t>
  </si>
  <si>
    <t>Energy_Impact (MJ/X)</t>
  </si>
  <si>
    <t>Cost</t>
  </si>
  <si>
    <t>GHG_Impact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</si>
  <si>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</si>
  <si>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</si>
  <si>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</si>
  <si>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</si>
  <si>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</si>
  <si>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</si>
  <si>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</si>
  <si>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</si>
  <si>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</si>
  <si>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</si>
  <si>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</si>
  <si>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</si>
  <si>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</si>
  <si>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</si>
  <si>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</si>
  <si>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</si>
  <si>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</si>
  <si>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</si>
  <si>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</si>
  <si>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</si>
  <si>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</si>
  <si>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</si>
  <si>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</si>
  <si>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</si>
  <si>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</si>
  <si>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</si>
  <si>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</si>
  <si>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</si>
  <si>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Alpha-Amylase (kg/yr)</t>
  </si>
  <si>
    <t>Alpha-Amylase</t>
  </si>
  <si>
    <t>Ammonia (kg/yr)</t>
  </si>
  <si>
    <t>Ammonia</t>
  </si>
  <si>
    <t>ammonia production, partial oxidation, liquid | ammonia, liquid | Cutoff, U - RoW</t>
  </si>
  <si>
    <t>CO2, Atmospheric (kg/yr)</t>
  </si>
  <si>
    <t>CO2, Atmoshpheric</t>
  </si>
  <si>
    <t>CO2, Commercial (kg/yr)</t>
  </si>
  <si>
    <t>CO2, Commercial</t>
  </si>
  <si>
    <t>Corn Grain (kg/yr)</t>
  </si>
  <si>
    <t>Corn Grain</t>
  </si>
  <si>
    <t>Corn Seed (kg/yr)</t>
  </si>
  <si>
    <t>Corn Seed</t>
  </si>
  <si>
    <t>maize seed production, at farm | maize seed, at farm | Cutoff, U - GLO</t>
  </si>
  <si>
    <t>Corn Stover (kg/yr)</t>
  </si>
  <si>
    <t>Corn Stover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</si>
  <si>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</si>
  <si>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</si>
  <si>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</si>
  <si>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</si>
  <si>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</si>
  <si>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</si>
  <si>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</si>
  <si>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</si>
  <si>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</si>
  <si>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</si>
  <si>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</si>
  <si>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</si>
  <si>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</si>
  <si>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</si>
  <si>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</si>
  <si>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</si>
  <si>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</si>
  <si>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Glyphosate (kg/yr)</t>
  </si>
  <si>
    <t>Glyphosate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</si>
  <si>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</si>
  <si>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</si>
  <si>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</si>
  <si>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</si>
  <si>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</si>
  <si>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</si>
  <si>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</si>
  <si>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 Loss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</si>
  <si>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</si>
  <si>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</si>
  <si>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</si>
  <si>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</si>
  <si>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</si>
  <si>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</si>
  <si>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</si>
  <si>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</si>
  <si>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</si>
  <si>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</si>
  <si>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</si>
  <si>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</si>
  <si>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</si>
  <si>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</si>
  <si>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</si>
  <si>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</si>
  <si>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</si>
  <si>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</si>
  <si>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</si>
  <si>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</si>
  <si>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</si>
  <si>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</si>
  <si>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</si>
  <si>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</si>
  <si>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</si>
  <si>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</si>
  <si>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</si>
  <si>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</si>
  <si>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</si>
  <si>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</si>
  <si>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</si>
  <si>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</si>
  <si>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</si>
  <si>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</si>
  <si>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</si>
  <si>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</si>
  <si>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</si>
  <si>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</si>
  <si>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</si>
  <si>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</si>
  <si>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</si>
  <si>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</si>
  <si>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</si>
  <si>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</si>
  <si>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</si>
  <si>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</si>
  <si>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</si>
  <si>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Woody Biomass (kg/yr)</t>
  </si>
  <si>
    <t>Woody Biomass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</si>
  <si>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</si>
  <si>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</si>
  <si>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</si>
  <si>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</si>
  <si>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</si>
  <si>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</si>
  <si>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</si>
  <si>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</si>
  <si>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</si>
  <si>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</si>
  <si>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</si>
  <si>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</si>
  <si>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</si>
  <si>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</si>
  <si>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</si>
  <si>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Liquid Natural Gas - Heat (MJ/yr)</t>
  </si>
  <si>
    <t>LNG</t>
  </si>
  <si>
    <t>heat production, natural gas, at boiler modulating &gt;100kW | heat, district or industrial, natural gas | Cutoff, U - RoW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</si>
  <si>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</si>
  <si>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</si>
  <si>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</si>
  <si>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</si>
  <si>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</si>
  <si>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</si>
  <si>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</si>
  <si>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</si>
  <si>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</si>
  <si>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</si>
  <si>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</si>
  <si>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</si>
  <si>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</si>
  <si>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</si>
  <si>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</si>
  <si>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</si>
  <si>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</si>
  <si>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</si>
  <si>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</si>
  <si>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</si>
  <si>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</si>
  <si>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</si>
  <si>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</si>
  <si>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</si>
  <si>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</si>
  <si>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</si>
  <si>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</si>
  <si>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</si>
  <si>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</si>
  <si>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</si>
  <si>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Biochar (kg/yr)</t>
  </si>
  <si>
    <t>Biochar</t>
  </si>
  <si>
    <t>CO2, Released from Algae Ponds (kg/yr)</t>
  </si>
  <si>
    <t>CO2 Released from Algae Ponds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</si>
  <si>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</si>
  <si>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</si>
  <si>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</si>
  <si>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</si>
  <si>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</si>
  <si>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</si>
  <si>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</si>
  <si>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</si>
  <si>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</si>
  <si>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</si>
  <si>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</si>
  <si>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</si>
  <si>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</si>
  <si>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</si>
  <si>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</si>
  <si>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</si>
  <si>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</si>
  <si>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</si>
  <si>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</si>
  <si>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</si>
  <si>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</si>
  <si>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</si>
  <si>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</si>
  <si>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Syncrude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</si>
  <si>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</si>
  <si>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</si>
  <si>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</si>
  <si>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</si>
  <si>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</si>
  <si>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</si>
  <si>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</si>
  <si>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</si>
  <si>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</si>
  <si>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</si>
  <si>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</si>
  <si>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</si>
  <si>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</si>
  <si>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</si>
  <si>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</si>
  <si>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</si>
  <si>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</si>
  <si>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</si>
  <si>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</si>
  <si>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</si>
  <si>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</si>
  <si>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</si>
  <si>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</si>
  <si>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</si>
  <si>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</si>
  <si>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</si>
  <si>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</si>
  <si>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</si>
  <si>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</si>
  <si>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</si>
  <si>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</si>
  <si>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</si>
  <si>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</si>
  <si>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substance_id</t>
  </si>
  <si>
    <t>ag_lime</t>
  </si>
  <si>
    <t>air</t>
  </si>
  <si>
    <t>algal_biomass_lea_meal</t>
  </si>
  <si>
    <t>algal_biomass_whole</t>
  </si>
  <si>
    <t>algal_oil</t>
  </si>
  <si>
    <t>alpha-amylase</t>
  </si>
  <si>
    <t>ammonia</t>
  </si>
  <si>
    <t>Ammonium Sulfate</t>
  </si>
  <si>
    <t>ammonium_sulfate</t>
  </si>
  <si>
    <t>arable_land</t>
  </si>
  <si>
    <t>biochar</t>
  </si>
  <si>
    <t>Biocrude</t>
  </si>
  <si>
    <t>biocrude</t>
  </si>
  <si>
    <t>biodiesel_produced</t>
  </si>
  <si>
    <t>Calcium Chloride</t>
  </si>
  <si>
    <t>calcium_chloride</t>
  </si>
  <si>
    <t>capital_cost</t>
  </si>
  <si>
    <t>ch4_emissions</t>
  </si>
  <si>
    <t>co_emissions</t>
  </si>
  <si>
    <t>co2_emissions</t>
  </si>
  <si>
    <t>co2_from_algae_ponds</t>
  </si>
  <si>
    <t>co2_atmospheric</t>
  </si>
  <si>
    <t>co2_commercial</t>
  </si>
  <si>
    <t>Corn Beer</t>
  </si>
  <si>
    <t>corn_beer</t>
  </si>
  <si>
    <t>corn_grain</t>
  </si>
  <si>
    <t>Corn Oil</t>
  </si>
  <si>
    <t>corn_oil</t>
  </si>
  <si>
    <t>corn_seed</t>
  </si>
  <si>
    <t>corn_steep_liquor</t>
  </si>
  <si>
    <t>corn_stover</t>
  </si>
  <si>
    <t>corn_stover_collected</t>
  </si>
  <si>
    <t>corn_stover_left</t>
  </si>
  <si>
    <t>ddgs</t>
  </si>
  <si>
    <t>Diammonium Phosphate</t>
  </si>
  <si>
    <t>diammonium_phosphate</t>
  </si>
  <si>
    <t>diesel</t>
  </si>
  <si>
    <t>diesel_produced</t>
  </si>
  <si>
    <t>electricity_generated</t>
  </si>
  <si>
    <t>electricity_grid</t>
  </si>
  <si>
    <t>electricity_pv</t>
  </si>
  <si>
    <t>enzymes</t>
  </si>
  <si>
    <t>ethanol</t>
  </si>
  <si>
    <t>etoh_catalysts</t>
  </si>
  <si>
    <t>Fertilizer N2O</t>
  </si>
  <si>
    <t>fertilizer_n2o</t>
  </si>
  <si>
    <t>forestry_residue</t>
  </si>
  <si>
    <t>forestry_seed</t>
  </si>
  <si>
    <t>ft_catalysts</t>
  </si>
  <si>
    <t>gasoline</t>
  </si>
  <si>
    <t>gasoline_produced</t>
  </si>
  <si>
    <t>glucoamylase</t>
  </si>
  <si>
    <t>glucose</t>
  </si>
  <si>
    <t>glycerin</t>
  </si>
  <si>
    <t>glyphosate</t>
  </si>
  <si>
    <t>grass_seed</t>
  </si>
  <si>
    <t>heat</t>
  </si>
  <si>
    <t>herbicide</t>
  </si>
  <si>
    <t>hexane_loss</t>
  </si>
  <si>
    <t>hydrogen</t>
  </si>
  <si>
    <t>hydrogen_produced</t>
  </si>
  <si>
    <t>insecticide</t>
  </si>
  <si>
    <t>jet_a-1</t>
  </si>
  <si>
    <t>jet_a</t>
  </si>
  <si>
    <t>jp5</t>
  </si>
  <si>
    <t>jp8</t>
  </si>
  <si>
    <t>labor</t>
  </si>
  <si>
    <t>Land Area</t>
  </si>
  <si>
    <t>land_area</t>
  </si>
  <si>
    <t>land_cost</t>
  </si>
  <si>
    <t>lime_hydrated</t>
  </si>
  <si>
    <t>lng</t>
  </si>
  <si>
    <t>lpg</t>
  </si>
  <si>
    <t>lpg_produced</t>
  </si>
  <si>
    <t>luc_emissions</t>
  </si>
  <si>
    <t>marginal_land</t>
  </si>
  <si>
    <t>methanol</t>
  </si>
  <si>
    <t>Miscanthus</t>
  </si>
  <si>
    <t>miscanthus</t>
  </si>
  <si>
    <t>msw</t>
  </si>
  <si>
    <t>msw_co-products</t>
  </si>
  <si>
    <t>n2o_emissions</t>
  </si>
  <si>
    <t>naptha</t>
  </si>
  <si>
    <t>natural_gas</t>
  </si>
  <si>
    <t>nitrogen_gas</t>
  </si>
  <si>
    <t>nitrogen_in_fertilizer</t>
  </si>
  <si>
    <t>nox_emissions</t>
  </si>
  <si>
    <t>phosphoric_acid</t>
  </si>
  <si>
    <t>phosphorus_in_fertilizer</t>
  </si>
  <si>
    <t>plastic</t>
  </si>
  <si>
    <t>potassium_in_fertilizer</t>
  </si>
  <si>
    <t>propane_input</t>
  </si>
  <si>
    <t>propane_produced</t>
  </si>
  <si>
    <t>Rain Water (Blue Water)</t>
  </si>
  <si>
    <t>rain_water_blue_water</t>
  </si>
  <si>
    <t>refused_derived_fuel</t>
  </si>
  <si>
    <t>Rhizome Plugs</t>
  </si>
  <si>
    <t>rhizome_plugs</t>
  </si>
  <si>
    <t>slag</t>
  </si>
  <si>
    <t>sodium_hydroxide</t>
  </si>
  <si>
    <t>soybean_meal</t>
  </si>
  <si>
    <t>soybean_oil</t>
  </si>
  <si>
    <t>soybean_seed</t>
  </si>
  <si>
    <t>soybeans</t>
  </si>
  <si>
    <t>steam</t>
  </si>
  <si>
    <t>Sulfur Dioxide</t>
  </si>
  <si>
    <t>sulfur_dioxide</t>
  </si>
  <si>
    <t>sulfuric_acid</t>
  </si>
  <si>
    <t>syncrude</t>
  </si>
  <si>
    <t>urea</t>
  </si>
  <si>
    <t>Wastewater</t>
  </si>
  <si>
    <t>wastewater</t>
  </si>
  <si>
    <t>wastewater_gasification</t>
  </si>
  <si>
    <t>water_output</t>
  </si>
  <si>
    <t>water_process</t>
  </si>
  <si>
    <t>water_rain_blue</t>
  </si>
  <si>
    <t>water_saline</t>
  </si>
  <si>
    <t>wdgs</t>
  </si>
  <si>
    <t>wog_delivered</t>
  </si>
  <si>
    <t>wog_raw</t>
  </si>
  <si>
    <t>woody_biomass</t>
  </si>
  <si>
    <t>yeast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</si>
  <si>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</si>
  <si>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</si>
  <si>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</si>
  <si>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</si>
  <si>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</si>
  <si>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</si>
  <si>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</si>
  <si>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</si>
  <si>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Put LNG here?</t>
  </si>
  <si>
    <t>! - Need HHV</t>
  </si>
  <si>
    <t>Extraction/Conversion (ON=1/OFF=0?)</t>
  </si>
  <si>
    <t>! Breakout ?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</si>
  <si>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</si>
  <si>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</si>
  <si>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</si>
  <si>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</si>
  <si>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</si>
  <si>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</si>
  <si>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</si>
  <si>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</si>
  <si>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</si>
  <si>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</si>
  <si>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</si>
  <si>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</si>
  <si>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</si>
  <si>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</si>
  <si>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</si>
  <si>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</si>
  <si>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</si>
  <si>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</si>
  <si>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</si>
  <si>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Biomass Production</t>
  </si>
  <si>
    <t>ha</t>
  </si>
  <si>
    <t>Substance Inputs</t>
  </si>
  <si>
    <t>Land Capital Cost</t>
  </si>
  <si>
    <t>dollars/ha</t>
  </si>
  <si>
    <t>$6700/ac, USDA land value?</t>
  </si>
  <si>
    <t>In</t>
  </si>
  <si>
    <t>Substance</t>
  </si>
  <si>
    <t>Value</t>
  </si>
  <si>
    <t>Beal 2020, USDA SoybeansCostReturn</t>
  </si>
  <si>
    <t>CO2, Atmospheric</t>
  </si>
  <si>
    <t>kg/yr</t>
  </si>
  <si>
    <t>dollars/ha/yr</t>
  </si>
  <si>
    <t>#/ha/yr</t>
  </si>
  <si>
    <t>Beal 2020 = 94.5 kg/ha</t>
  </si>
  <si>
    <t>Carbon Content</t>
  </si>
  <si>
    <t>%</t>
  </si>
  <si>
    <t>kg/kg Feedstock</t>
  </si>
  <si>
    <t>Beal 2020, Chen 2018</t>
  </si>
  <si>
    <t>Ag Lime (CaCO3)</t>
  </si>
  <si>
    <t>Beal 2020, Chen 2018 Huo 2009, Han 2013</t>
  </si>
  <si>
    <t>kg/ha/yr</t>
  </si>
  <si>
    <t>Chen 2018, Jack had 224 kg/ha-yr - Source??</t>
  </si>
  <si>
    <t>Chen 2018, Jack had 12.26 kg/ha-yr - Source??</t>
  </si>
  <si>
    <t>Water, Rain</t>
  </si>
  <si>
    <t>m3/yr</t>
  </si>
  <si>
    <t>USDA SoybeansCostReturn, Jack had 3698 kg/ha-yr - Source??</t>
  </si>
  <si>
    <t>Out</t>
  </si>
  <si>
    <t>Fertilizer N2O Rate</t>
  </si>
  <si>
    <t>kg N2O/kg N</t>
  </si>
  <si>
    <t>Huo 2009, Han 2013</t>
  </si>
  <si>
    <t>m3/ha/yr</t>
  </si>
  <si>
    <t>Beal 2020, Chen 2018, Huo 2009</t>
  </si>
  <si>
    <t>Electricity</t>
  </si>
  <si>
    <t>MJ/yr</t>
  </si>
  <si>
    <t>$</t>
  </si>
  <si>
    <t>$/yr</t>
  </si>
  <si>
    <t>MJ/kg Feedstock</t>
  </si>
  <si>
    <t>Soybean Feedstock Cost</t>
  </si>
  <si>
    <t>Not Used Here</t>
  </si>
  <si>
    <t>$/kg</t>
  </si>
  <si>
    <t>Substance Outputs</t>
  </si>
  <si>
    <t>Hexane Solvent Cost</t>
  </si>
  <si>
    <t>Sodium Hydroxide Cost</t>
  </si>
  <si>
    <t>Primary Output</t>
  </si>
  <si>
    <t>Phosphoric Acid Cost</t>
  </si>
  <si>
    <t>Emissions</t>
  </si>
  <si>
    <t>Methanol Deficit Cost</t>
  </si>
  <si>
    <t>Steam Cost</t>
  </si>
  <si>
    <t>LNG Cost</t>
  </si>
  <si>
    <t>$/MJ</t>
  </si>
  <si>
    <t>Electricity Cost</t>
  </si>
  <si>
    <t>Jack Smith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</si>
  <si>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</si>
  <si>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</si>
  <si>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</si>
  <si>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</si>
  <si>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Beal 2020 (AltJet) - Ontario ministry of agirculture, food, and rural affairs, Biomass burn characteristics for Ontario biomass; dry matter basis</t>
  </si>
  <si>
    <t>Swanson - Beal 2020 (AltJet)</t>
  </si>
  <si>
    <t>Herbicide (Atrazine)</t>
  </si>
  <si>
    <t>Nass 2016 Agricultural Chemical Use Service - Table 2</t>
  </si>
  <si>
    <t>Nass 2016 Agricultural Chemical Use Service - Fig 2, 12% apply Insect.</t>
  </si>
  <si>
    <t>USDA Crop Production 11/10/20.   184 Bu/acre from CornCostReturn - USDA excel file</t>
  </si>
  <si>
    <t xml:space="preserve">Corn Stover Harvesting - MSU Extension </t>
  </si>
  <si>
    <t>Beal 2020 (AltJet)</t>
  </si>
  <si>
    <t>MJ/ha/yr</t>
  </si>
  <si>
    <t>Stover Collected</t>
  </si>
  <si>
    <t>Fertilzer N2O emissions?</t>
  </si>
  <si>
    <t> </t>
  </si>
  <si>
    <t>Iowa State Ag Decision Maker - Estimated Cost of Establishment - Hoque 2014</t>
  </si>
  <si>
    <t>Beal 2020 (AltJet) - Switchgrass Assumption</t>
  </si>
  <si>
    <t>Hoque 2014 - Table 2 - Worth Converting to Mass Somehow?</t>
  </si>
  <si>
    <t>Hoque 2014 - vii</t>
  </si>
  <si>
    <t>#/yr</t>
  </si>
  <si>
    <t>Same as Corn (see note) ! AltJet uses no AgLime for Switch</t>
  </si>
  <si>
    <t>Hoque 2014 - Table 2</t>
  </si>
  <si>
    <t>Heaton 2004</t>
  </si>
  <si>
    <t>Beal 2020 (AltJet) - GREET, Monti, Sanderson, Nelson, Vadas</t>
  </si>
  <si>
    <t>Beal 2020 (AltJet) - Sanderson, Nelson</t>
  </si>
  <si>
    <t>Beal 2020 (AltJet) - GREET, Monti, Sanderson, Nelson</t>
  </si>
  <si>
    <t>Beal 2020 (AltJet) - GREET, Sanderson</t>
  </si>
  <si>
    <t>hectares</t>
  </si>
  <si>
    <t>Beal 2020 (AltJet) - Sanderson</t>
  </si>
  <si>
    <t>Lime, Ag</t>
  </si>
  <si>
    <t>Beal 2020 (AltJet) - Monti, Sanderson, Nelson</t>
  </si>
  <si>
    <t>Beal 2020 (AltJet) - GREET</t>
  </si>
  <si>
    <t>Beal 2020 (AltJet) - Vadas 2008</t>
  </si>
  <si>
    <t xml:space="preserve">Water, Rain </t>
  </si>
  <si>
    <t>Diesel on Farm</t>
  </si>
  <si>
    <t>kg/ha-yr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</si>
  <si>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</si>
  <si>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</si>
  <si>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</si>
  <si>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</si>
  <si>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</si>
  <si>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</si>
  <si>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</si>
  <si>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</si>
  <si>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</si>
  <si>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</si>
  <si>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</si>
  <si>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</si>
  <si>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</si>
  <si>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</si>
  <si>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</si>
  <si>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</si>
  <si>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</si>
  <si>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</si>
  <si>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</si>
  <si>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</si>
  <si>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</si>
  <si>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</si>
  <si>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</si>
  <si>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</si>
  <si>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</si>
  <si>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</si>
  <si>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</si>
  <si>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</si>
  <si>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</si>
  <si>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</si>
  <si>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</si>
  <si>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</si>
  <si>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</si>
  <si>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</si>
  <si>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</si>
  <si>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</si>
  <si>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</si>
  <si>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</si>
  <si>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</si>
  <si>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</si>
  <si>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</si>
  <si>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</si>
  <si>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</si>
  <si>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</si>
  <si>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</si>
  <si>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</si>
  <si>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</si>
  <si>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</si>
  <si>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</si>
  <si>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</si>
  <si>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</si>
  <si>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</si>
  <si>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</si>
  <si>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</si>
  <si>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Wallace 2005 - NREL Co-Located Corn Stover to EtOH Dry Mill Excel Sheet</t>
  </si>
  <si>
    <t>Wallace 2005</t>
  </si>
  <si>
    <t>Lime</t>
  </si>
  <si>
    <t>From Corn Cultivation Sheet</t>
  </si>
  <si>
    <t>Should be about 5% of final EtOH value</t>
  </si>
  <si>
    <t>dollars/kg Feedstock</t>
  </si>
  <si>
    <t>Cooling Water</t>
  </si>
  <si>
    <t>Neglected - Need to work out where this is held</t>
  </si>
  <si>
    <t>Humbird 2011 - Excel Sheet (Opex sheet)</t>
  </si>
  <si>
    <t>Humbird 2011 - On-site Boiler Burns Lignin - Displaces LNG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</si>
  <si>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</si>
  <si>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</si>
  <si>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</si>
  <si>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</si>
  <si>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</si>
  <si>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</si>
  <si>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</si>
  <si>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</si>
  <si>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</si>
  <si>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</si>
  <si>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</si>
  <si>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</si>
  <si>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Protein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</si>
  <si>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</si>
  <si>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</si>
  <si>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</si>
  <si>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</si>
  <si>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</si>
  <si>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</si>
  <si>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</si>
  <si>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</si>
  <si>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</si>
  <si>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</si>
  <si>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LNG to Heat Efficiency</t>
  </si>
  <si>
    <t>MJ LNG / MJ Heat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</si>
  <si>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</si>
  <si>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</si>
  <si>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</si>
  <si>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</si>
  <si>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</si>
  <si>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</si>
  <si>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</si>
  <si>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</si>
  <si>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</si>
  <si>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</si>
  <si>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Probably should be replaced with actual costs of electricity, LNG, algae</t>
  </si>
  <si>
    <t>Fixed Operational Cost</t>
  </si>
  <si>
    <t>Algae Biocrude Production</t>
  </si>
  <si>
    <t>Algae (AFDW)</t>
  </si>
  <si>
    <t>Feedstock</t>
  </si>
  <si>
    <t>tonnes/year</t>
  </si>
  <si>
    <t xml:space="preserve">Sand to Feedstock </t>
  </si>
  <si>
    <t>kg/kg</t>
  </si>
  <si>
    <t>Zeolite Catalyst to Feedstock</t>
  </si>
  <si>
    <t>Natural Gas to Feedstock</t>
  </si>
  <si>
    <t>Includes upgrading, need to separate out</t>
  </si>
  <si>
    <t>Caustic to Feedstock</t>
  </si>
  <si>
    <t>Need to define what this is</t>
  </si>
  <si>
    <t>Boiler Chemicals to Feedstock</t>
  </si>
  <si>
    <t>Cooling Tower Chemicals to Feedstock</t>
  </si>
  <si>
    <t>Makeup Water to Feedstock</t>
  </si>
  <si>
    <t>Diesel Input to Feedstock</t>
  </si>
  <si>
    <t>Biocrude Output to Feedstock</t>
  </si>
  <si>
    <t>Electricity Output to Feedstock</t>
  </si>
  <si>
    <t>kWh/kg</t>
  </si>
  <si>
    <t>Biochar Output to Feedstock</t>
  </si>
  <si>
    <t>Capital Cost to Annual Feedstock Throughput</t>
  </si>
  <si>
    <t>Adjusted for inflation at 1.81% from 2011 to 2021</t>
  </si>
  <si>
    <t>Fixed Operational Cost to Annual Feedstock Thoughput</t>
  </si>
  <si>
    <t>Biocrude Production</t>
  </si>
  <si>
    <t>Sand</t>
  </si>
  <si>
    <t>Zeolite Catalyst</t>
  </si>
  <si>
    <t>Caustic</t>
  </si>
  <si>
    <t>Pulled from TEA OpEX breakdowns in Excel model, need to clarify what this is</t>
  </si>
  <si>
    <t>Boiler Chemicals</t>
  </si>
  <si>
    <t>Pulled from TEA OpEX breakdowns in Excel model, need to resolve into individual chemicals</t>
  </si>
  <si>
    <t>Cooling Tower Chemicals</t>
  </si>
  <si>
    <t>Makeup Water</t>
  </si>
  <si>
    <t>kWh/yr</t>
  </si>
  <si>
    <t>Source: Dutta et al. https://www.nrel.gov/docs/fy15osti/62455.pdf</t>
  </si>
  <si>
    <t>Soybeans Conversion/Extraction</t>
  </si>
  <si>
    <t>Algae Conversion/Extraction</t>
  </si>
  <si>
    <t>Neglected</t>
  </si>
  <si>
    <t>Beal 2020</t>
  </si>
  <si>
    <t>Beal 2020, Chen 2018, Phan 2008</t>
  </si>
  <si>
    <t>Process Water</t>
  </si>
  <si>
    <t>Chen 2018 (w/ Coal)</t>
  </si>
  <si>
    <t>$/ha-yr</t>
  </si>
  <si>
    <t>Soy Oil</t>
  </si>
  <si>
    <t>Algae Oil</t>
  </si>
  <si>
    <t>Soybean  Meal</t>
  </si>
  <si>
    <t>Algae Meal, LEA</t>
  </si>
  <si>
    <t>Veg Oil Transesterification</t>
  </si>
  <si>
    <t>Chemicals &lt;100 g/kg biodiesel</t>
  </si>
  <si>
    <t>NEGLECT</t>
  </si>
  <si>
    <t>Chen Total Yield</t>
  </si>
  <si>
    <t>kg biodiesel/kg veg oil</t>
  </si>
  <si>
    <t>kg biodiesel/kg soy</t>
  </si>
  <si>
    <t>Jack Source?</t>
  </si>
  <si>
    <t>Estimate</t>
  </si>
  <si>
    <t>Neglect</t>
  </si>
  <si>
    <t>Biodiesel</t>
  </si>
  <si>
    <t>Gasification</t>
  </si>
  <si>
    <t>Veg Oil Hydroprocessing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</si>
</sst>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  <numFmt numFmtId="169" formatCode="0.0000"/>
    <numFmt numFmtId="172" formatCode="&quot;$&quot;#,##0.000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0" fontId="11" fillId="0" borderId="0"/>
    <xf numFmtId="0" fontId="13" fillId="21" borderId="3" applyNumberFormat="0" applyAlignment="0" applyProtection="0"/>
    <xf numFmtId="0" fontId="14" fillId="2" borderId="0" applyNumberFormat="0" applyBorder="0" applyAlignment="0" applyProtection="0"/>
    <xf numFmtId="0" fontId="15" fillId="22" borderId="4" applyNumberFormat="0" applyAlignment="0" applyProtection="0"/>
    <xf numFmtId="0" fontId="16" fillId="19" borderId="0" applyNumberFormat="0" applyBorder="0" applyAlignment="0" applyProtection="0"/>
    <xf numFmtId="44" fontId="11" fillId="0" borderId="0" applyFont="0" applyFill="0" applyBorder="0" applyAlignment="0" applyProtection="0"/>
    <xf numFmtId="0" fontId="17" fillId="20" borderId="0" applyNumberFormat="0" applyBorder="0" applyAlignment="0" applyProtection="0"/>
    <xf numFmtId="9" fontId="11" fillId="0" borderId="0" applyFont="0" applyFill="0" applyBorder="0" applyAlignment="0" applyProtection="0"/>
    <xf numFmtId="0" fontId="17" fillId="20" borderId="0" applyNumberFormat="0" applyBorder="0" applyAlignment="0" applyProtection="0"/>
  </cellStyleXfs>
  <cellXfs count="296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6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16" borderId="1" xfId="0" applyFill="1" applyBorder="1"/>
    <xf numFmtId="0" fontId="7" fillId="16" borderId="1" xfId="0" applyFon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5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6" fillId="9" borderId="1" xfId="0" applyFont="1" applyFill="1" applyBorder="1"/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0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3" fillId="0" borderId="0" xfId="3"/>
    <xf numFmtId="4" fontId="3" fillId="0" borderId="0" xfId="3" applyNumberFormat="1"/>
    <xf numFmtId="0" fontId="5" fillId="0" borderId="0" xfId="3" applyFont="1"/>
    <xf numFmtId="0" fontId="11" fillId="0" borderId="0" xfId="4"/>
    <xf numFmtId="0" fontId="11" fillId="0" borderId="0" xfId="4" applyAlignment="1">
      <alignment horizontal="right"/>
    </xf>
    <xf numFmtId="0" fontId="18" fillId="3" borderId="0" xfId="4" applyFont="1" applyFill="1"/>
    <xf numFmtId="0" fontId="0" fillId="25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6" fillId="4" borderId="0" xfId="0" applyFont="1" applyFill="1"/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8" fillId="0" borderId="1" xfId="4" applyFont="1" applyBorder="1" applyAlignment="1">
      <alignment horizontal="right"/>
    </xf>
    <xf numFmtId="0" fontId="8" fillId="0" borderId="1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1" xfId="4" applyFont="1" applyBorder="1"/>
    <xf numFmtId="0" fontId="11" fillId="4" borderId="1" xfId="4" applyFill="1" applyBorder="1" applyAlignment="1">
      <alignment horizontal="right"/>
    </xf>
    <xf numFmtId="0" fontId="10" fillId="0" borderId="1" xfId="4" applyFont="1" applyBorder="1"/>
    <xf numFmtId="0" fontId="11" fillId="0" borderId="1" xfId="4" applyBorder="1"/>
    <xf numFmtId="0" fontId="11" fillId="5" borderId="1" xfId="4" applyFill="1" applyBorder="1" applyAlignment="1">
      <alignment horizontal="right"/>
    </xf>
    <xf numFmtId="0" fontId="11" fillId="6" borderId="1" xfId="4" applyFill="1" applyBorder="1" applyAlignment="1">
      <alignment horizontal="right"/>
    </xf>
    <xf numFmtId="0" fontId="11" fillId="26" borderId="1" xfId="4" applyFill="1" applyBorder="1" applyAlignment="1">
      <alignment horizontal="right"/>
    </xf>
    <xf numFmtId="0" fontId="8" fillId="0" borderId="6" xfId="4" applyFont="1" applyBorder="1" applyAlignment="1">
      <alignment horizontal="right"/>
    </xf>
    <xf numFmtId="0" fontId="11" fillId="0" borderId="1" xfId="4" applyBorder="1" applyAlignment="1">
      <alignment horizontal="right"/>
    </xf>
    <xf numFmtId="1" fontId="11" fillId="0" borderId="1" xfId="4" applyNumberFormat="1" applyBorder="1"/>
    <xf numFmtId="2" fontId="11" fillId="0" borderId="1" xfId="4" applyNumberFormat="1" applyBorder="1"/>
    <xf numFmtId="168" fontId="11" fillId="0" borderId="1" xfId="4" applyNumberFormat="1" applyBorder="1"/>
    <xf numFmtId="0" fontId="10" fillId="0" borderId="1" xfId="4" applyFont="1" applyBorder="1" applyAlignment="1">
      <alignment horizontal="right"/>
    </xf>
    <xf numFmtId="4" fontId="11" fillId="0" borderId="1" xfId="4" applyNumberFormat="1" applyBorder="1"/>
    <xf numFmtId="0" fontId="10" fillId="0" borderId="0" xfId="4" applyFont="1"/>
    <xf numFmtId="0" fontId="12" fillId="24" borderId="0" xfId="4" applyFont="1" applyFill="1" applyAlignment="1">
      <alignment horizontal="center" vertical="center"/>
    </xf>
    <xf numFmtId="0" fontId="11" fillId="0" borderId="0" xfId="4" applyBorder="1"/>
    <xf numFmtId="0" fontId="6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0" fillId="28" borderId="1" xfId="4" applyFont="1" applyFill="1" applyBorder="1"/>
    <xf numFmtId="0" fontId="11" fillId="28" borderId="1" xfId="4" applyFill="1" applyBorder="1" applyAlignment="1">
      <alignment horizontal="left"/>
    </xf>
    <xf numFmtId="0" fontId="10" fillId="0" borderId="1" xfId="4" applyFont="1" applyFill="1" applyBorder="1"/>
    <xf numFmtId="0" fontId="11" fillId="0" borderId="1" xfId="4" applyFill="1" applyBorder="1" applyAlignment="1">
      <alignment horizontal="left"/>
    </xf>
    <xf numFmtId="0" fontId="11" fillId="0" borderId="1" xfId="4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11" fillId="28" borderId="1" xfId="4" applyFill="1" applyBorder="1"/>
    <xf numFmtId="1" fontId="0" fillId="4" borderId="1" xfId="0" applyNumberForma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0" fillId="20" borderId="1" xfId="12" applyFont="1" applyBorder="1"/>
    <xf numFmtId="0" fontId="18" fillId="3" borderId="0" xfId="4" applyFont="1" applyFill="1" applyAlignment="1">
      <alignment horizontal="left"/>
    </xf>
    <xf numFmtId="0" fontId="10" fillId="0" borderId="1" xfId="0" applyFont="1" applyBorder="1"/>
    <xf numFmtId="168" fontId="1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right"/>
    </xf>
    <xf numFmtId="2" fontId="23" fillId="4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wrapText="1"/>
    </xf>
    <xf numFmtId="0" fontId="24" fillId="0" borderId="6" xfId="0" applyFont="1" applyFill="1" applyBorder="1" applyAlignment="1">
      <alignment wrapText="1"/>
    </xf>
    <xf numFmtId="0" fontId="24" fillId="0" borderId="8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9" fontId="25" fillId="0" borderId="9" xfId="0" applyNumberFormat="1" applyFont="1" applyFill="1" applyBorder="1" applyAlignment="1">
      <alignment wrapText="1"/>
    </xf>
    <xf numFmtId="0" fontId="0" fillId="0" borderId="1" xfId="0" applyBorder="1"/>
    <xf numFmtId="0" fontId="24" fillId="0" borderId="0" xfId="0" applyFont="1" applyFill="1" applyBorder="1" applyAlignment="1">
      <alignment wrapText="1"/>
    </xf>
    <xf numFmtId="0" fontId="24" fillId="0" borderId="10" xfId="0" applyFont="1" applyFill="1" applyBorder="1" applyAlignment="1">
      <alignment wrapText="1"/>
    </xf>
    <xf numFmtId="2" fontId="25" fillId="0" borderId="10" xfId="0" applyNumberFormat="1" applyFont="1" applyFill="1" applyBorder="1" applyAlignment="1">
      <alignment wrapText="1"/>
    </xf>
    <xf numFmtId="2" fontId="10" fillId="0" borderId="10" xfId="0" applyNumberFormat="1" applyFont="1" applyBorder="1"/>
    <xf numFmtId="0" fontId="24" fillId="0" borderId="5" xfId="0" applyFont="1" applyFill="1" applyBorder="1" applyAlignment="1">
      <alignment wrapText="1"/>
    </xf>
    <xf numFmtId="0" fontId="24" fillId="0" borderId="11" xfId="0" applyFont="1" applyFill="1" applyBorder="1" applyAlignment="1">
      <alignment wrapText="1"/>
    </xf>
    <xf numFmtId="0" fontId="26" fillId="0" borderId="6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4" fillId="0" borderId="7" xfId="0" applyFont="1" applyFill="1" applyBorder="1" applyAlignment="1">
      <alignment wrapText="1"/>
    </xf>
    <xf numFmtId="0" fontId="24" fillId="0" borderId="1" xfId="0" applyFont="1" applyFill="1" applyBorder="1" applyAlignment="1">
      <alignment horizontal="right" wrapText="1"/>
    </xf>
    <xf numFmtId="0" fontId="28" fillId="30" borderId="1" xfId="0" applyFont="1" applyFill="1" applyBorder="1" applyAlignment="1">
      <alignment wrapText="1"/>
    </xf>
    <xf numFmtId="0" fontId="28" fillId="30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24" fillId="31" borderId="8" xfId="0" applyFont="1" applyFill="1" applyBorder="1" applyAlignment="1">
      <alignment horizontal="right" wrapText="1"/>
    </xf>
    <xf numFmtId="0" fontId="26" fillId="0" borderId="9" xfId="0" applyFont="1" applyFill="1" applyBorder="1" applyAlignment="1">
      <alignment horizontal="right" wrapText="1"/>
    </xf>
    <xf numFmtId="0" fontId="24" fillId="32" borderId="8" xfId="0" applyFont="1" applyFill="1" applyBorder="1" applyAlignment="1">
      <alignment horizontal="right" wrapText="1"/>
    </xf>
    <xf numFmtId="2" fontId="10" fillId="0" borderId="0" xfId="0" applyNumberFormat="1" applyFont="1" applyBorder="1"/>
    <xf numFmtId="0" fontId="24" fillId="0" borderId="14" xfId="0" applyFont="1" applyFill="1" applyBorder="1" applyAlignment="1">
      <alignment wrapText="1"/>
    </xf>
    <xf numFmtId="2" fontId="10" fillId="0" borderId="14" xfId="0" applyNumberFormat="1" applyFont="1" applyBorder="1"/>
    <xf numFmtId="0" fontId="9" fillId="11" borderId="8" xfId="4" applyFont="1" applyFill="1" applyBorder="1" applyAlignment="1">
      <alignment vertical="center"/>
    </xf>
    <xf numFmtId="0" fontId="24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0" fontId="10" fillId="0" borderId="10" xfId="0" applyFont="1" applyBorder="1"/>
    <xf numFmtId="0" fontId="8" fillId="0" borderId="12" xfId="4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10" fillId="0" borderId="14" xfId="0" applyFont="1" applyBorder="1"/>
    <xf numFmtId="0" fontId="29" fillId="0" borderId="10" xfId="0" applyFont="1" applyBorder="1"/>
    <xf numFmtId="0" fontId="20" fillId="28" borderId="1" xfId="0" applyFont="1" applyFill="1" applyBorder="1" applyAlignment="1">
      <alignment horizontal="center"/>
    </xf>
    <xf numFmtId="4" fontId="0" fillId="2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2" fontId="0" fillId="28" borderId="1" xfId="0" applyNumberFormat="1" applyFill="1" applyBorder="1" applyAlignment="1">
      <alignment horizontal="center"/>
    </xf>
    <xf numFmtId="4" fontId="5" fillId="28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11" fillId="0" borderId="1" xfId="4" applyFill="1" applyBorder="1" applyAlignment="1">
      <alignment horizontal="right"/>
    </xf>
    <xf numFmtId="0" fontId="11" fillId="0" borderId="1" xfId="4" applyFill="1" applyBorder="1"/>
    <xf numFmtId="0" fontId="9" fillId="24" borderId="7" xfId="4" applyFont="1" applyFill="1" applyBorder="1" applyAlignment="1">
      <alignment vertical="center"/>
    </xf>
    <xf numFmtId="2" fontId="11" fillId="0" borderId="6" xfId="4" applyNumberFormat="1" applyBorder="1"/>
    <xf numFmtId="1" fontId="11" fillId="0" borderId="6" xfId="4" applyNumberFormat="1" applyBorder="1"/>
    <xf numFmtId="0" fontId="25" fillId="0" borderId="11" xfId="0" applyFont="1" applyFill="1" applyBorder="1" applyAlignment="1">
      <alignment wrapText="1"/>
    </xf>
    <xf numFmtId="0" fontId="24" fillId="0" borderId="17" xfId="0" applyFont="1" applyFill="1" applyBorder="1" applyAlignment="1">
      <alignment wrapText="1"/>
    </xf>
    <xf numFmtId="2" fontId="25" fillId="0" borderId="17" xfId="0" applyNumberFormat="1" applyFont="1" applyFill="1" applyBorder="1" applyAlignment="1">
      <alignment wrapText="1"/>
    </xf>
    <xf numFmtId="0" fontId="27" fillId="29" borderId="0" xfId="0" applyFont="1" applyFill="1" applyBorder="1" applyAlignment="1"/>
    <xf numFmtId="0" fontId="28" fillId="30" borderId="1" xfId="0" applyFont="1" applyFill="1" applyBorder="1" applyAlignment="1"/>
    <xf numFmtId="0" fontId="28" fillId="30" borderId="6" xfId="0" applyFont="1" applyFill="1" applyBorder="1" applyAlignment="1"/>
    <xf numFmtId="0" fontId="26" fillId="0" borderId="6" xfId="0" applyFont="1" applyFill="1" applyBorder="1" applyAlignment="1">
      <alignment horizontal="right"/>
    </xf>
    <xf numFmtId="0" fontId="26" fillId="0" borderId="6" xfId="0" applyFont="1" applyFill="1" applyBorder="1" applyAlignment="1"/>
    <xf numFmtId="0" fontId="26" fillId="0" borderId="13" xfId="0" applyFont="1" applyFill="1" applyBorder="1" applyAlignment="1"/>
    <xf numFmtId="0" fontId="24" fillId="0" borderId="9" xfId="0" applyFont="1" applyFill="1" applyBorder="1" applyAlignment="1">
      <alignment horizontal="right"/>
    </xf>
    <xf numFmtId="1" fontId="24" fillId="0" borderId="9" xfId="0" applyNumberFormat="1" applyFont="1" applyFill="1" applyBorder="1" applyAlignment="1"/>
    <xf numFmtId="0" fontId="24" fillId="0" borderId="9" xfId="0" applyFont="1" applyFill="1" applyBorder="1" applyAlignment="1"/>
    <xf numFmtId="0" fontId="26" fillId="0" borderId="7" xfId="0" applyFont="1" applyFill="1" applyBorder="1" applyAlignment="1"/>
    <xf numFmtId="0" fontId="24" fillId="0" borderId="8" xfId="0" applyFont="1" applyFill="1" applyBorder="1" applyAlignment="1">
      <alignment horizontal="right"/>
    </xf>
    <xf numFmtId="168" fontId="24" fillId="0" borderId="9" xfId="0" applyNumberFormat="1" applyFont="1" applyFill="1" applyBorder="1" applyAlignment="1"/>
    <xf numFmtId="0" fontId="0" fillId="0" borderId="0" xfId="0" applyAlignment="1"/>
    <xf numFmtId="0" fontId="26" fillId="0" borderId="9" xfId="0" applyFont="1" applyFill="1" applyBorder="1" applyAlignment="1">
      <alignment horizontal="right"/>
    </xf>
    <xf numFmtId="0" fontId="26" fillId="0" borderId="9" xfId="0" applyFont="1" applyFill="1" applyBorder="1" applyAlignment="1"/>
    <xf numFmtId="0" fontId="26" fillId="0" borderId="15" xfId="0" applyFont="1" applyFill="1" applyBorder="1" applyAlignment="1">
      <alignment horizontal="right"/>
    </xf>
    <xf numFmtId="0" fontId="26" fillId="0" borderId="15" xfId="0" applyFont="1" applyFill="1" applyBorder="1" applyAlignment="1"/>
    <xf numFmtId="0" fontId="26" fillId="0" borderId="16" xfId="0" applyFont="1" applyFill="1" applyBorder="1" applyAlignment="1"/>
    <xf numFmtId="1" fontId="11" fillId="0" borderId="1" xfId="4" applyNumberFormat="1" applyFill="1" applyBorder="1"/>
    <xf numFmtId="0" fontId="2" fillId="6" borderId="1" xfId="4" applyFont="1" applyFill="1" applyBorder="1" applyAlignment="1">
      <alignment horizontal="right"/>
    </xf>
    <xf numFmtId="0" fontId="2" fillId="0" borderId="1" xfId="4" applyFont="1" applyBorder="1" applyAlignment="1">
      <alignment horizontal="right"/>
    </xf>
    <xf numFmtId="0" fontId="2" fillId="0" borderId="1" xfId="4" applyFont="1" applyBorder="1" applyAlignment="1">
      <alignment horizontal="left"/>
    </xf>
    <xf numFmtId="0" fontId="2" fillId="0" borderId="1" xfId="4" applyFont="1" applyBorder="1"/>
    <xf numFmtId="0" fontId="2" fillId="4" borderId="1" xfId="4" applyFont="1" applyFill="1" applyBorder="1" applyAlignment="1">
      <alignment horizontal="right"/>
    </xf>
    <xf numFmtId="0" fontId="2" fillId="0" borderId="0" xfId="4" applyFont="1"/>
    <xf numFmtId="0" fontId="2" fillId="0" borderId="2" xfId="4" applyFont="1" applyBorder="1"/>
    <xf numFmtId="0" fontId="2" fillId="0" borderId="0" xfId="4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4" fontId="2" fillId="0" borderId="10" xfId="0" applyNumberFormat="1" applyFont="1" applyBorder="1" applyAlignment="1"/>
    <xf numFmtId="0" fontId="2" fillId="0" borderId="10" xfId="0" applyFont="1" applyBorder="1" applyAlignment="1"/>
    <xf numFmtId="4" fontId="2" fillId="0" borderId="10" xfId="0" applyNumberFormat="1" applyFont="1" applyBorder="1"/>
    <xf numFmtId="0" fontId="2" fillId="0" borderId="14" xfId="0" applyFont="1" applyBorder="1" applyAlignment="1">
      <alignment horizontal="right"/>
    </xf>
    <xf numFmtId="0" fontId="2" fillId="0" borderId="14" xfId="0" applyFont="1" applyBorder="1"/>
    <xf numFmtId="0" fontId="2" fillId="0" borderId="1" xfId="4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" fontId="2" fillId="0" borderId="0" xfId="0" applyNumberFormat="1" applyFont="1"/>
    <xf numFmtId="0" fontId="2" fillId="0" borderId="1" xfId="0" applyFont="1" applyFill="1" applyBorder="1"/>
    <xf numFmtId="0" fontId="2" fillId="0" borderId="12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0" xfId="0" applyFont="1" applyBorder="1"/>
    <xf numFmtId="0" fontId="2" fillId="5" borderId="1" xfId="4" applyFont="1" applyFill="1" applyBorder="1" applyAlignment="1">
      <alignment horizontal="right"/>
    </xf>
    <xf numFmtId="2" fontId="2" fillId="0" borderId="6" xfId="4" applyNumberFormat="1" applyFont="1" applyBorder="1"/>
    <xf numFmtId="2" fontId="2" fillId="0" borderId="1" xfId="4" applyNumberFormat="1" applyFont="1" applyBorder="1"/>
    <xf numFmtId="0" fontId="2" fillId="0" borderId="1" xfId="4" applyFont="1" applyBorder="1" applyAlignment="1">
      <alignment horizontal="center"/>
    </xf>
    <xf numFmtId="1" fontId="25" fillId="0" borderId="10" xfId="0" applyNumberFormat="1" applyFont="1" applyFill="1" applyBorder="1" applyAlignment="1">
      <alignment wrapText="1"/>
    </xf>
    <xf numFmtId="0" fontId="0" fillId="0" borderId="10" xfId="0" applyBorder="1"/>
    <xf numFmtId="0" fontId="0" fillId="0" borderId="12" xfId="0" applyBorder="1"/>
    <xf numFmtId="1" fontId="2" fillId="0" borderId="12" xfId="0" applyNumberFormat="1" applyFont="1" applyBorder="1"/>
    <xf numFmtId="169" fontId="25" fillId="0" borderId="10" xfId="0" applyNumberFormat="1" applyFont="1" applyFill="1" applyBorder="1" applyAlignment="1">
      <alignment wrapText="1"/>
    </xf>
    <xf numFmtId="0" fontId="24" fillId="0" borderId="0" xfId="0" applyFont="1" applyFill="1" applyBorder="1" applyAlignment="1"/>
    <xf numFmtId="0" fontId="32" fillId="33" borderId="0" xfId="0" applyFont="1" applyFill="1" applyBorder="1" applyAlignment="1"/>
    <xf numFmtId="0" fontId="32" fillId="0" borderId="0" xfId="0" applyFont="1" applyFill="1" applyBorder="1" applyAlignment="1"/>
    <xf numFmtId="11" fontId="32" fillId="0" borderId="0" xfId="0" applyNumberFormat="1" applyFont="1" applyFill="1" applyBorder="1" applyAlignment="1"/>
    <xf numFmtId="0" fontId="32" fillId="34" borderId="0" xfId="0" applyFont="1" applyFill="1" applyBorder="1" applyAlignment="1"/>
    <xf numFmtId="0" fontId="32" fillId="35" borderId="0" xfId="0" applyFont="1" applyFill="1" applyBorder="1" applyAlignment="1"/>
    <xf numFmtId="0" fontId="9" fillId="27" borderId="1" xfId="4" applyFont="1" applyFill="1" applyBorder="1" applyAlignment="1">
      <alignment horizontal="center"/>
    </xf>
    <xf numFmtId="0" fontId="24" fillId="3" borderId="0" xfId="0" applyFont="1" applyFill="1" applyBorder="1" applyAlignment="1">
      <alignment wrapText="1"/>
    </xf>
    <xf numFmtId="0" fontId="11" fillId="6" borderId="10" xfId="4" applyFill="1" applyBorder="1" applyAlignment="1">
      <alignment horizontal="right"/>
    </xf>
    <xf numFmtId="0" fontId="5" fillId="0" borderId="10" xfId="0" applyFont="1" applyBorder="1"/>
    <xf numFmtId="0" fontId="11" fillId="0" borderId="10" xfId="4" applyBorder="1"/>
    <xf numFmtId="0" fontId="11" fillId="6" borderId="12" xfId="4" applyFill="1" applyBorder="1" applyAlignment="1">
      <alignment horizontal="right"/>
    </xf>
    <xf numFmtId="0" fontId="10" fillId="0" borderId="12" xfId="4" applyFont="1" applyBorder="1"/>
    <xf numFmtId="0" fontId="11" fillId="0" borderId="12" xfId="4" applyBorder="1"/>
    <xf numFmtId="0" fontId="11" fillId="0" borderId="0" xfId="4" applyBorder="1" applyAlignment="1">
      <alignment horizontal="right"/>
    </xf>
    <xf numFmtId="0" fontId="9" fillId="27" borderId="10" xfId="4" applyFont="1" applyFill="1" applyBorder="1" applyAlignment="1">
      <alignment horizontal="center"/>
    </xf>
    <xf numFmtId="0" fontId="8" fillId="0" borderId="10" xfId="4" applyFont="1" applyBorder="1" applyAlignment="1">
      <alignment horizontal="right"/>
    </xf>
    <xf numFmtId="0" fontId="8" fillId="0" borderId="10" xfId="4" applyFont="1" applyBorder="1" applyAlignment="1">
      <alignment horizontal="left"/>
    </xf>
    <xf numFmtId="0" fontId="8" fillId="0" borderId="10" xfId="4" applyFont="1" applyBorder="1"/>
    <xf numFmtId="0" fontId="11" fillId="0" borderId="10" xfId="4" applyBorder="1" applyAlignment="1">
      <alignment horizontal="right"/>
    </xf>
    <xf numFmtId="168" fontId="11" fillId="0" borderId="10" xfId="4" applyNumberFormat="1" applyBorder="1"/>
    <xf numFmtId="0" fontId="9" fillId="11" borderId="1" xfId="4" applyFont="1" applyFill="1" applyBorder="1" applyAlignment="1">
      <alignment horizontal="center" vertical="center"/>
    </xf>
    <xf numFmtId="0" fontId="12" fillId="11" borderId="0" xfId="4" applyFont="1" applyFill="1" applyAlignment="1">
      <alignment horizontal="center" vertical="center"/>
    </xf>
    <xf numFmtId="0" fontId="9" fillId="27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 vertical="center"/>
    </xf>
    <xf numFmtId="0" fontId="12" fillId="12" borderId="10" xfId="4" applyFont="1" applyFill="1" applyBorder="1" applyAlignment="1">
      <alignment horizontal="center" vertical="center"/>
    </xf>
    <xf numFmtId="0" fontId="9" fillId="27" borderId="8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6" borderId="1" xfId="4" applyFont="1" applyFill="1" applyBorder="1" applyAlignment="1">
      <alignment horizontal="right"/>
    </xf>
    <xf numFmtId="0" fontId="1" fillId="5" borderId="1" xfId="4" applyFont="1" applyFill="1" applyBorder="1" applyAlignment="1">
      <alignment horizontal="right"/>
    </xf>
    <xf numFmtId="0" fontId="1" fillId="6" borderId="10" xfId="4" applyFont="1" applyFill="1" applyBorder="1" applyAlignment="1">
      <alignment horizontal="right"/>
    </xf>
    <xf numFmtId="172" fontId="0" fillId="3" borderId="1" xfId="0" applyNumberFormat="1" applyFill="1" applyBorder="1" applyAlignment="1">
      <alignment horizontal="center"/>
    </xf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456102</xdr:colOff>
      <xdr:row>32</xdr:row>
      <xdr:rowOff>114482</xdr:rowOff>
    </xdr:from>
    <xdr:to>
      <xdr:col>19</xdr:col>
      <xdr:colOff>588962</xdr:colOff>
      <xdr:row>61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602" y="6448607"/>
          <a:ext cx="9300673" cy="5412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1008184</xdr:colOff>
      <xdr:row>0</xdr:row>
      <xdr:rowOff>234463</xdr:rowOff>
    </xdr:from>
    <xdr:to>
      <xdr:col>9</xdr:col>
      <xdr:colOff>559044</xdr:colOff>
      <xdr:row>12</xdr:row>
      <xdr:rowOff>30041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46" y="234463"/>
          <a:ext cx="3141052" cy="2213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1460792</xdr:colOff>
      <xdr:row>14</xdr:row>
      <xdr:rowOff>40297</xdr:rowOff>
    </xdr:from>
    <xdr:to>
      <xdr:col>3</xdr:col>
      <xdr:colOff>1003790</xdr:colOff>
      <xdr:row>35</xdr:row>
      <xdr:rowOff>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792" y="2597393"/>
          <a:ext cx="3587460" cy="4121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91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S99"/>
  <sheetViews>
    <sheetView zoomScale="150" zoomScaleNormal="15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58" sqref="E58"/>
    </sheetView>
  </sheetViews>
  <sheetFormatPr defaultColWidth="11" defaultRowHeight="15.75" x14ac:dyDescent="0.25"/>
  <cols>
    <col min="1" max="1" width="34.125" bestFit="1" customWidth="1"/>
    <col min="2" max="2" width="28" bestFit="1" customWidth="1"/>
    <col min="4" max="4" width="15.5" bestFit="1" customWidth="1"/>
    <col min="5" max="5" width="19.5" bestFit="1" customWidth="1"/>
    <col min="6" max="6" width="26.875" customWidth="1"/>
    <col min="7" max="7" width="17.625" customWidth="1"/>
    <col min="8" max="8" width="12.125" bestFit="1" customWidth="1"/>
  </cols>
  <sheetData>
    <row r="1" spans="1:19" x14ac:dyDescent="0.25">
      <c r="A1" t="s">
        <v>1991</v>
      </c>
      <c r="B1" t="s">
        <v>1992</v>
      </c>
      <c r="C1" t="s">
        <v>1993</v>
      </c>
      <c r="D1" t="s">
        <v>1994</v>
      </c>
      <c r="E1" s="262" t="s">
        <v>1995</v>
      </c>
      <c r="F1" s="262" t="s">
        <v>1996</v>
      </c>
      <c r="G1" s="262" t="s">
        <v>1997</v>
      </c>
      <c r="H1" s="262" t="s">
        <v>1998</v>
      </c>
      <c r="I1" s="262" t="s">
        <v>1999</v>
      </c>
      <c r="J1" s="262" t="s">
        <v>2000</v>
      </c>
      <c r="K1" s="262" t="s">
        <v>2001</v>
      </c>
      <c r="L1" s="262" t="s">
        <v>2002</v>
      </c>
      <c r="M1" s="262" t="s">
        <v>2003</v>
      </c>
      <c r="N1" s="262" t="s">
        <v>2004</v>
      </c>
      <c r="O1" s="262" t="s">
        <v>2005</v>
      </c>
      <c r="P1" s="262" t="s">
        <v>2006</v>
      </c>
      <c r="Q1" s="262" t="s">
        <v>2007</v>
      </c>
      <c r="R1" s="262" t="s">
        <v>2008</v>
      </c>
      <c r="S1" s="262" t="s">
        <v>2009</v>
      </c>
    </row>
    <row r="2" spans="1:19" x14ac:dyDescent="0.25">
      <c r="A2" s="62" t="s">
        <v>2010</v>
      </c>
      <c r="B2" t="s">
        <v>2011</v>
      </c>
      <c r="C2" t="s">
        <v>2012</v>
      </c>
      <c r="D2" t="s">
        <v>2013</v>
      </c>
      <c r="F2">
        <v>0</v>
      </c>
      <c r="G2" s="94">
        <v>1</v>
      </c>
      <c r="H2">
        <v>0</v>
      </c>
      <c r="I2">
        <v>0</v>
      </c>
    </row>
    <row r="3" spans="1:19" x14ac:dyDescent="0.25">
      <c r="A3" s="62" t="s">
        <v>2014</v>
      </c>
      <c r="B3" t="s">
        <v>2015</v>
      </c>
      <c r="C3" t="s">
        <v>2012</v>
      </c>
      <c r="D3" t="s">
        <v>2013</v>
      </c>
      <c r="F3">
        <v>0</v>
      </c>
      <c r="G3" s="94">
        <v>1</v>
      </c>
      <c r="H3">
        <v>0</v>
      </c>
      <c r="I3">
        <v>0</v>
      </c>
    </row>
    <row r="4" spans="1:19" x14ac:dyDescent="0.25">
      <c r="A4" s="62" t="s">
        <v>2016</v>
      </c>
      <c r="B4" t="s">
        <v>2017</v>
      </c>
      <c r="C4" t="s">
        <v>2012</v>
      </c>
      <c r="D4" t="s">
        <v>2018</v>
      </c>
      <c r="F4">
        <v>0</v>
      </c>
      <c r="G4" s="94">
        <v>1</v>
      </c>
      <c r="H4">
        <v>0</v>
      </c>
      <c r="I4">
        <v>0</v>
      </c>
    </row>
    <row r="5" spans="1:19" x14ac:dyDescent="0.25">
      <c r="A5" s="63" t="s">
        <v>2019</v>
      </c>
      <c r="B5" t="s">
        <v>2020</v>
      </c>
      <c r="C5" t="s">
        <v>2012</v>
      </c>
      <c r="D5" t="s">
        <v>2021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</row>
    <row r="6" spans="1:19" x14ac:dyDescent="0.25">
      <c r="A6" s="63" t="s">
        <v>2022</v>
      </c>
      <c r="B6" t="s">
        <v>2023</v>
      </c>
      <c r="C6" t="s">
        <v>2012</v>
      </c>
      <c r="D6" t="s">
        <v>2021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9" x14ac:dyDescent="0.25">
      <c r="A7" s="64" t="s">
        <v>2024</v>
      </c>
      <c r="B7" t="s">
        <v>2025</v>
      </c>
      <c r="C7" t="s">
        <v>2012</v>
      </c>
      <c r="D7" t="s">
        <v>2026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9" x14ac:dyDescent="0.25">
      <c r="A8" s="64" t="s">
        <v>2027</v>
      </c>
      <c r="B8" t="s">
        <v>2028</v>
      </c>
      <c r="C8" t="s">
        <v>2012</v>
      </c>
      <c r="D8" t="s">
        <v>2026</v>
      </c>
      <c r="G8">
        <v>3.31</v>
      </c>
      <c r="H8">
        <v>1200</v>
      </c>
    </row>
    <row r="9" spans="1:19" x14ac:dyDescent="0.25">
      <c r="A9" s="64" t="s">
        <v>2029</v>
      </c>
      <c r="B9" t="s">
        <v>2030</v>
      </c>
      <c r="C9" t="s">
        <v>2012</v>
      </c>
      <c r="D9" t="s">
        <v>2026</v>
      </c>
      <c r="F9">
        <v>38.700000000000003</v>
      </c>
      <c r="G9">
        <v>0.42</v>
      </c>
      <c r="H9">
        <v>3010.58</v>
      </c>
      <c r="I9">
        <v>2.7785600000000001</v>
      </c>
      <c r="J9">
        <v>1.9009999999999999E-2</v>
      </c>
      <c r="K9">
        <v>4.0345300000000002</v>
      </c>
      <c r="L9">
        <v>3.0000000000000001E-3</v>
      </c>
      <c r="M9" s="95">
        <v>3.9300000000000001E-8</v>
      </c>
      <c r="N9" s="95">
        <v>1.8799999999999999E-7</v>
      </c>
      <c r="O9" s="95">
        <v>7.8000000000000005E-7</v>
      </c>
      <c r="P9">
        <v>7.8869999999999996E-2</v>
      </c>
      <c r="Q9" s="95">
        <v>6.55</v>
      </c>
      <c r="R9">
        <v>2.7899999999999999E-3</v>
      </c>
      <c r="S9" t="s">
        <v>2031</v>
      </c>
    </row>
    <row r="10" spans="1:19" x14ac:dyDescent="0.25">
      <c r="A10" s="64" t="s">
        <v>2032</v>
      </c>
      <c r="B10" t="s">
        <v>2033</v>
      </c>
      <c r="C10" t="s">
        <v>2012</v>
      </c>
      <c r="D10" t="s">
        <v>2026</v>
      </c>
      <c r="F10">
        <v>0</v>
      </c>
      <c r="G10">
        <v>0</v>
      </c>
      <c r="H10">
        <v>-1000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</row>
    <row r="11" spans="1:19" ht="16.5" customHeight="1" x14ac:dyDescent="0.25">
      <c r="A11" s="64" t="s">
        <v>2034</v>
      </c>
      <c r="B11" t="s">
        <v>2035</v>
      </c>
      <c r="C11" t="s">
        <v>2012</v>
      </c>
      <c r="D11" t="s">
        <v>2026</v>
      </c>
      <c r="F11">
        <v>8.93</v>
      </c>
      <c r="G11">
        <v>0.13200000000000001</v>
      </c>
      <c r="H11">
        <v>1610</v>
      </c>
      <c r="I11">
        <v>3.6579999999999998E-3</v>
      </c>
    </row>
    <row r="12" spans="1:19" ht="16.5" customHeight="1" x14ac:dyDescent="0.25">
      <c r="A12" s="64" t="s">
        <v>2036</v>
      </c>
      <c r="B12" t="s">
        <v>2037</v>
      </c>
      <c r="C12" t="s">
        <v>2012</v>
      </c>
      <c r="D12" t="s">
        <v>2026</v>
      </c>
      <c r="F12">
        <v>0</v>
      </c>
      <c r="G12">
        <v>0.14000000000000001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4" t="s">
        <v>2038</v>
      </c>
      <c r="B13" t="s">
        <v>2039</v>
      </c>
      <c r="C13" t="s">
        <v>2012</v>
      </c>
      <c r="D13" t="s">
        <v>2026</v>
      </c>
      <c r="F13">
        <v>40.9</v>
      </c>
      <c r="G13">
        <v>0.29399999999999998</v>
      </c>
      <c r="H13">
        <v>1508.13</v>
      </c>
      <c r="I13">
        <v>3.5615600000000001</v>
      </c>
      <c r="J13">
        <v>9.1999999999999998E-3</v>
      </c>
      <c r="K13">
        <v>8.2615800000000004</v>
      </c>
      <c r="L13">
        <v>2.4330000000000001E-2</v>
      </c>
      <c r="M13" s="95">
        <v>5.7700000000000001E-8</v>
      </c>
      <c r="N13" s="95">
        <v>2.04E-7</v>
      </c>
      <c r="O13" s="95">
        <v>1.15E-7</v>
      </c>
      <c r="P13">
        <v>0.10793999999999999</v>
      </c>
      <c r="Q13" s="95">
        <v>1.03</v>
      </c>
      <c r="R13">
        <v>1.2600000000000001E-3</v>
      </c>
      <c r="S13" t="s">
        <v>2040</v>
      </c>
    </row>
    <row r="14" spans="1:19" x14ac:dyDescent="0.25">
      <c r="A14" s="64" t="s">
        <v>2041</v>
      </c>
      <c r="B14" t="s">
        <v>2042</v>
      </c>
      <c r="C14" t="s">
        <v>2012</v>
      </c>
      <c r="D14" t="s">
        <v>2026</v>
      </c>
      <c r="F14">
        <v>0</v>
      </c>
      <c r="G14">
        <v>8.2025000000000001E-2</v>
      </c>
      <c r="H14">
        <v>0</v>
      </c>
      <c r="I14">
        <v>0</v>
      </c>
      <c r="J14">
        <v>0</v>
      </c>
      <c r="K14">
        <v>0</v>
      </c>
      <c r="M14" s="95"/>
      <c r="N14" s="95"/>
      <c r="O14" s="95"/>
      <c r="Q14" s="95"/>
    </row>
    <row r="15" spans="1:19" x14ac:dyDescent="0.25">
      <c r="A15" s="64" t="s">
        <v>2043</v>
      </c>
      <c r="B15" t="s">
        <v>2044</v>
      </c>
      <c r="C15" t="s">
        <v>2012</v>
      </c>
      <c r="D15" t="s">
        <v>2026</v>
      </c>
      <c r="F15">
        <v>1.133E-2</v>
      </c>
      <c r="G15">
        <v>0</v>
      </c>
      <c r="H15">
        <v>8.2699999999999996E-3</v>
      </c>
      <c r="I15">
        <v>0</v>
      </c>
      <c r="J15">
        <v>8.4600000000000005E-3</v>
      </c>
      <c r="K15" s="95">
        <v>5.04E-6</v>
      </c>
      <c r="L15">
        <v>1.3999999999999999E-4</v>
      </c>
      <c r="M15" s="95">
        <v>3.1900000000000002E-14</v>
      </c>
      <c r="N15" s="95">
        <v>3.2600000000000001E-15</v>
      </c>
      <c r="O15">
        <v>0</v>
      </c>
      <c r="P15">
        <v>7.3999999999999999E-4</v>
      </c>
      <c r="R15">
        <v>5.1000000000000004E-4</v>
      </c>
    </row>
    <row r="16" spans="1:19" x14ac:dyDescent="0.25">
      <c r="A16" s="64" t="s">
        <v>2045</v>
      </c>
      <c r="B16" t="s">
        <v>2046</v>
      </c>
      <c r="C16" t="s">
        <v>2012</v>
      </c>
      <c r="D16" t="s">
        <v>2026</v>
      </c>
      <c r="F16">
        <v>191</v>
      </c>
      <c r="G16">
        <v>2.75</v>
      </c>
      <c r="H16">
        <v>8357</v>
      </c>
      <c r="I16">
        <v>0.21734000000000001</v>
      </c>
    </row>
    <row r="17" spans="1:19" x14ac:dyDescent="0.25">
      <c r="A17" s="64" t="s">
        <v>2047</v>
      </c>
      <c r="B17" t="s">
        <v>2048</v>
      </c>
      <c r="C17" t="s">
        <v>2012</v>
      </c>
      <c r="D17" t="s">
        <v>2026</v>
      </c>
      <c r="F17">
        <v>134.19999999999999</v>
      </c>
      <c r="G17">
        <v>70</v>
      </c>
      <c r="H17">
        <v>9576</v>
      </c>
      <c r="I17">
        <v>0.28749999999999998</v>
      </c>
    </row>
    <row r="18" spans="1:19" x14ac:dyDescent="0.25">
      <c r="A18" s="64" t="s">
        <v>2049</v>
      </c>
      <c r="B18" t="s">
        <v>47</v>
      </c>
      <c r="C18" t="s">
        <v>2012</v>
      </c>
      <c r="D18" t="s">
        <v>2026</v>
      </c>
      <c r="F18">
        <v>0</v>
      </c>
      <c r="G18">
        <v>4.6076791999999998E-2</v>
      </c>
      <c r="H18">
        <v>0</v>
      </c>
      <c r="I18">
        <v>0</v>
      </c>
    </row>
    <row r="19" spans="1:19" x14ac:dyDescent="0.25">
      <c r="A19" s="64" t="s">
        <v>2050</v>
      </c>
      <c r="B19" t="s">
        <v>2051</v>
      </c>
      <c r="C19" t="s">
        <v>2012</v>
      </c>
      <c r="D19" t="s">
        <v>2052</v>
      </c>
      <c r="F19">
        <v>0.1</v>
      </c>
      <c r="G19">
        <v>0.06</v>
      </c>
      <c r="H19">
        <v>13</v>
      </c>
      <c r="I19">
        <v>0</v>
      </c>
    </row>
    <row r="20" spans="1:19" x14ac:dyDescent="0.25">
      <c r="A20" s="64" t="s">
        <v>2053</v>
      </c>
      <c r="B20" t="s">
        <v>2054</v>
      </c>
      <c r="C20" t="s">
        <v>2012</v>
      </c>
      <c r="D20" t="s">
        <v>2026</v>
      </c>
      <c r="F20">
        <v>134.19999999999999</v>
      </c>
      <c r="G20">
        <v>47.64</v>
      </c>
      <c r="H20">
        <v>9576</v>
      </c>
      <c r="I20">
        <v>0.28749999999999998</v>
      </c>
    </row>
    <row r="21" spans="1:19" x14ac:dyDescent="0.25">
      <c r="A21" s="64" t="s">
        <v>2055</v>
      </c>
      <c r="B21" t="s">
        <v>2056</v>
      </c>
      <c r="C21" t="s">
        <v>2012</v>
      </c>
      <c r="D21" t="s">
        <v>2026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</row>
    <row r="22" spans="1:19" x14ac:dyDescent="0.25">
      <c r="A22" s="64" t="s">
        <v>2057</v>
      </c>
      <c r="B22" t="s">
        <v>2058</v>
      </c>
      <c r="C22" t="s">
        <v>2012</v>
      </c>
      <c r="D22" t="s">
        <v>2026</v>
      </c>
      <c r="F22">
        <v>36.6</v>
      </c>
      <c r="G22">
        <v>0.66</v>
      </c>
      <c r="H22">
        <v>1448.71</v>
      </c>
      <c r="I22">
        <v>6.7860300000000002</v>
      </c>
      <c r="J22">
        <v>9.8600000000000007E-3</v>
      </c>
      <c r="K22">
        <v>9.9949200000000005</v>
      </c>
      <c r="L22">
        <v>1.9019999999999999E-2</v>
      </c>
      <c r="M22" s="95">
        <v>7.7900000000000003E-8</v>
      </c>
      <c r="N22" s="95">
        <v>3.9900000000000001E-7</v>
      </c>
      <c r="O22" s="95">
        <v>1.1600000000000001E-7</v>
      </c>
      <c r="P22">
        <v>8.165E-2</v>
      </c>
      <c r="Q22" s="95">
        <v>1.38</v>
      </c>
      <c r="R22">
        <v>1.41E-3</v>
      </c>
      <c r="S22" t="s">
        <v>2059</v>
      </c>
    </row>
    <row r="23" spans="1:19" x14ac:dyDescent="0.25">
      <c r="A23" s="263" t="s">
        <v>2060</v>
      </c>
      <c r="B23" s="264" t="s">
        <v>2061</v>
      </c>
      <c r="C23" s="264" t="s">
        <v>2012</v>
      </c>
      <c r="D23" s="264" t="s">
        <v>2026</v>
      </c>
      <c r="F23" s="264">
        <v>25.8</v>
      </c>
      <c r="G23" s="264">
        <v>13.21</v>
      </c>
      <c r="H23" s="264">
        <v>12155</v>
      </c>
      <c r="I23" s="264">
        <v>36.488979999999998</v>
      </c>
      <c r="J23" s="264">
        <v>5.6309999999999999E-2</v>
      </c>
      <c r="K23" s="264">
        <v>71.737920000000003</v>
      </c>
      <c r="L23" s="264">
        <v>0.12973000000000001</v>
      </c>
      <c r="M23" s="265">
        <v>6.92E-7</v>
      </c>
      <c r="N23" s="265">
        <v>2.7999999999999999E-6</v>
      </c>
      <c r="O23" s="265">
        <v>2.74E-6</v>
      </c>
      <c r="P23" s="264">
        <v>0.66893999999999998</v>
      </c>
      <c r="Q23" s="265">
        <v>13.8</v>
      </c>
      <c r="R23" s="264">
        <v>1.3599999999999999E-2</v>
      </c>
    </row>
    <row r="24" spans="1:19" x14ac:dyDescent="0.25">
      <c r="A24" s="64" t="s">
        <v>2062</v>
      </c>
      <c r="B24" t="s">
        <v>2063</v>
      </c>
      <c r="C24" t="s">
        <v>2012</v>
      </c>
      <c r="D24" t="s">
        <v>2026</v>
      </c>
      <c r="F24">
        <v>34.4</v>
      </c>
      <c r="G24">
        <v>22</v>
      </c>
      <c r="H24">
        <v>1793.01</v>
      </c>
      <c r="I24">
        <v>3.2824300000000002</v>
      </c>
      <c r="J24">
        <v>4.8919999999999998E-2</v>
      </c>
      <c r="K24">
        <v>3.87852</v>
      </c>
      <c r="L24">
        <v>2.581E-2</v>
      </c>
      <c r="M24" s="95">
        <v>5.7399999999999998E-8</v>
      </c>
      <c r="N24" s="95">
        <v>1.74E-7</v>
      </c>
      <c r="O24" s="95">
        <v>1.18E-7</v>
      </c>
      <c r="P24" s="95">
        <v>0.157</v>
      </c>
      <c r="Q24" s="95">
        <v>1.08</v>
      </c>
      <c r="R24" s="95">
        <v>2.7499999999999998E-3</v>
      </c>
      <c r="S24" t="s">
        <v>2064</v>
      </c>
    </row>
    <row r="25" spans="1:19" x14ac:dyDescent="0.25">
      <c r="A25" s="64" t="s">
        <v>2065</v>
      </c>
      <c r="B25" t="s">
        <v>2066</v>
      </c>
      <c r="C25" t="s">
        <v>2012</v>
      </c>
      <c r="D25" t="s">
        <v>2026</v>
      </c>
      <c r="F25">
        <v>25.8</v>
      </c>
      <c r="G25">
        <v>13.210039630000001</v>
      </c>
      <c r="H25">
        <v>8777.34</v>
      </c>
      <c r="I25">
        <v>36.488979999999998</v>
      </c>
      <c r="J25">
        <v>3.6990000000000002E-2</v>
      </c>
      <c r="K25">
        <v>42.392319999999998</v>
      </c>
      <c r="L25">
        <v>3.3360000000000001E-2</v>
      </c>
      <c r="M25" s="95">
        <v>4.5299999999999999E-7</v>
      </c>
      <c r="N25" s="95">
        <v>1.9800000000000001E-6</v>
      </c>
      <c r="O25" s="95">
        <v>1.9E-6</v>
      </c>
      <c r="P25">
        <v>0.43975999999999998</v>
      </c>
      <c r="Q25" s="95">
        <v>14.1</v>
      </c>
      <c r="R25">
        <v>7.4900000000000001E-3</v>
      </c>
      <c r="S25" t="s">
        <v>2067</v>
      </c>
    </row>
    <row r="26" spans="1:19" x14ac:dyDescent="0.25">
      <c r="A26" s="64" t="s">
        <v>2068</v>
      </c>
      <c r="B26" t="s">
        <v>2069</v>
      </c>
      <c r="C26" t="s">
        <v>2012</v>
      </c>
      <c r="D26" t="s">
        <v>2026</v>
      </c>
      <c r="F26">
        <v>78.099999999999994</v>
      </c>
      <c r="G26">
        <v>0.91200000000000003</v>
      </c>
      <c r="H26">
        <v>961.05</v>
      </c>
      <c r="I26">
        <v>2.3998499999999998</v>
      </c>
      <c r="J26">
        <v>6.11E-3</v>
      </c>
      <c r="K26">
        <v>6.4685899999999998</v>
      </c>
      <c r="L26">
        <v>5.8999999999999999E-3</v>
      </c>
      <c r="M26" s="95">
        <v>5.0600000000000003E-8</v>
      </c>
      <c r="N26" s="95">
        <v>2.91E-7</v>
      </c>
      <c r="O26" s="95">
        <v>7.0900000000000001E-7</v>
      </c>
      <c r="P26" s="95">
        <v>5.8700000000000002E-2</v>
      </c>
      <c r="Q26" s="95">
        <v>6.04</v>
      </c>
      <c r="R26" s="95">
        <v>7.5000000000000002E-4</v>
      </c>
      <c r="S26" t="s">
        <v>2070</v>
      </c>
    </row>
    <row r="27" spans="1:19" x14ac:dyDescent="0.25">
      <c r="A27" s="64" t="s">
        <v>2071</v>
      </c>
      <c r="B27" t="s">
        <v>2072</v>
      </c>
      <c r="C27" t="s">
        <v>2012</v>
      </c>
      <c r="D27" t="s">
        <v>2026</v>
      </c>
      <c r="F27">
        <v>25.8</v>
      </c>
      <c r="G27">
        <v>26.420079260000001</v>
      </c>
      <c r="H27">
        <v>1863</v>
      </c>
      <c r="I27">
        <v>9.2817999999999998E-3</v>
      </c>
    </row>
    <row r="28" spans="1:19" x14ac:dyDescent="0.25">
      <c r="A28" s="64" t="s">
        <v>2073</v>
      </c>
      <c r="B28" t="s">
        <v>2074</v>
      </c>
      <c r="C28" t="s">
        <v>2012</v>
      </c>
      <c r="D28" t="s">
        <v>2026</v>
      </c>
      <c r="F28">
        <v>16.5</v>
      </c>
      <c r="G28">
        <v>0.04</v>
      </c>
      <c r="H28">
        <v>41.75</v>
      </c>
      <c r="I28">
        <v>0.85246</v>
      </c>
      <c r="J28">
        <v>2.3000000000000001E-4</v>
      </c>
      <c r="K28">
        <v>0.10231</v>
      </c>
      <c r="L28" s="95">
        <v>9.2800000000000006E-5</v>
      </c>
      <c r="M28" s="95">
        <v>1.9000000000000001E-9</v>
      </c>
      <c r="N28" s="95">
        <v>4.3999999999999997E-9</v>
      </c>
      <c r="O28" s="95">
        <v>3.58E-9</v>
      </c>
      <c r="P28">
        <v>3.13E-3</v>
      </c>
      <c r="Q28" s="95">
        <v>4.3499999999999997E-2</v>
      </c>
      <c r="R28" s="95">
        <v>4.3900000000000003E-5</v>
      </c>
      <c r="S28" t="s">
        <v>2075</v>
      </c>
    </row>
    <row r="29" spans="1:19" x14ac:dyDescent="0.25">
      <c r="A29" s="64" t="s">
        <v>2076</v>
      </c>
      <c r="B29" t="s">
        <v>2077</v>
      </c>
      <c r="C29" t="s">
        <v>2012</v>
      </c>
      <c r="D29" t="s">
        <v>2026</v>
      </c>
      <c r="F29">
        <v>0</v>
      </c>
      <c r="G29">
        <v>0</v>
      </c>
      <c r="H29">
        <v>906.23</v>
      </c>
      <c r="I29">
        <v>2.2619899999999999</v>
      </c>
      <c r="J29">
        <v>1.0399999999999999E-3</v>
      </c>
      <c r="K29">
        <v>0.19846</v>
      </c>
      <c r="L29">
        <v>2.7999999999999998E-4</v>
      </c>
      <c r="M29" s="95">
        <v>3.5100000000000001E-9</v>
      </c>
      <c r="N29" s="95">
        <v>8.5199999999999995E-9</v>
      </c>
      <c r="O29" s="95">
        <v>6.6899999999999997E-8</v>
      </c>
      <c r="P29" s="95">
        <v>1.37E-2</v>
      </c>
      <c r="Q29" s="95">
        <v>0.56200000000000006</v>
      </c>
      <c r="R29" s="95">
        <v>1.2999999999999999E-4</v>
      </c>
      <c r="S29" t="s">
        <v>2078</v>
      </c>
    </row>
    <row r="30" spans="1:19" x14ac:dyDescent="0.25">
      <c r="A30" s="64" t="s">
        <v>2079</v>
      </c>
      <c r="B30" t="s">
        <v>2080</v>
      </c>
      <c r="C30" t="s">
        <v>2012</v>
      </c>
      <c r="D30" t="s">
        <v>2026</v>
      </c>
      <c r="F30">
        <v>0</v>
      </c>
      <c r="G30">
        <v>0.34</v>
      </c>
      <c r="H30">
        <v>11.4276</v>
      </c>
      <c r="I30">
        <v>0</v>
      </c>
      <c r="J30">
        <v>1.98E-3</v>
      </c>
      <c r="K30">
        <v>2.5272899999999998</v>
      </c>
      <c r="L30">
        <v>9.6000000000000002E-4</v>
      </c>
      <c r="M30" s="95">
        <v>1.51E-8</v>
      </c>
      <c r="N30" s="95">
        <v>1.1300000000000001E-7</v>
      </c>
      <c r="O30" s="95">
        <v>2.36E-7</v>
      </c>
      <c r="P30">
        <v>2.3879999999999998E-2</v>
      </c>
      <c r="R30">
        <v>2.2000000000000001E-4</v>
      </c>
    </row>
    <row r="31" spans="1:19" x14ac:dyDescent="0.25">
      <c r="A31" s="64" t="s">
        <v>2081</v>
      </c>
      <c r="B31" t="s">
        <v>67</v>
      </c>
      <c r="C31" t="s">
        <v>2012</v>
      </c>
      <c r="D31" t="s">
        <v>2026</v>
      </c>
      <c r="F31">
        <v>0</v>
      </c>
      <c r="G31">
        <v>0</v>
      </c>
      <c r="H31">
        <v>0</v>
      </c>
      <c r="I31">
        <v>0</v>
      </c>
    </row>
    <row r="32" spans="1:19" x14ac:dyDescent="0.25">
      <c r="A32" s="64" t="s">
        <v>2082</v>
      </c>
      <c r="B32" t="s">
        <v>2083</v>
      </c>
      <c r="C32" t="s">
        <v>2012</v>
      </c>
      <c r="D32" t="s">
        <v>2026</v>
      </c>
      <c r="F32">
        <v>59.3</v>
      </c>
      <c r="G32">
        <v>0.56759999999999999</v>
      </c>
      <c r="H32">
        <v>3344.62</v>
      </c>
      <c r="I32">
        <v>5.8583800000000004</v>
      </c>
      <c r="J32">
        <v>2.4340000000000001E-2</v>
      </c>
      <c r="K32">
        <v>20.522670000000002</v>
      </c>
      <c r="L32">
        <v>1.1560000000000001E-2</v>
      </c>
      <c r="M32" s="95">
        <v>1.3E-7</v>
      </c>
      <c r="N32" s="95">
        <v>9.7999999999999993E-7</v>
      </c>
      <c r="O32" s="95">
        <v>5.75E-7</v>
      </c>
      <c r="P32">
        <v>0.25003999999999998</v>
      </c>
      <c r="Q32" s="95">
        <v>7.14</v>
      </c>
      <c r="R32">
        <v>3.15E-3</v>
      </c>
      <c r="S32" t="s">
        <v>2084</v>
      </c>
    </row>
    <row r="33" spans="1:19" x14ac:dyDescent="0.25">
      <c r="A33" s="64" t="s">
        <v>2085</v>
      </c>
      <c r="B33" t="s">
        <v>2086</v>
      </c>
      <c r="C33" t="s">
        <v>2012</v>
      </c>
      <c r="D33" t="s">
        <v>2026</v>
      </c>
      <c r="F33">
        <v>0</v>
      </c>
      <c r="G33">
        <v>0</v>
      </c>
      <c r="H33">
        <v>2811.39</v>
      </c>
      <c r="I33">
        <v>0</v>
      </c>
      <c r="J33">
        <v>4.8009999999999997E-2</v>
      </c>
      <c r="K33">
        <v>39.138010000000001</v>
      </c>
      <c r="L33">
        <v>1.6670000000000001E-2</v>
      </c>
      <c r="M33" s="95">
        <v>2.0599999999999999E-7</v>
      </c>
      <c r="N33" s="95">
        <v>1.9599999999999999E-6</v>
      </c>
      <c r="O33" s="95">
        <v>4.7899999999999999E-7</v>
      </c>
      <c r="P33" s="95">
        <v>0.26500000000000001</v>
      </c>
      <c r="Q33" s="95">
        <v>7.01</v>
      </c>
      <c r="R33" s="95">
        <v>6.0800000000000003E-3</v>
      </c>
      <c r="S33" t="s">
        <v>2087</v>
      </c>
    </row>
    <row r="34" spans="1:19" x14ac:dyDescent="0.25">
      <c r="A34" s="64" t="s">
        <v>2088</v>
      </c>
      <c r="B34" t="s">
        <v>2089</v>
      </c>
      <c r="C34" t="s">
        <v>2012</v>
      </c>
      <c r="D34" t="s">
        <v>2026</v>
      </c>
      <c r="F34">
        <v>96.88064516</v>
      </c>
      <c r="G34">
        <v>0.66236128999999999</v>
      </c>
      <c r="H34">
        <v>1935.61</v>
      </c>
      <c r="I34">
        <v>10.43909</v>
      </c>
      <c r="J34">
        <v>2.094E-2</v>
      </c>
      <c r="K34">
        <v>22.143049999999999</v>
      </c>
      <c r="L34">
        <v>2.7480000000000001E-2</v>
      </c>
      <c r="M34" s="95">
        <v>1.4100000000000001E-7</v>
      </c>
      <c r="N34" s="95">
        <v>1.1799999999999999E-6</v>
      </c>
      <c r="O34" s="95">
        <v>2.2999999999999999E-7</v>
      </c>
      <c r="P34">
        <v>0.14609</v>
      </c>
      <c r="Q34" s="95">
        <v>3.17</v>
      </c>
      <c r="R34">
        <v>3.5899999999999999E-3</v>
      </c>
      <c r="S34" t="s">
        <v>2090</v>
      </c>
    </row>
    <row r="35" spans="1:19" x14ac:dyDescent="0.25">
      <c r="A35" s="64" t="s">
        <v>2091</v>
      </c>
      <c r="B35" t="s">
        <v>2092</v>
      </c>
      <c r="C35" t="s">
        <v>2012</v>
      </c>
      <c r="D35" t="s">
        <v>2026</v>
      </c>
      <c r="F35">
        <v>79.5</v>
      </c>
      <c r="G35">
        <v>8.6761290320000004</v>
      </c>
      <c r="H35">
        <v>703.58</v>
      </c>
      <c r="I35">
        <v>4.5171999999999999</v>
      </c>
      <c r="J35">
        <v>3.0300000000000001E-3</v>
      </c>
      <c r="K35">
        <v>2.2492700000000001</v>
      </c>
      <c r="L35">
        <v>2.3500000000000001E-3</v>
      </c>
      <c r="M35" s="95">
        <v>3.47E-8</v>
      </c>
      <c r="N35" s="95">
        <v>9.9400000000000003E-8</v>
      </c>
      <c r="O35" s="95">
        <v>3.6699999999999998E-8</v>
      </c>
      <c r="P35" s="95">
        <v>3.3599999999999998E-2</v>
      </c>
      <c r="Q35" s="95">
        <v>0.51400000000000001</v>
      </c>
      <c r="R35" s="95">
        <v>9.1E-4</v>
      </c>
      <c r="S35" t="s">
        <v>2093</v>
      </c>
    </row>
    <row r="36" spans="1:19" x14ac:dyDescent="0.25">
      <c r="A36" s="64" t="s">
        <v>2094</v>
      </c>
      <c r="B36" t="s">
        <v>2095</v>
      </c>
      <c r="C36" t="s">
        <v>2012</v>
      </c>
      <c r="D36" t="s">
        <v>2026</v>
      </c>
      <c r="F36">
        <v>26.151282049999999</v>
      </c>
      <c r="G36">
        <v>0.27187692299999999</v>
      </c>
      <c r="H36">
        <v>3237.99</v>
      </c>
      <c r="I36">
        <v>2.6927300000000001</v>
      </c>
      <c r="J36">
        <v>1.3259999999999999E-2</v>
      </c>
      <c r="K36">
        <v>12.09928</v>
      </c>
      <c r="L36">
        <v>6.7099999999999998E-3</v>
      </c>
      <c r="M36" s="95">
        <v>7.6199999999999994E-8</v>
      </c>
      <c r="N36" s="95">
        <v>5.7899999999999998E-7</v>
      </c>
      <c r="O36" s="95">
        <v>1.99E-7</v>
      </c>
      <c r="P36">
        <v>0.15906000000000001</v>
      </c>
      <c r="Q36" s="95">
        <v>2.5</v>
      </c>
      <c r="R36">
        <v>1.0300000000000001E-3</v>
      </c>
      <c r="S36" t="s">
        <v>2096</v>
      </c>
    </row>
    <row r="37" spans="1:19" x14ac:dyDescent="0.25">
      <c r="A37" s="64" t="s">
        <v>2097</v>
      </c>
      <c r="B37" t="s">
        <v>2098</v>
      </c>
      <c r="C37" t="s">
        <v>2012</v>
      </c>
      <c r="D37" t="s">
        <v>2026</v>
      </c>
      <c r="F37">
        <v>20.8</v>
      </c>
      <c r="G37">
        <v>0.45119999999999999</v>
      </c>
      <c r="H37">
        <v>1275</v>
      </c>
      <c r="I37">
        <v>5.1333999999999998E-3</v>
      </c>
      <c r="J37">
        <v>6.7600000000000004E-3</v>
      </c>
      <c r="K37">
        <v>7.3634199999999996</v>
      </c>
      <c r="L37">
        <v>5.7499999999999999E-3</v>
      </c>
      <c r="M37" s="95">
        <v>8.7600000000000004E-8</v>
      </c>
      <c r="N37" s="95">
        <v>3.4700000000000002E-7</v>
      </c>
      <c r="O37" s="95">
        <v>7.5700000000000002E-7</v>
      </c>
      <c r="P37">
        <v>7.6539999999999997E-2</v>
      </c>
      <c r="R37">
        <v>1.8E-3</v>
      </c>
    </row>
    <row r="38" spans="1:19" x14ac:dyDescent="0.25">
      <c r="A38" s="64" t="s">
        <v>2099</v>
      </c>
      <c r="B38" t="s">
        <v>2100</v>
      </c>
      <c r="C38" t="s">
        <v>2012</v>
      </c>
      <c r="D38" t="s">
        <v>2026</v>
      </c>
      <c r="F38">
        <v>52.8</v>
      </c>
      <c r="G38">
        <v>0.31559999999999999</v>
      </c>
      <c r="H38">
        <v>3810.6</v>
      </c>
      <c r="I38">
        <v>0.92410000000000003</v>
      </c>
      <c r="J38">
        <v>3.7299999999999998E-3</v>
      </c>
      <c r="K38">
        <v>16.430499999999999</v>
      </c>
      <c r="L38">
        <v>1.0330000000000001E-2</v>
      </c>
      <c r="M38" s="95">
        <v>1.7100000000000001E-8</v>
      </c>
      <c r="N38" s="95">
        <v>7.2499999999999994E-8</v>
      </c>
      <c r="O38" s="95">
        <v>7.2699999999999996E-8</v>
      </c>
      <c r="P38" s="95">
        <v>8.3000000000000004E-2</v>
      </c>
      <c r="Q38" s="95">
        <v>0.38100000000000001</v>
      </c>
      <c r="R38">
        <v>2.99E-3</v>
      </c>
      <c r="S38" t="s">
        <v>2101</v>
      </c>
    </row>
    <row r="39" spans="1:19" x14ac:dyDescent="0.25">
      <c r="A39" s="64" t="s">
        <v>2102</v>
      </c>
      <c r="B39" t="s">
        <v>2103</v>
      </c>
      <c r="C39" t="s">
        <v>2012</v>
      </c>
      <c r="D39" t="s">
        <v>2026</v>
      </c>
      <c r="F39">
        <v>4.3</v>
      </c>
      <c r="G39">
        <v>1.7000000000000001E-2</v>
      </c>
      <c r="H39">
        <v>341.9</v>
      </c>
      <c r="I39">
        <v>0.23386999999999999</v>
      </c>
      <c r="J39">
        <v>1.14E-3</v>
      </c>
      <c r="K39">
        <v>0.33034999999999998</v>
      </c>
      <c r="L39">
        <v>3.6999999999999999E-4</v>
      </c>
      <c r="M39" s="95">
        <v>5.6500000000000001E-9</v>
      </c>
      <c r="N39" s="95">
        <v>1.4500000000000001E-8</v>
      </c>
      <c r="O39" s="95">
        <v>3.8199999999999998E-8</v>
      </c>
      <c r="P39">
        <v>1.0189999999999999E-2</v>
      </c>
      <c r="Q39" s="95">
        <v>0.499</v>
      </c>
      <c r="R39">
        <v>1.2E-4</v>
      </c>
      <c r="S39" t="s">
        <v>2104</v>
      </c>
    </row>
    <row r="40" spans="1:19" x14ac:dyDescent="0.25">
      <c r="A40" s="64" t="s">
        <v>2105</v>
      </c>
      <c r="B40" t="s">
        <v>2106</v>
      </c>
      <c r="C40" t="s">
        <v>2012</v>
      </c>
      <c r="D40" t="s">
        <v>2026</v>
      </c>
      <c r="F40">
        <v>7.2</v>
      </c>
      <c r="G40">
        <v>0.11</v>
      </c>
      <c r="H40">
        <v>109.71</v>
      </c>
      <c r="I40">
        <v>0.60131000000000001</v>
      </c>
      <c r="J40">
        <v>7.1000000000000004E-3</v>
      </c>
      <c r="K40">
        <v>2.01356</v>
      </c>
      <c r="L40">
        <v>6.9999999999999999E-4</v>
      </c>
      <c r="M40" s="95">
        <v>1.29E-8</v>
      </c>
      <c r="N40" s="95">
        <v>9.4500000000000006E-8</v>
      </c>
      <c r="O40" s="95">
        <v>4.6800000000000002E-8</v>
      </c>
      <c r="P40">
        <v>1.8880000000000001E-2</v>
      </c>
      <c r="Q40" s="95">
        <v>0.90500000000000003</v>
      </c>
      <c r="R40">
        <v>4.8999999999999998E-4</v>
      </c>
      <c r="S40" t="s">
        <v>2107</v>
      </c>
    </row>
    <row r="41" spans="1:19" x14ac:dyDescent="0.25">
      <c r="A41" s="64" t="s">
        <v>2108</v>
      </c>
      <c r="B41" t="s">
        <v>2109</v>
      </c>
      <c r="C41" t="s">
        <v>2012</v>
      </c>
      <c r="D41" t="s">
        <v>2026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95">
        <v>0</v>
      </c>
      <c r="N41" s="95">
        <v>0</v>
      </c>
      <c r="O41">
        <v>0</v>
      </c>
      <c r="P41">
        <v>0</v>
      </c>
      <c r="Q41">
        <v>0</v>
      </c>
      <c r="R41">
        <v>0</v>
      </c>
    </row>
    <row r="42" spans="1:19" x14ac:dyDescent="0.25">
      <c r="A42" s="64" t="s">
        <v>2110</v>
      </c>
      <c r="B42" t="s">
        <v>2111</v>
      </c>
      <c r="C42" t="s">
        <v>2012</v>
      </c>
      <c r="D42" t="s">
        <v>2026</v>
      </c>
      <c r="F42">
        <v>7.7999999999999999E-5</v>
      </c>
      <c r="G42">
        <v>5.5199999999999997E-4</v>
      </c>
      <c r="H42">
        <v>7.6379000000000004E-3</v>
      </c>
      <c r="I42">
        <v>1.0300000000000001E-3</v>
      </c>
      <c r="J42" s="95">
        <v>3.3400000000000002E-6</v>
      </c>
      <c r="K42">
        <v>2.3500000000000001E-3</v>
      </c>
      <c r="L42" s="95">
        <v>2.6400000000000001E-6</v>
      </c>
      <c r="M42" s="95">
        <v>4.1000000000000001E-11</v>
      </c>
      <c r="N42" s="95">
        <v>1.1100000000000001E-11</v>
      </c>
      <c r="O42" s="95">
        <v>4.3E-11</v>
      </c>
      <c r="P42" s="95">
        <v>3.7799999999999997E-5</v>
      </c>
      <c r="R42" s="95">
        <v>1.0899999999999999E-6</v>
      </c>
    </row>
    <row r="43" spans="1:19" x14ac:dyDescent="0.25">
      <c r="A43" s="64" t="s">
        <v>2112</v>
      </c>
      <c r="B43" t="s">
        <v>2113</v>
      </c>
      <c r="C43" t="s">
        <v>2012</v>
      </c>
      <c r="D43" t="s">
        <v>2114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0</v>
      </c>
    </row>
    <row r="44" spans="1:19" x14ac:dyDescent="0.25">
      <c r="A44" s="64" t="s">
        <v>2115</v>
      </c>
      <c r="B44" t="s">
        <v>2116</v>
      </c>
      <c r="C44" t="s">
        <v>2012</v>
      </c>
      <c r="D44" t="s">
        <v>2114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0</v>
      </c>
    </row>
    <row r="45" spans="1:19" x14ac:dyDescent="0.25">
      <c r="A45" s="64" t="s">
        <v>2117</v>
      </c>
      <c r="B45" t="s">
        <v>2118</v>
      </c>
      <c r="C45" t="s">
        <v>2012</v>
      </c>
      <c r="D45" t="s">
        <v>2026</v>
      </c>
      <c r="F45">
        <v>0</v>
      </c>
      <c r="G45">
        <v>0.7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9" x14ac:dyDescent="0.25">
      <c r="A46" s="64" t="s">
        <v>2119</v>
      </c>
      <c r="B46" t="s">
        <v>2120</v>
      </c>
      <c r="C46" t="s">
        <v>2012</v>
      </c>
      <c r="D46" t="s">
        <v>2026</v>
      </c>
      <c r="F46">
        <v>0</v>
      </c>
      <c r="G46">
        <v>0.57199999999999995</v>
      </c>
      <c r="H46">
        <v>0</v>
      </c>
      <c r="I46">
        <v>0</v>
      </c>
    </row>
    <row r="47" spans="1:19" x14ac:dyDescent="0.25">
      <c r="A47" s="64" t="s">
        <v>2121</v>
      </c>
      <c r="B47" t="s">
        <v>2122</v>
      </c>
      <c r="C47" t="s">
        <v>2012</v>
      </c>
      <c r="D47" t="s">
        <v>2026</v>
      </c>
      <c r="F47">
        <v>25.8</v>
      </c>
      <c r="G47">
        <v>5.5</v>
      </c>
      <c r="H47">
        <v>4306.59</v>
      </c>
      <c r="I47">
        <v>4.8228</v>
      </c>
      <c r="J47">
        <v>1.729E-2</v>
      </c>
      <c r="K47">
        <v>10.9397</v>
      </c>
      <c r="L47">
        <v>1.9599999999999999E-2</v>
      </c>
      <c r="M47" s="95">
        <v>8.7600000000000004E-8</v>
      </c>
      <c r="N47" s="95">
        <v>3.0199999999999998E-7</v>
      </c>
      <c r="O47" s="95">
        <v>1.66E-7</v>
      </c>
      <c r="P47" s="95">
        <v>0.122</v>
      </c>
      <c r="Q47" s="95">
        <v>1.85</v>
      </c>
      <c r="R47" s="95">
        <v>2.2000000000000001E-3</v>
      </c>
      <c r="S47" t="s">
        <v>2123</v>
      </c>
    </row>
    <row r="48" spans="1:19" x14ac:dyDescent="0.25">
      <c r="A48" s="65" t="s">
        <v>2124</v>
      </c>
      <c r="B48" t="s">
        <v>2125</v>
      </c>
      <c r="C48" t="s">
        <v>2012</v>
      </c>
      <c r="D48" t="s">
        <v>2026</v>
      </c>
      <c r="E48">
        <v>42.975000000000001</v>
      </c>
      <c r="F48">
        <v>56.8</v>
      </c>
      <c r="G48">
        <v>0.48</v>
      </c>
      <c r="H48">
        <v>8235</v>
      </c>
      <c r="I48">
        <v>1.2398000000000001E-3</v>
      </c>
      <c r="J48">
        <v>3.6399159E-2</v>
      </c>
      <c r="K48">
        <v>22.883028970000002</v>
      </c>
      <c r="L48">
        <v>1.3683894E-2</v>
      </c>
      <c r="M48" s="95">
        <v>5.6599999999999996E-7</v>
      </c>
      <c r="N48" s="95">
        <v>9.7699999999999992E-7</v>
      </c>
      <c r="O48" s="95">
        <v>7.7100000000000001E-7</v>
      </c>
      <c r="P48">
        <v>0.74467752399999998</v>
      </c>
      <c r="R48">
        <v>7.1156250000000004E-3</v>
      </c>
    </row>
    <row r="49" spans="1:19" x14ac:dyDescent="0.25">
      <c r="A49" s="65" t="s">
        <v>2126</v>
      </c>
      <c r="B49" t="s">
        <v>2127</v>
      </c>
      <c r="C49" t="s">
        <v>2012</v>
      </c>
      <c r="D49" t="s">
        <v>2128</v>
      </c>
      <c r="E49">
        <v>1</v>
      </c>
      <c r="F49">
        <v>3.138888889</v>
      </c>
      <c r="G49">
        <v>1.8722222E-2</v>
      </c>
      <c r="H49">
        <v>214.47</v>
      </c>
      <c r="I49">
        <v>0.55903000000000003</v>
      </c>
      <c r="J49">
        <v>7.9000000000000001E-4</v>
      </c>
      <c r="K49">
        <v>1.6234900000000001</v>
      </c>
      <c r="L49">
        <v>2.2000000000000001E-3</v>
      </c>
      <c r="M49" s="95">
        <v>2.0100000000000001E-8</v>
      </c>
      <c r="N49" s="95">
        <v>6.5099999999999994E-8</v>
      </c>
      <c r="O49" s="95">
        <v>8.8100000000000008E-9</v>
      </c>
      <c r="P49">
        <v>6.9100000000000003E-3</v>
      </c>
      <c r="Q49" s="95">
        <v>4.6600000000000003E-2</v>
      </c>
      <c r="R49">
        <v>7.7999999999999999E-4</v>
      </c>
      <c r="S49" t="s">
        <v>2129</v>
      </c>
    </row>
    <row r="50" spans="1:19" x14ac:dyDescent="0.25">
      <c r="A50" s="65" t="s">
        <v>2130</v>
      </c>
      <c r="B50" s="94" t="s">
        <v>2131</v>
      </c>
      <c r="C50" t="s">
        <v>2012</v>
      </c>
      <c r="D50" t="s">
        <v>2128</v>
      </c>
      <c r="E50">
        <v>1</v>
      </c>
      <c r="F50">
        <v>0.34166666699999998</v>
      </c>
      <c r="G50">
        <v>2.9722222E-2</v>
      </c>
      <c r="H50">
        <v>20.277777780000001</v>
      </c>
      <c r="I50">
        <v>1.2944399999999999E-4</v>
      </c>
    </row>
    <row r="51" spans="1:19" x14ac:dyDescent="0.25">
      <c r="A51" s="65" t="s">
        <v>2132</v>
      </c>
      <c r="B51" t="s">
        <v>2133</v>
      </c>
      <c r="C51" t="s">
        <v>2012</v>
      </c>
      <c r="D51" t="s">
        <v>2026</v>
      </c>
      <c r="E51">
        <v>43.44</v>
      </c>
      <c r="F51">
        <v>56.8</v>
      </c>
      <c r="G51">
        <v>0.48</v>
      </c>
      <c r="H51">
        <v>8235</v>
      </c>
      <c r="I51">
        <v>1.2398000000000001E-3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</row>
    <row r="52" spans="1:19" x14ac:dyDescent="0.25">
      <c r="A52" s="266" t="s">
        <v>2134</v>
      </c>
      <c r="B52" s="264" t="s">
        <v>2135</v>
      </c>
      <c r="C52" s="264" t="s">
        <v>2012</v>
      </c>
      <c r="D52" s="264" t="s">
        <v>2128</v>
      </c>
      <c r="E52" s="264">
        <v>50</v>
      </c>
      <c r="F52" s="264">
        <v>0</v>
      </c>
      <c r="G52" s="264">
        <v>9.4786000000000002E-4</v>
      </c>
      <c r="H52" s="264">
        <v>68.87</v>
      </c>
      <c r="I52" s="264">
        <v>1.387E-2</v>
      </c>
      <c r="J52" s="264">
        <v>6.5099999999999997E-5</v>
      </c>
      <c r="K52" s="264">
        <v>2.4549999999999999E-2</v>
      </c>
      <c r="L52" s="264">
        <v>1.1399999999999999E-5</v>
      </c>
      <c r="M52" s="265">
        <v>3.2600000000000001E-10</v>
      </c>
      <c r="N52" s="265">
        <v>6.7800000000000004E-10</v>
      </c>
      <c r="O52" s="265">
        <v>7.4199999999999996E-9</v>
      </c>
      <c r="P52" s="264">
        <v>8.5999999999999998E-4</v>
      </c>
      <c r="Q52" s="264">
        <v>0.15462000000000001</v>
      </c>
      <c r="R52" s="264">
        <v>5.6500000000000001E-6</v>
      </c>
      <c r="S52" s="264" t="s">
        <v>2136</v>
      </c>
    </row>
    <row r="53" spans="1:19" x14ac:dyDescent="0.25">
      <c r="A53" s="65" t="s">
        <v>2137</v>
      </c>
      <c r="B53" t="s">
        <v>2138</v>
      </c>
      <c r="C53" t="s">
        <v>2012</v>
      </c>
      <c r="D53" t="s">
        <v>2026</v>
      </c>
      <c r="E53">
        <v>50</v>
      </c>
      <c r="G53">
        <f>G97</f>
        <v>0.64400000000000002</v>
      </c>
    </row>
    <row r="54" spans="1:19" x14ac:dyDescent="0.25">
      <c r="A54" s="65" t="s">
        <v>2139</v>
      </c>
      <c r="B54" t="s">
        <v>2140</v>
      </c>
      <c r="C54" t="s">
        <v>2012</v>
      </c>
      <c r="D54" t="s">
        <v>2128</v>
      </c>
      <c r="E54">
        <v>1</v>
      </c>
      <c r="F54">
        <v>1.3</v>
      </c>
      <c r="G54">
        <v>4.4928909999999997E-3</v>
      </c>
      <c r="H54">
        <v>70</v>
      </c>
      <c r="I54">
        <v>1.1600000000000001E-5</v>
      </c>
    </row>
    <row r="55" spans="1:19" x14ac:dyDescent="0.25">
      <c r="A55" s="65" t="s">
        <v>2141</v>
      </c>
      <c r="B55" t="s">
        <v>2142</v>
      </c>
      <c r="C55" t="s">
        <v>2012</v>
      </c>
      <c r="D55" t="s">
        <v>2026</v>
      </c>
      <c r="E55">
        <v>141</v>
      </c>
      <c r="F55">
        <v>79.8</v>
      </c>
      <c r="G55">
        <v>3.2160000000000002</v>
      </c>
      <c r="H55">
        <v>1940</v>
      </c>
      <c r="I55">
        <v>8.1269999999999995E-2</v>
      </c>
      <c r="J55">
        <v>3.5400000000000002E-3</v>
      </c>
      <c r="K55">
        <v>0.52520999999999995</v>
      </c>
      <c r="L55">
        <v>2.5000000000000001E-4</v>
      </c>
      <c r="M55" s="95">
        <v>2.8200000000000001E-8</v>
      </c>
      <c r="N55" s="95">
        <v>1.0999999999999999E-8</v>
      </c>
      <c r="O55" s="95">
        <v>4.19E-10</v>
      </c>
      <c r="P55" s="95">
        <v>5.2999999999999999E-2</v>
      </c>
      <c r="Q55" s="95">
        <v>9.48</v>
      </c>
      <c r="R55" s="95">
        <v>2.5000000000000001E-4</v>
      </c>
      <c r="S55" t="s">
        <v>2143</v>
      </c>
    </row>
    <row r="56" spans="1:19" x14ac:dyDescent="0.25">
      <c r="A56" s="65" t="s">
        <v>2144</v>
      </c>
      <c r="B56" t="s">
        <v>2145</v>
      </c>
      <c r="C56" t="s">
        <v>2012</v>
      </c>
      <c r="E56">
        <v>50</v>
      </c>
      <c r="G56">
        <v>0.25</v>
      </c>
    </row>
    <row r="57" spans="1:19" x14ac:dyDescent="0.25">
      <c r="A57" s="65" t="s">
        <v>2146</v>
      </c>
      <c r="B57" t="s">
        <v>2147</v>
      </c>
      <c r="C57" t="s">
        <v>2012</v>
      </c>
      <c r="E57">
        <v>50</v>
      </c>
    </row>
    <row r="58" spans="1:19" x14ac:dyDescent="0.25">
      <c r="A58" s="66" t="s">
        <v>2148</v>
      </c>
      <c r="B58" t="s">
        <v>2149</v>
      </c>
      <c r="C58" t="s">
        <v>2150</v>
      </c>
      <c r="D58" t="s">
        <v>2026</v>
      </c>
      <c r="F58">
        <v>0</v>
      </c>
      <c r="G58">
        <v>0</v>
      </c>
      <c r="H58" s="94">
        <v>36000</v>
      </c>
      <c r="I58">
        <v>0</v>
      </c>
    </row>
    <row r="59" spans="1:19" x14ac:dyDescent="0.25">
      <c r="A59" s="66" t="s">
        <v>2151</v>
      </c>
      <c r="B59" t="s">
        <v>2152</v>
      </c>
      <c r="C59" t="s">
        <v>2150</v>
      </c>
      <c r="D59" t="s">
        <v>2026</v>
      </c>
      <c r="F59">
        <v>0</v>
      </c>
      <c r="G59">
        <v>0</v>
      </c>
      <c r="H59" s="94">
        <v>1000</v>
      </c>
      <c r="I59">
        <v>0</v>
      </c>
    </row>
    <row r="60" spans="1:19" x14ac:dyDescent="0.25">
      <c r="A60" s="66" t="s">
        <v>2153</v>
      </c>
      <c r="B60" t="s">
        <v>2154</v>
      </c>
      <c r="C60" t="s">
        <v>2150</v>
      </c>
      <c r="D60" t="s">
        <v>2026</v>
      </c>
    </row>
    <row r="61" spans="1:19" x14ac:dyDescent="0.25">
      <c r="A61" s="66" t="s">
        <v>2155</v>
      </c>
      <c r="B61" t="s">
        <v>2156</v>
      </c>
      <c r="C61" t="s">
        <v>2150</v>
      </c>
      <c r="D61" t="s">
        <v>2026</v>
      </c>
      <c r="F61">
        <v>0</v>
      </c>
      <c r="G61">
        <v>0</v>
      </c>
      <c r="H61">
        <v>1000</v>
      </c>
      <c r="I61">
        <v>0</v>
      </c>
    </row>
    <row r="62" spans="1:19" x14ac:dyDescent="0.25">
      <c r="A62" s="66" t="s">
        <v>2157</v>
      </c>
      <c r="B62" t="s">
        <v>2158</v>
      </c>
      <c r="C62" t="s">
        <v>2150</v>
      </c>
      <c r="D62" t="s">
        <v>2026</v>
      </c>
      <c r="F62">
        <v>0</v>
      </c>
      <c r="G62">
        <v>0</v>
      </c>
      <c r="H62" s="94">
        <v>298000</v>
      </c>
      <c r="I62">
        <v>0</v>
      </c>
    </row>
    <row r="63" spans="1:19" x14ac:dyDescent="0.25">
      <c r="A63" s="66" t="s">
        <v>2159</v>
      </c>
      <c r="B63" t="s">
        <v>2160</v>
      </c>
      <c r="C63" t="s">
        <v>2150</v>
      </c>
      <c r="H63" s="94"/>
    </row>
    <row r="64" spans="1:19" x14ac:dyDescent="0.25">
      <c r="A64" s="67" t="s">
        <v>2161</v>
      </c>
      <c r="B64" t="s">
        <v>2162</v>
      </c>
      <c r="C64" t="s">
        <v>2150</v>
      </c>
      <c r="D64" t="s">
        <v>2026</v>
      </c>
      <c r="H64" s="94"/>
    </row>
    <row r="65" spans="1:9" x14ac:dyDescent="0.25">
      <c r="A65" s="67" t="s">
        <v>2163</v>
      </c>
      <c r="B65" t="s">
        <v>2164</v>
      </c>
      <c r="C65" t="s">
        <v>2150</v>
      </c>
      <c r="D65" t="s">
        <v>2026</v>
      </c>
      <c r="E65" s="94">
        <v>20</v>
      </c>
      <c r="F65">
        <v>19.899999999999999</v>
      </c>
      <c r="G65">
        <v>0.35</v>
      </c>
      <c r="H65" s="94">
        <v>-2000</v>
      </c>
      <c r="I65">
        <v>0</v>
      </c>
    </row>
    <row r="66" spans="1:9" x14ac:dyDescent="0.25">
      <c r="A66" s="67" t="s">
        <v>2165</v>
      </c>
      <c r="B66" t="s">
        <v>2166</v>
      </c>
      <c r="C66" t="s">
        <v>2150</v>
      </c>
      <c r="E66" s="94"/>
      <c r="H66" s="94"/>
    </row>
    <row r="67" spans="1:9" x14ac:dyDescent="0.25">
      <c r="A67" s="267" t="s">
        <v>2167</v>
      </c>
      <c r="B67" s="264" t="s">
        <v>2168</v>
      </c>
      <c r="C67" s="264" t="s">
        <v>2150</v>
      </c>
      <c r="D67" s="264" t="s">
        <v>2026</v>
      </c>
      <c r="E67" s="94"/>
      <c r="H67" s="94"/>
    </row>
    <row r="68" spans="1:9" x14ac:dyDescent="0.25">
      <c r="A68" s="67" t="s">
        <v>2169</v>
      </c>
      <c r="B68" t="s">
        <v>2170</v>
      </c>
      <c r="C68" t="s">
        <v>2150</v>
      </c>
      <c r="D68" t="s">
        <v>2026</v>
      </c>
      <c r="E68" s="94"/>
      <c r="F68">
        <v>0</v>
      </c>
      <c r="G68">
        <v>0</v>
      </c>
      <c r="H68" s="94">
        <v>1000</v>
      </c>
      <c r="I68">
        <v>0</v>
      </c>
    </row>
    <row r="69" spans="1:9" x14ac:dyDescent="0.25">
      <c r="A69" s="67" t="s">
        <v>2036</v>
      </c>
      <c r="B69" t="s">
        <v>2037</v>
      </c>
      <c r="C69" t="s">
        <v>2150</v>
      </c>
      <c r="D69" t="s">
        <v>2026</v>
      </c>
      <c r="E69" s="94">
        <v>20</v>
      </c>
      <c r="F69">
        <v>0</v>
      </c>
      <c r="G69" s="94">
        <v>0</v>
      </c>
      <c r="H69" s="94">
        <v>-2000</v>
      </c>
      <c r="I69">
        <v>0</v>
      </c>
    </row>
    <row r="70" spans="1:9" x14ac:dyDescent="0.25">
      <c r="A70" s="67" t="s">
        <v>2171</v>
      </c>
      <c r="B70" t="s">
        <v>2172</v>
      </c>
      <c r="C70" t="s">
        <v>2150</v>
      </c>
      <c r="E70" s="94"/>
      <c r="G70" s="94"/>
      <c r="H70" s="94"/>
    </row>
    <row r="71" spans="1:9" x14ac:dyDescent="0.25">
      <c r="A71" s="67" t="s">
        <v>2173</v>
      </c>
      <c r="B71" t="s">
        <v>2174</v>
      </c>
      <c r="C71" t="s">
        <v>2150</v>
      </c>
      <c r="D71" t="s">
        <v>2026</v>
      </c>
      <c r="E71" s="94">
        <v>20</v>
      </c>
      <c r="F71">
        <v>0</v>
      </c>
      <c r="G71">
        <v>0</v>
      </c>
      <c r="H71" s="94">
        <v>-2000</v>
      </c>
      <c r="I71">
        <v>0</v>
      </c>
    </row>
    <row r="72" spans="1:9" x14ac:dyDescent="0.25">
      <c r="A72" s="67" t="s">
        <v>2175</v>
      </c>
      <c r="B72" t="s">
        <v>2176</v>
      </c>
      <c r="C72" t="s">
        <v>2150</v>
      </c>
      <c r="D72" t="s">
        <v>2026</v>
      </c>
      <c r="E72" s="94">
        <v>20</v>
      </c>
      <c r="F72">
        <v>16.71</v>
      </c>
      <c r="G72">
        <v>0.15435501700000001</v>
      </c>
      <c r="H72" s="94">
        <v>-2000</v>
      </c>
      <c r="I72">
        <v>0</v>
      </c>
    </row>
    <row r="73" spans="1:9" x14ac:dyDescent="0.25">
      <c r="A73" s="67" t="s">
        <v>2177</v>
      </c>
      <c r="B73" t="s">
        <v>2178</v>
      </c>
      <c r="C73" t="s">
        <v>2150</v>
      </c>
      <c r="D73" t="s">
        <v>2026</v>
      </c>
      <c r="F73">
        <v>19</v>
      </c>
      <c r="G73">
        <f>0.06*2.2</f>
        <v>0.13200000000000001</v>
      </c>
      <c r="H73">
        <v>0</v>
      </c>
      <c r="I73">
        <v>0</v>
      </c>
    </row>
    <row r="74" spans="1:9" x14ac:dyDescent="0.25">
      <c r="A74" s="67" t="s">
        <v>2179</v>
      </c>
      <c r="B74" t="s">
        <v>2180</v>
      </c>
      <c r="C74" t="s">
        <v>2150</v>
      </c>
      <c r="D74" t="s">
        <v>2026</v>
      </c>
      <c r="F74">
        <v>12.87234043</v>
      </c>
      <c r="G74">
        <v>0.33</v>
      </c>
      <c r="H74">
        <v>0</v>
      </c>
      <c r="I74">
        <v>0</v>
      </c>
    </row>
    <row r="75" spans="1:9" x14ac:dyDescent="0.25">
      <c r="A75" s="67" t="s">
        <v>2181</v>
      </c>
      <c r="B75" t="s">
        <v>2182</v>
      </c>
      <c r="C75" t="s">
        <v>2150</v>
      </c>
      <c r="D75" t="s">
        <v>2026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67" t="s">
        <v>2183</v>
      </c>
      <c r="B76" t="s">
        <v>2184</v>
      </c>
      <c r="C76" t="s">
        <v>2150</v>
      </c>
      <c r="D76" t="s">
        <v>2026</v>
      </c>
    </row>
    <row r="77" spans="1:9" x14ac:dyDescent="0.25">
      <c r="A77" s="67" t="s">
        <v>2185</v>
      </c>
      <c r="B77" t="s">
        <v>2186</v>
      </c>
      <c r="C77" t="s">
        <v>2150</v>
      </c>
      <c r="D77" t="s">
        <v>2026</v>
      </c>
      <c r="F77">
        <v>0</v>
      </c>
      <c r="G77">
        <v>-2.5899999999999999E-2</v>
      </c>
      <c r="H77">
        <v>3666.666667</v>
      </c>
      <c r="I77">
        <v>0</v>
      </c>
    </row>
    <row r="78" spans="1:9" x14ac:dyDescent="0.25">
      <c r="A78" s="67" t="s">
        <v>2187</v>
      </c>
      <c r="B78" t="s">
        <v>2188</v>
      </c>
      <c r="C78" t="s">
        <v>2150</v>
      </c>
      <c r="D78" t="s">
        <v>2026</v>
      </c>
      <c r="E78" s="94">
        <v>20</v>
      </c>
      <c r="F78">
        <v>19.899999999999999</v>
      </c>
      <c r="G78">
        <v>0.35</v>
      </c>
      <c r="H78" s="94">
        <v>-2000</v>
      </c>
      <c r="I78">
        <v>0</v>
      </c>
    </row>
    <row r="79" spans="1:9" x14ac:dyDescent="0.25">
      <c r="A79" s="67" t="s">
        <v>2189</v>
      </c>
      <c r="B79" t="s">
        <v>2190</v>
      </c>
      <c r="C79" t="s">
        <v>2150</v>
      </c>
      <c r="E79" s="94"/>
      <c r="H79" s="94"/>
    </row>
    <row r="80" spans="1:9" x14ac:dyDescent="0.25">
      <c r="A80" s="67" t="s">
        <v>2191</v>
      </c>
      <c r="B80" t="s">
        <v>2192</v>
      </c>
      <c r="C80" t="s">
        <v>2150</v>
      </c>
      <c r="D80" t="s">
        <v>2026</v>
      </c>
      <c r="E80" s="94">
        <v>20</v>
      </c>
      <c r="F80">
        <v>0</v>
      </c>
      <c r="G80" s="94">
        <v>0.55000000000000004</v>
      </c>
      <c r="H80" s="94">
        <v>-2000</v>
      </c>
      <c r="I80">
        <v>0</v>
      </c>
    </row>
    <row r="81" spans="1:19" x14ac:dyDescent="0.25">
      <c r="A81" s="67" t="s">
        <v>2193</v>
      </c>
      <c r="B81" t="s">
        <v>2194</v>
      </c>
      <c r="C81" t="s">
        <v>2150</v>
      </c>
      <c r="E81" s="94"/>
      <c r="G81" s="94"/>
      <c r="H81" s="94"/>
    </row>
    <row r="82" spans="1:19" x14ac:dyDescent="0.25">
      <c r="A82" s="67" t="s">
        <v>2195</v>
      </c>
      <c r="B82" t="s">
        <v>2196</v>
      </c>
      <c r="C82" t="s">
        <v>2150</v>
      </c>
      <c r="D82" t="s">
        <v>2026</v>
      </c>
      <c r="F82">
        <v>0</v>
      </c>
      <c r="G82">
        <v>-1.17E-3</v>
      </c>
      <c r="H82">
        <v>0</v>
      </c>
      <c r="I82">
        <v>0</v>
      </c>
    </row>
    <row r="83" spans="1:19" x14ac:dyDescent="0.25">
      <c r="A83" s="67" t="s">
        <v>2197</v>
      </c>
      <c r="B83" t="s">
        <v>2111</v>
      </c>
      <c r="C83" t="s">
        <v>2150</v>
      </c>
      <c r="D83" t="s">
        <v>2026</v>
      </c>
      <c r="F83" s="94">
        <v>0</v>
      </c>
      <c r="G83" s="94">
        <v>0</v>
      </c>
      <c r="H83" s="94">
        <v>0</v>
      </c>
      <c r="I83">
        <v>1.0300000000000001E-3</v>
      </c>
      <c r="J83" s="95">
        <v>3.3400000000000002E-6</v>
      </c>
      <c r="K83">
        <v>2.3500000000000001E-3</v>
      </c>
      <c r="L83" s="95">
        <v>2.6400000000000001E-6</v>
      </c>
      <c r="M83" s="95">
        <v>4.1000000000000001E-11</v>
      </c>
      <c r="N83" s="95">
        <v>1.1100000000000001E-11</v>
      </c>
      <c r="O83" s="95">
        <v>4.3E-11</v>
      </c>
      <c r="P83" s="95">
        <v>3.7799999999999997E-5</v>
      </c>
      <c r="R83" s="95">
        <v>1.0899999999999999E-6</v>
      </c>
    </row>
    <row r="84" spans="1:19" x14ac:dyDescent="0.25">
      <c r="A84" s="67" t="s">
        <v>2198</v>
      </c>
      <c r="B84" s="94" t="s">
        <v>2199</v>
      </c>
      <c r="C84" t="s">
        <v>2150</v>
      </c>
      <c r="D84" t="s">
        <v>2026</v>
      </c>
    </row>
    <row r="85" spans="1:19" x14ac:dyDescent="0.25">
      <c r="A85" s="67" t="s">
        <v>2200</v>
      </c>
      <c r="B85" s="94" t="s">
        <v>2201</v>
      </c>
      <c r="C85" t="s">
        <v>2150</v>
      </c>
    </row>
    <row r="86" spans="1:19" x14ac:dyDescent="0.25">
      <c r="A86" s="67" t="s">
        <v>2117</v>
      </c>
      <c r="B86" s="94" t="s">
        <v>2118</v>
      </c>
      <c r="C86" t="s">
        <v>2150</v>
      </c>
    </row>
    <row r="87" spans="1:19" x14ac:dyDescent="0.25">
      <c r="A87" s="68" t="s">
        <v>2202</v>
      </c>
      <c r="B87" t="s">
        <v>2203</v>
      </c>
      <c r="C87" t="s">
        <v>2150</v>
      </c>
      <c r="D87" t="s">
        <v>2026</v>
      </c>
      <c r="E87" s="94">
        <v>37.75</v>
      </c>
      <c r="F87">
        <v>37.799999999999997</v>
      </c>
      <c r="G87" s="94">
        <v>0.5</v>
      </c>
      <c r="H87" s="94">
        <v>-100</v>
      </c>
      <c r="I87">
        <v>0</v>
      </c>
    </row>
    <row r="88" spans="1:19" x14ac:dyDescent="0.25">
      <c r="A88" s="68" t="s">
        <v>2204</v>
      </c>
      <c r="B88" t="s">
        <v>2205</v>
      </c>
      <c r="C88" t="s">
        <v>2150</v>
      </c>
      <c r="D88" t="s">
        <v>2026</v>
      </c>
      <c r="E88" s="94">
        <v>42.975000000000001</v>
      </c>
      <c r="F88">
        <v>57.417769999999997</v>
      </c>
      <c r="G88" s="94">
        <v>0.58711287199999995</v>
      </c>
      <c r="H88" s="94">
        <v>-100</v>
      </c>
      <c r="I88">
        <v>0</v>
      </c>
    </row>
    <row r="89" spans="1:19" x14ac:dyDescent="0.25">
      <c r="A89" s="68" t="s">
        <v>2206</v>
      </c>
      <c r="B89" t="s">
        <v>2207</v>
      </c>
      <c r="C89" t="s">
        <v>2150</v>
      </c>
      <c r="D89" t="s">
        <v>2128</v>
      </c>
      <c r="E89" s="94">
        <v>1</v>
      </c>
      <c r="F89">
        <v>3.138888889</v>
      </c>
      <c r="G89">
        <v>1.8722222E-2</v>
      </c>
      <c r="H89">
        <v>214.47</v>
      </c>
      <c r="I89">
        <v>0.55903000000000003</v>
      </c>
      <c r="J89">
        <v>7.9000000000000001E-4</v>
      </c>
      <c r="K89">
        <v>1.6234900000000001</v>
      </c>
      <c r="L89">
        <v>2.2000000000000001E-3</v>
      </c>
      <c r="M89" s="95">
        <v>2.0100000000000001E-8</v>
      </c>
      <c r="N89" s="95">
        <v>6.5099999999999994E-8</v>
      </c>
      <c r="O89" s="95">
        <v>8.8100000000000008E-9</v>
      </c>
      <c r="P89">
        <v>6.9100000000000003E-3</v>
      </c>
      <c r="Q89" s="95">
        <v>4.6600000000000003E-2</v>
      </c>
      <c r="R89">
        <v>7.7999999999999999E-4</v>
      </c>
      <c r="S89" t="s">
        <v>2129</v>
      </c>
    </row>
    <row r="90" spans="1:19" x14ac:dyDescent="0.25">
      <c r="A90" s="68" t="s">
        <v>2208</v>
      </c>
      <c r="B90" t="s">
        <v>2209</v>
      </c>
      <c r="C90" t="s">
        <v>2150</v>
      </c>
      <c r="D90" t="s">
        <v>2026</v>
      </c>
      <c r="E90" s="94">
        <v>26.95</v>
      </c>
      <c r="F90">
        <v>29.7</v>
      </c>
      <c r="G90">
        <v>0.42</v>
      </c>
      <c r="H90" s="94">
        <v>-100</v>
      </c>
      <c r="I90">
        <v>0</v>
      </c>
    </row>
    <row r="91" spans="1:19" x14ac:dyDescent="0.25">
      <c r="A91" s="68" t="s">
        <v>2210</v>
      </c>
      <c r="B91" t="s">
        <v>2211</v>
      </c>
      <c r="C91" t="s">
        <v>2150</v>
      </c>
      <c r="D91" t="s">
        <v>2026</v>
      </c>
      <c r="E91" s="94">
        <v>43.44</v>
      </c>
      <c r="F91">
        <v>52.2</v>
      </c>
      <c r="G91" s="94">
        <v>0.58711287199999995</v>
      </c>
      <c r="H91" s="94">
        <v>-100</v>
      </c>
      <c r="I91">
        <v>0</v>
      </c>
    </row>
    <row r="92" spans="1:19" x14ac:dyDescent="0.25">
      <c r="A92" s="68" t="s">
        <v>2212</v>
      </c>
      <c r="B92" t="s">
        <v>2213</v>
      </c>
      <c r="C92" t="s">
        <v>2150</v>
      </c>
      <c r="D92" t="s">
        <v>2026</v>
      </c>
      <c r="E92" s="94">
        <v>141</v>
      </c>
      <c r="F92">
        <v>79.8</v>
      </c>
      <c r="G92">
        <v>3.2160000000000002</v>
      </c>
      <c r="H92">
        <v>1940</v>
      </c>
      <c r="I92">
        <v>8.1269999999999995E-2</v>
      </c>
      <c r="J92">
        <v>3.5400000000000002E-3</v>
      </c>
      <c r="K92">
        <v>0.52520999999999995</v>
      </c>
      <c r="L92">
        <v>2.5000000000000001E-4</v>
      </c>
      <c r="M92" s="95">
        <v>2.8200000000000001E-8</v>
      </c>
      <c r="N92" s="95">
        <v>1.0999999999999999E-8</v>
      </c>
      <c r="O92" s="95">
        <v>4.19E-10</v>
      </c>
      <c r="P92" s="95">
        <v>5.2999999999999999E-2</v>
      </c>
      <c r="Q92" s="95">
        <v>9.48</v>
      </c>
      <c r="R92" s="95">
        <v>2.5000000000000001E-4</v>
      </c>
      <c r="S92" t="s">
        <v>2143</v>
      </c>
    </row>
    <row r="93" spans="1:19" x14ac:dyDescent="0.25">
      <c r="A93" s="68" t="s">
        <v>2214</v>
      </c>
      <c r="B93" t="s">
        <v>2215</v>
      </c>
      <c r="C93" t="s">
        <v>2150</v>
      </c>
      <c r="D93" t="s">
        <v>2026</v>
      </c>
      <c r="E93" s="94">
        <v>46</v>
      </c>
      <c r="F93">
        <v>54</v>
      </c>
      <c r="G93" s="94">
        <f>(2/3.785)/0.87</f>
        <v>0.60735814391351217</v>
      </c>
      <c r="H93" s="94">
        <v>-100</v>
      </c>
      <c r="I93">
        <v>0</v>
      </c>
    </row>
    <row r="94" spans="1:19" x14ac:dyDescent="0.25">
      <c r="A94" s="68" t="s">
        <v>2216</v>
      </c>
      <c r="B94" t="s">
        <v>2217</v>
      </c>
      <c r="C94" t="s">
        <v>2150</v>
      </c>
      <c r="D94" t="s">
        <v>2026</v>
      </c>
      <c r="E94" s="94">
        <v>46</v>
      </c>
      <c r="F94">
        <v>54</v>
      </c>
      <c r="G94" s="94">
        <f>(2/3.785)/0.87</f>
        <v>0.60735814391351217</v>
      </c>
      <c r="H94" s="94">
        <v>-100</v>
      </c>
      <c r="I94">
        <v>0</v>
      </c>
    </row>
    <row r="95" spans="1:19" x14ac:dyDescent="0.25">
      <c r="A95" s="68" t="s">
        <v>2218</v>
      </c>
      <c r="B95" t="s">
        <v>2219</v>
      </c>
      <c r="C95" t="s">
        <v>2150</v>
      </c>
      <c r="D95" t="s">
        <v>2026</v>
      </c>
      <c r="E95" s="94">
        <v>46</v>
      </c>
      <c r="F95">
        <v>54</v>
      </c>
      <c r="G95" s="94">
        <f>(2/3.785)/0.87</f>
        <v>0.60735814391351217</v>
      </c>
      <c r="H95" s="94">
        <v>-100</v>
      </c>
      <c r="I95">
        <v>0</v>
      </c>
    </row>
    <row r="96" spans="1:19" x14ac:dyDescent="0.25">
      <c r="A96" s="68" t="s">
        <v>2220</v>
      </c>
      <c r="B96" t="s">
        <v>2221</v>
      </c>
      <c r="C96" t="s">
        <v>2150</v>
      </c>
      <c r="D96" t="s">
        <v>2026</v>
      </c>
      <c r="E96" s="94">
        <v>46</v>
      </c>
      <c r="F96">
        <v>54</v>
      </c>
      <c r="G96" s="94">
        <f>(2/3.785)/0.87</f>
        <v>0.60735814391351217</v>
      </c>
      <c r="H96" s="94">
        <v>-100</v>
      </c>
      <c r="I96">
        <v>0</v>
      </c>
    </row>
    <row r="97" spans="1:9" x14ac:dyDescent="0.25">
      <c r="A97" s="68" t="s">
        <v>2222</v>
      </c>
      <c r="B97" t="s">
        <v>2223</v>
      </c>
      <c r="C97" t="s">
        <v>2150</v>
      </c>
      <c r="D97" t="s">
        <v>2026</v>
      </c>
      <c r="E97" s="94">
        <v>49</v>
      </c>
      <c r="F97">
        <v>58</v>
      </c>
      <c r="G97" s="94">
        <v>0.64400000000000002</v>
      </c>
      <c r="H97" s="94">
        <v>-100</v>
      </c>
      <c r="I97">
        <v>0</v>
      </c>
    </row>
    <row r="98" spans="1:9" x14ac:dyDescent="0.25">
      <c r="A98" s="68" t="s">
        <v>2224</v>
      </c>
      <c r="B98" t="s">
        <v>2225</v>
      </c>
      <c r="C98" t="s">
        <v>2150</v>
      </c>
      <c r="D98" t="s">
        <v>2026</v>
      </c>
      <c r="E98" s="94">
        <v>48</v>
      </c>
      <c r="F98">
        <v>52.2</v>
      </c>
      <c r="G98" s="94">
        <v>0.55000000000000004</v>
      </c>
      <c r="H98" s="94">
        <v>-100</v>
      </c>
      <c r="I98">
        <v>0</v>
      </c>
    </row>
    <row r="99" spans="1:9" x14ac:dyDescent="0.25">
      <c r="A99" s="68" t="s">
        <v>2226</v>
      </c>
      <c r="B99" t="s">
        <v>2227</v>
      </c>
      <c r="C99" t="s">
        <v>2150</v>
      </c>
      <c r="D99" t="s">
        <v>2026</v>
      </c>
      <c r="E99" s="94">
        <v>50</v>
      </c>
      <c r="F99">
        <v>52.2</v>
      </c>
      <c r="G99" s="94">
        <v>0.19768720400000001</v>
      </c>
      <c r="H99" s="94">
        <v>-100</v>
      </c>
      <c r="I9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5949-3AC7-4A79-8623-8D3E9BE4DCF5}">
  <dimension ref="A1:B112"/>
  <sheetViews>
    <sheetView topLeftCell="A10" workbookViewId="0">
      <selection activeCell="B20" sqref="B20"/>
    </sheetView>
  </sheetViews>
  <sheetFormatPr defaultRowHeight="15.75" x14ac:dyDescent="0.25"/>
  <cols>
    <col min="1" max="1" width="27.75" bestFit="1" customWidth="1"/>
    <col min="2" max="2" width="21.625" bestFit="1" customWidth="1"/>
  </cols>
  <sheetData>
    <row r="1" spans="1:2" x14ac:dyDescent="0.25">
      <c r="A1" t="s">
        <v>1992</v>
      </c>
      <c r="B1" s="264" t="s">
        <v>2228</v>
      </c>
    </row>
    <row r="2" spans="1:2" x14ac:dyDescent="0.25">
      <c r="A2" t="s">
        <v>2074</v>
      </c>
      <c r="B2" s="264" t="s">
        <v>2229</v>
      </c>
    </row>
    <row r="3" spans="1:2" x14ac:dyDescent="0.25">
      <c r="A3" t="s">
        <v>2025</v>
      </c>
      <c r="B3" s="264" t="s">
        <v>2230</v>
      </c>
    </row>
    <row r="4" spans="1:2" x14ac:dyDescent="0.25">
      <c r="A4" t="s">
        <v>2164</v>
      </c>
      <c r="B4" s="264" t="s">
        <v>2231</v>
      </c>
    </row>
    <row r="5" spans="1:2" x14ac:dyDescent="0.25">
      <c r="A5" t="s">
        <v>2162</v>
      </c>
      <c r="B5" s="264" t="s">
        <v>2232</v>
      </c>
    </row>
    <row r="6" spans="1:2" x14ac:dyDescent="0.25">
      <c r="A6" t="s">
        <v>2166</v>
      </c>
      <c r="B6" s="264" t="s">
        <v>2233</v>
      </c>
    </row>
    <row r="7" spans="1:2" x14ac:dyDescent="0.25">
      <c r="A7" t="s">
        <v>2028</v>
      </c>
      <c r="B7" s="264" t="s">
        <v>2234</v>
      </c>
    </row>
    <row r="8" spans="1:2" x14ac:dyDescent="0.25">
      <c r="A8" t="s">
        <v>2030</v>
      </c>
      <c r="B8" s="264" t="s">
        <v>2235</v>
      </c>
    </row>
    <row r="9" spans="1:2" x14ac:dyDescent="0.25">
      <c r="A9" t="s">
        <v>2236</v>
      </c>
      <c r="B9" s="264" t="s">
        <v>2237</v>
      </c>
    </row>
    <row r="10" spans="1:2" x14ac:dyDescent="0.25">
      <c r="A10" t="s">
        <v>2020</v>
      </c>
      <c r="B10" s="264" t="s">
        <v>2238</v>
      </c>
    </row>
    <row r="11" spans="1:2" x14ac:dyDescent="0.25">
      <c r="A11" s="264" t="s">
        <v>2168</v>
      </c>
      <c r="B11" s="264" t="s">
        <v>2239</v>
      </c>
    </row>
    <row r="12" spans="1:2" x14ac:dyDescent="0.25">
      <c r="A12" s="264" t="s">
        <v>2240</v>
      </c>
      <c r="B12" s="264" t="s">
        <v>2241</v>
      </c>
    </row>
    <row r="13" spans="1:2" x14ac:dyDescent="0.25">
      <c r="A13" t="s">
        <v>2203</v>
      </c>
      <c r="B13" s="264" t="s">
        <v>2242</v>
      </c>
    </row>
    <row r="14" spans="1:2" x14ac:dyDescent="0.25">
      <c r="A14" t="s">
        <v>2243</v>
      </c>
      <c r="B14" s="264" t="s">
        <v>2244</v>
      </c>
    </row>
    <row r="15" spans="1:2" x14ac:dyDescent="0.25">
      <c r="A15" t="s">
        <v>2015</v>
      </c>
      <c r="B15" s="264" t="s">
        <v>2245</v>
      </c>
    </row>
    <row r="16" spans="1:2" x14ac:dyDescent="0.25">
      <c r="A16" t="s">
        <v>2149</v>
      </c>
      <c r="B16" s="264" t="s">
        <v>2246</v>
      </c>
    </row>
    <row r="17" spans="1:2" x14ac:dyDescent="0.25">
      <c r="A17" t="s">
        <v>2154</v>
      </c>
      <c r="B17" s="264" t="s">
        <v>2247</v>
      </c>
    </row>
    <row r="18" spans="1:2" x14ac:dyDescent="0.25">
      <c r="A18" t="s">
        <v>2152</v>
      </c>
      <c r="B18" s="264" t="s">
        <v>2248</v>
      </c>
    </row>
    <row r="19" spans="1:2" x14ac:dyDescent="0.25">
      <c r="A19" t="s">
        <v>2170</v>
      </c>
      <c r="B19" s="264" t="s">
        <v>2249</v>
      </c>
    </row>
    <row r="20" spans="1:2" x14ac:dyDescent="0.25">
      <c r="A20" t="s">
        <v>2392</v>
      </c>
      <c r="B20" s="264" t="s">
        <v>2250</v>
      </c>
    </row>
    <row r="21" spans="1:2" x14ac:dyDescent="0.25">
      <c r="A21" t="s">
        <v>2035</v>
      </c>
      <c r="B21" s="264" t="s">
        <v>2251</v>
      </c>
    </row>
    <row r="22" spans="1:2" x14ac:dyDescent="0.25">
      <c r="A22" t="s">
        <v>2252</v>
      </c>
      <c r="B22" s="264" t="s">
        <v>2253</v>
      </c>
    </row>
    <row r="23" spans="1:2" x14ac:dyDescent="0.25">
      <c r="A23" t="s">
        <v>2037</v>
      </c>
      <c r="B23" s="264" t="s">
        <v>2254</v>
      </c>
    </row>
    <row r="24" spans="1:2" x14ac:dyDescent="0.25">
      <c r="A24" t="s">
        <v>2037</v>
      </c>
      <c r="B24" s="264" t="s">
        <v>2254</v>
      </c>
    </row>
    <row r="25" spans="1:2" x14ac:dyDescent="0.25">
      <c r="A25" t="s">
        <v>2255</v>
      </c>
      <c r="B25" s="264" t="s">
        <v>2256</v>
      </c>
    </row>
    <row r="26" spans="1:2" x14ac:dyDescent="0.25">
      <c r="A26" t="s">
        <v>2039</v>
      </c>
      <c r="B26" s="264" t="s">
        <v>2257</v>
      </c>
    </row>
    <row r="27" spans="1:2" x14ac:dyDescent="0.25">
      <c r="A27" t="s">
        <v>2044</v>
      </c>
      <c r="B27" s="264" t="s">
        <v>2258</v>
      </c>
    </row>
    <row r="28" spans="1:2" x14ac:dyDescent="0.25">
      <c r="A28" t="s">
        <v>2042</v>
      </c>
      <c r="B28" s="264" t="s">
        <v>2259</v>
      </c>
    </row>
    <row r="29" spans="1:2" x14ac:dyDescent="0.25">
      <c r="A29" t="s">
        <v>2172</v>
      </c>
      <c r="B29" s="264" t="s">
        <v>2260</v>
      </c>
    </row>
    <row r="30" spans="1:2" x14ac:dyDescent="0.25">
      <c r="A30" t="s">
        <v>2174</v>
      </c>
      <c r="B30" s="264" t="s">
        <v>2261</v>
      </c>
    </row>
    <row r="31" spans="1:2" x14ac:dyDescent="0.25">
      <c r="A31" t="s">
        <v>2176</v>
      </c>
      <c r="B31" s="264" t="s">
        <v>2262</v>
      </c>
    </row>
    <row r="32" spans="1:2" x14ac:dyDescent="0.25">
      <c r="A32" t="s">
        <v>2263</v>
      </c>
      <c r="B32" s="264" t="s">
        <v>2264</v>
      </c>
    </row>
    <row r="33" spans="1:2" x14ac:dyDescent="0.25">
      <c r="A33" t="s">
        <v>2125</v>
      </c>
      <c r="B33" s="264" t="s">
        <v>2265</v>
      </c>
    </row>
    <row r="34" spans="1:2" x14ac:dyDescent="0.25">
      <c r="A34" t="s">
        <v>2205</v>
      </c>
      <c r="B34" s="264" t="s">
        <v>2266</v>
      </c>
    </row>
    <row r="35" spans="1:2" x14ac:dyDescent="0.25">
      <c r="A35" t="s">
        <v>2207</v>
      </c>
      <c r="B35" s="264" t="s">
        <v>2267</v>
      </c>
    </row>
    <row r="36" spans="1:2" x14ac:dyDescent="0.25">
      <c r="A36" t="s">
        <v>2127</v>
      </c>
      <c r="B36" s="264" t="s">
        <v>2268</v>
      </c>
    </row>
    <row r="37" spans="1:2" x14ac:dyDescent="0.25">
      <c r="A37" s="94" t="s">
        <v>2131</v>
      </c>
      <c r="B37" s="264" t="s">
        <v>2269</v>
      </c>
    </row>
    <row r="38" spans="1:2" x14ac:dyDescent="0.25">
      <c r="A38" t="s">
        <v>2046</v>
      </c>
      <c r="B38" s="264" t="s">
        <v>2270</v>
      </c>
    </row>
    <row r="39" spans="1:2" x14ac:dyDescent="0.25">
      <c r="A39" t="s">
        <v>2209</v>
      </c>
      <c r="B39" s="264" t="s">
        <v>2271</v>
      </c>
    </row>
    <row r="40" spans="1:2" x14ac:dyDescent="0.25">
      <c r="A40" t="s">
        <v>2048</v>
      </c>
      <c r="B40" s="264" t="s">
        <v>2272</v>
      </c>
    </row>
    <row r="41" spans="1:2" x14ac:dyDescent="0.25">
      <c r="A41" t="s">
        <v>2273</v>
      </c>
      <c r="B41" s="264" t="s">
        <v>2274</v>
      </c>
    </row>
    <row r="42" spans="1:2" x14ac:dyDescent="0.25">
      <c r="A42" t="s">
        <v>47</v>
      </c>
      <c r="B42" s="264" t="s">
        <v>2275</v>
      </c>
    </row>
    <row r="43" spans="1:2" x14ac:dyDescent="0.25">
      <c r="A43" t="s">
        <v>2051</v>
      </c>
      <c r="B43" s="264" t="s">
        <v>2276</v>
      </c>
    </row>
    <row r="44" spans="1:2" x14ac:dyDescent="0.25">
      <c r="A44" t="s">
        <v>2054</v>
      </c>
      <c r="B44" s="264" t="s">
        <v>2277</v>
      </c>
    </row>
    <row r="45" spans="1:2" x14ac:dyDescent="0.25">
      <c r="A45" t="s">
        <v>2133</v>
      </c>
      <c r="B45" s="264" t="s">
        <v>2278</v>
      </c>
    </row>
    <row r="46" spans="1:2" x14ac:dyDescent="0.25">
      <c r="A46" t="s">
        <v>2211</v>
      </c>
      <c r="B46" s="264" t="s">
        <v>2279</v>
      </c>
    </row>
    <row r="47" spans="1:2" x14ac:dyDescent="0.25">
      <c r="A47" t="s">
        <v>2056</v>
      </c>
      <c r="B47" s="264" t="s">
        <v>2280</v>
      </c>
    </row>
    <row r="48" spans="1:2" x14ac:dyDescent="0.25">
      <c r="A48" t="s">
        <v>2058</v>
      </c>
      <c r="B48" s="264" t="s">
        <v>2281</v>
      </c>
    </row>
    <row r="49" spans="1:2" x14ac:dyDescent="0.25">
      <c r="A49" t="s">
        <v>2178</v>
      </c>
      <c r="B49" s="264" t="s">
        <v>2282</v>
      </c>
    </row>
    <row r="50" spans="1:2" x14ac:dyDescent="0.25">
      <c r="A50" s="264" t="s">
        <v>2061</v>
      </c>
      <c r="B50" s="264" t="s">
        <v>2283</v>
      </c>
    </row>
    <row r="51" spans="1:2" x14ac:dyDescent="0.25">
      <c r="A51" t="s">
        <v>2063</v>
      </c>
      <c r="B51" s="264" t="s">
        <v>2284</v>
      </c>
    </row>
    <row r="52" spans="1:2" x14ac:dyDescent="0.25">
      <c r="A52" t="s">
        <v>2140</v>
      </c>
      <c r="B52" s="264" t="s">
        <v>2285</v>
      </c>
    </row>
    <row r="53" spans="1:2" x14ac:dyDescent="0.25">
      <c r="A53" t="s">
        <v>2066</v>
      </c>
      <c r="B53" s="264" t="s">
        <v>2286</v>
      </c>
    </row>
    <row r="54" spans="1:2" x14ac:dyDescent="0.25">
      <c r="A54" t="s">
        <v>2069</v>
      </c>
      <c r="B54" s="264" t="s">
        <v>2287</v>
      </c>
    </row>
    <row r="55" spans="1:2" x14ac:dyDescent="0.25">
      <c r="A55" t="s">
        <v>2142</v>
      </c>
      <c r="B55" s="264" t="s">
        <v>2288</v>
      </c>
    </row>
    <row r="56" spans="1:2" x14ac:dyDescent="0.25">
      <c r="A56" t="s">
        <v>2213</v>
      </c>
      <c r="B56" s="264" t="s">
        <v>2289</v>
      </c>
    </row>
    <row r="57" spans="1:2" x14ac:dyDescent="0.25">
      <c r="A57" t="s">
        <v>2072</v>
      </c>
      <c r="B57" s="264" t="s">
        <v>2290</v>
      </c>
    </row>
    <row r="58" spans="1:2" x14ac:dyDescent="0.25">
      <c r="A58" t="s">
        <v>2215</v>
      </c>
      <c r="B58" s="264" t="s">
        <v>2291</v>
      </c>
    </row>
    <row r="59" spans="1:2" x14ac:dyDescent="0.25">
      <c r="A59" t="s">
        <v>2217</v>
      </c>
      <c r="B59" s="264" t="s">
        <v>2292</v>
      </c>
    </row>
    <row r="60" spans="1:2" x14ac:dyDescent="0.25">
      <c r="A60" t="s">
        <v>2219</v>
      </c>
      <c r="B60" s="264" t="s">
        <v>2293</v>
      </c>
    </row>
    <row r="61" spans="1:2" x14ac:dyDescent="0.25">
      <c r="A61" t="s">
        <v>2221</v>
      </c>
      <c r="B61" s="264" t="s">
        <v>2294</v>
      </c>
    </row>
    <row r="62" spans="1:2" x14ac:dyDescent="0.25">
      <c r="A62" t="s">
        <v>2017</v>
      </c>
      <c r="B62" s="264" t="s">
        <v>2295</v>
      </c>
    </row>
    <row r="63" spans="1:2" x14ac:dyDescent="0.25">
      <c r="A63" t="s">
        <v>2296</v>
      </c>
      <c r="B63" s="264" t="s">
        <v>2297</v>
      </c>
    </row>
    <row r="64" spans="1:2" x14ac:dyDescent="0.25">
      <c r="A64" t="s">
        <v>2011</v>
      </c>
      <c r="B64" s="264" t="s">
        <v>2298</v>
      </c>
    </row>
    <row r="65" spans="1:2" x14ac:dyDescent="0.25">
      <c r="A65" t="s">
        <v>2077</v>
      </c>
      <c r="B65" s="264" t="s">
        <v>2299</v>
      </c>
    </row>
    <row r="66" spans="1:2" x14ac:dyDescent="0.25">
      <c r="A66" s="264" t="s">
        <v>2135</v>
      </c>
      <c r="B66" s="264" t="s">
        <v>2300</v>
      </c>
    </row>
    <row r="67" spans="1:2" x14ac:dyDescent="0.25">
      <c r="A67" t="s">
        <v>2138</v>
      </c>
      <c r="B67" s="264" t="s">
        <v>2301</v>
      </c>
    </row>
    <row r="68" spans="1:2" x14ac:dyDescent="0.25">
      <c r="A68" t="s">
        <v>2223</v>
      </c>
      <c r="B68" s="264" t="s">
        <v>2302</v>
      </c>
    </row>
    <row r="69" spans="1:2" x14ac:dyDescent="0.25">
      <c r="A69" t="s">
        <v>2156</v>
      </c>
      <c r="B69" s="264" t="s">
        <v>2303</v>
      </c>
    </row>
    <row r="70" spans="1:2" x14ac:dyDescent="0.25">
      <c r="A70" t="s">
        <v>2023</v>
      </c>
      <c r="B70" s="264" t="s">
        <v>2304</v>
      </c>
    </row>
    <row r="71" spans="1:2" x14ac:dyDescent="0.25">
      <c r="A71" t="s">
        <v>2080</v>
      </c>
      <c r="B71" s="264" t="s">
        <v>2305</v>
      </c>
    </row>
    <row r="72" spans="1:2" x14ac:dyDescent="0.25">
      <c r="A72" t="s">
        <v>2306</v>
      </c>
      <c r="B72" s="264" t="s">
        <v>2307</v>
      </c>
    </row>
    <row r="73" spans="1:2" x14ac:dyDescent="0.25">
      <c r="A73" t="s">
        <v>67</v>
      </c>
      <c r="B73" s="264" t="s">
        <v>2308</v>
      </c>
    </row>
    <row r="74" spans="1:2" x14ac:dyDescent="0.25">
      <c r="A74" t="s">
        <v>2180</v>
      </c>
      <c r="B74" s="264" t="s">
        <v>2309</v>
      </c>
    </row>
    <row r="75" spans="1:2" x14ac:dyDescent="0.25">
      <c r="A75" t="s">
        <v>2158</v>
      </c>
      <c r="B75" s="264" t="s">
        <v>2310</v>
      </c>
    </row>
    <row r="76" spans="1:2" x14ac:dyDescent="0.25">
      <c r="A76" t="s">
        <v>2225</v>
      </c>
      <c r="B76" s="264" t="s">
        <v>2311</v>
      </c>
    </row>
    <row r="77" spans="1:2" x14ac:dyDescent="0.25">
      <c r="A77" t="s">
        <v>2145</v>
      </c>
      <c r="B77" s="264" t="s">
        <v>2312</v>
      </c>
    </row>
    <row r="78" spans="1:2" x14ac:dyDescent="0.25">
      <c r="A78" t="s">
        <v>2182</v>
      </c>
      <c r="B78" s="264" t="s">
        <v>2313</v>
      </c>
    </row>
    <row r="79" spans="1:2" x14ac:dyDescent="0.25">
      <c r="A79" t="s">
        <v>2083</v>
      </c>
      <c r="B79" s="264" t="s">
        <v>2314</v>
      </c>
    </row>
    <row r="80" spans="1:2" x14ac:dyDescent="0.25">
      <c r="A80" t="s">
        <v>2160</v>
      </c>
      <c r="B80" s="264" t="s">
        <v>2315</v>
      </c>
    </row>
    <row r="81" spans="1:2" x14ac:dyDescent="0.25">
      <c r="A81" t="s">
        <v>2086</v>
      </c>
      <c r="B81" s="264" t="s">
        <v>2316</v>
      </c>
    </row>
    <row r="82" spans="1:2" x14ac:dyDescent="0.25">
      <c r="A82" t="s">
        <v>2089</v>
      </c>
      <c r="B82" s="264" t="s">
        <v>2317</v>
      </c>
    </row>
    <row r="83" spans="1:2" x14ac:dyDescent="0.25">
      <c r="A83" t="s">
        <v>2092</v>
      </c>
      <c r="B83" s="264" t="s">
        <v>2318</v>
      </c>
    </row>
    <row r="84" spans="1:2" x14ac:dyDescent="0.25">
      <c r="A84" t="s">
        <v>2095</v>
      </c>
      <c r="B84" s="264" t="s">
        <v>2319</v>
      </c>
    </row>
    <row r="85" spans="1:2" x14ac:dyDescent="0.25">
      <c r="A85" t="s">
        <v>2147</v>
      </c>
      <c r="B85" s="264" t="s">
        <v>2320</v>
      </c>
    </row>
    <row r="86" spans="1:2" x14ac:dyDescent="0.25">
      <c r="A86" t="s">
        <v>2227</v>
      </c>
      <c r="B86" s="264" t="s">
        <v>2321</v>
      </c>
    </row>
    <row r="87" spans="1:2" x14ac:dyDescent="0.25">
      <c r="A87" t="s">
        <v>2322</v>
      </c>
      <c r="B87" s="264" t="s">
        <v>2323</v>
      </c>
    </row>
    <row r="88" spans="1:2" x14ac:dyDescent="0.25">
      <c r="A88" t="s">
        <v>2184</v>
      </c>
      <c r="B88" s="264" t="s">
        <v>2324</v>
      </c>
    </row>
    <row r="89" spans="1:2" x14ac:dyDescent="0.25">
      <c r="A89" t="s">
        <v>2325</v>
      </c>
      <c r="B89" s="264" t="s">
        <v>2326</v>
      </c>
    </row>
    <row r="90" spans="1:2" x14ac:dyDescent="0.25">
      <c r="A90" t="s">
        <v>2186</v>
      </c>
      <c r="B90" s="264" t="s">
        <v>2327</v>
      </c>
    </row>
    <row r="91" spans="1:2" x14ac:dyDescent="0.25">
      <c r="A91" t="s">
        <v>2098</v>
      </c>
      <c r="B91" s="264" t="s">
        <v>2328</v>
      </c>
    </row>
    <row r="92" spans="1:2" x14ac:dyDescent="0.25">
      <c r="A92" t="s">
        <v>2188</v>
      </c>
      <c r="B92" s="264" t="s">
        <v>2329</v>
      </c>
    </row>
    <row r="93" spans="1:2" x14ac:dyDescent="0.25">
      <c r="A93" t="s">
        <v>2190</v>
      </c>
      <c r="B93" s="264" t="s">
        <v>2330</v>
      </c>
    </row>
    <row r="94" spans="1:2" x14ac:dyDescent="0.25">
      <c r="A94" t="s">
        <v>2100</v>
      </c>
      <c r="B94" s="264" t="s">
        <v>2331</v>
      </c>
    </row>
    <row r="95" spans="1:2" x14ac:dyDescent="0.25">
      <c r="A95" t="s">
        <v>2192</v>
      </c>
      <c r="B95" s="264" t="s">
        <v>2332</v>
      </c>
    </row>
    <row r="96" spans="1:2" x14ac:dyDescent="0.25">
      <c r="A96" t="s">
        <v>2103</v>
      </c>
      <c r="B96" s="264" t="s">
        <v>2333</v>
      </c>
    </row>
    <row r="97" spans="1:2" x14ac:dyDescent="0.25">
      <c r="A97" t="s">
        <v>2334</v>
      </c>
      <c r="B97" s="264" t="s">
        <v>2335</v>
      </c>
    </row>
    <row r="98" spans="1:2" x14ac:dyDescent="0.25">
      <c r="A98" t="s">
        <v>2106</v>
      </c>
      <c r="B98" s="264" t="s">
        <v>2336</v>
      </c>
    </row>
    <row r="99" spans="1:2" x14ac:dyDescent="0.25">
      <c r="A99" t="s">
        <v>2194</v>
      </c>
      <c r="B99" s="264" t="s">
        <v>2337</v>
      </c>
    </row>
    <row r="100" spans="1:2" x14ac:dyDescent="0.25">
      <c r="A100" t="s">
        <v>2109</v>
      </c>
      <c r="B100" s="264" t="s">
        <v>2338</v>
      </c>
    </row>
    <row r="101" spans="1:2" x14ac:dyDescent="0.25">
      <c r="A101" t="s">
        <v>2339</v>
      </c>
      <c r="B101" s="264" t="s">
        <v>2340</v>
      </c>
    </row>
    <row r="102" spans="1:2" x14ac:dyDescent="0.25">
      <c r="A102" t="s">
        <v>2196</v>
      </c>
      <c r="B102" s="264" t="s">
        <v>2341</v>
      </c>
    </row>
    <row r="103" spans="1:2" x14ac:dyDescent="0.25">
      <c r="A103" t="s">
        <v>2111</v>
      </c>
      <c r="B103" s="264" t="s">
        <v>2342</v>
      </c>
    </row>
    <row r="104" spans="1:2" x14ac:dyDescent="0.25">
      <c r="A104" t="s">
        <v>2111</v>
      </c>
      <c r="B104" s="264" t="s">
        <v>2343</v>
      </c>
    </row>
    <row r="105" spans="1:2" x14ac:dyDescent="0.25">
      <c r="A105" t="s">
        <v>2113</v>
      </c>
      <c r="B105" s="264" t="s">
        <v>2344</v>
      </c>
    </row>
    <row r="106" spans="1:2" x14ac:dyDescent="0.25">
      <c r="A106" t="s">
        <v>2116</v>
      </c>
      <c r="B106" s="264" t="s">
        <v>2345</v>
      </c>
    </row>
    <row r="107" spans="1:2" x14ac:dyDescent="0.25">
      <c r="A107" s="94" t="s">
        <v>2199</v>
      </c>
      <c r="B107" s="264" t="s">
        <v>2346</v>
      </c>
    </row>
    <row r="108" spans="1:2" x14ac:dyDescent="0.25">
      <c r="A108" s="94" t="s">
        <v>2201</v>
      </c>
      <c r="B108" s="264" t="s">
        <v>2347</v>
      </c>
    </row>
    <row r="109" spans="1:2" x14ac:dyDescent="0.25">
      <c r="A109" t="s">
        <v>2120</v>
      </c>
      <c r="B109" s="264" t="s">
        <v>2348</v>
      </c>
    </row>
    <row r="110" spans="1:2" x14ac:dyDescent="0.25">
      <c r="A110" t="s">
        <v>2118</v>
      </c>
      <c r="B110" s="264" t="s">
        <v>2349</v>
      </c>
    </row>
    <row r="111" spans="1:2" x14ac:dyDescent="0.25">
      <c r="A111" s="94" t="s">
        <v>2118</v>
      </c>
      <c r="B111" s="264" t="s">
        <v>2349</v>
      </c>
    </row>
    <row r="112" spans="1:2" x14ac:dyDescent="0.25">
      <c r="A112" t="s">
        <v>2122</v>
      </c>
      <c r="B112" s="264" t="s">
        <v>2350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AJ24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2" width="13" style="7" customWidth="1"/>
    <col min="14" max="14" width="22.5" style="46" bestFit="1" customWidth="1"/>
    <col min="15" max="15" width="13.5" customWidth="1"/>
    <col min="21" max="21" width="14.625" customWidth="1"/>
    <col min="26" max="26" width="18.625" customWidth="1"/>
    <col min="27" max="27" width="12.125" bestFit="1" customWidth="1"/>
  </cols>
  <sheetData>
    <row r="1" spans="1:36" ht="18.75" x14ac:dyDescent="0.3">
      <c r="A1" s="90" t="s">
        <v>73</v>
      </c>
      <c r="B1" s="90" t="s">
        <v>1</v>
      </c>
      <c r="E1"/>
      <c r="F1"/>
      <c r="G1"/>
      <c r="H1"/>
      <c r="I1"/>
      <c r="J1"/>
      <c r="K1"/>
      <c r="L1"/>
      <c r="N1"/>
    </row>
    <row r="2" spans="1:36" x14ac:dyDescent="0.25">
      <c r="A2" s="96" t="s">
        <v>2351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13" t="str">
        <f>General!K1</f>
        <v>Forestry Residue</v>
      </c>
      <c r="L2" s="13" t="str">
        <f>General!M1</f>
        <v>Carinata</v>
      </c>
      <c r="N2" s="44" t="s">
        <v>2352</v>
      </c>
      <c r="O2" s="40" t="str">
        <f>General!B1</f>
        <v>Soy Biodiesel</v>
      </c>
      <c r="P2" s="40" t="str">
        <f>General!C1</f>
        <v>Soy Jet</v>
      </c>
      <c r="Q2" s="40" t="str">
        <f>General!D1</f>
        <v>Corn Grain EtOH</v>
      </c>
      <c r="R2" s="40" t="str">
        <f>General!E1</f>
        <v>Corn Stover EtOH</v>
      </c>
      <c r="S2" s="40" t="str">
        <f>General!G1</f>
        <v>Poplar Jet</v>
      </c>
      <c r="T2" s="40" t="str">
        <f>General!H1</f>
        <v>Switchgrass Jet</v>
      </c>
      <c r="U2" s="40" t="str">
        <f>General!I1</f>
        <v>Algae HEFA</v>
      </c>
      <c r="V2" s="40" t="str">
        <f>General!J1</f>
        <v>Algae HTL</v>
      </c>
      <c r="W2" s="40" t="str">
        <f>General!K1</f>
        <v>Forestry Residue</v>
      </c>
      <c r="X2" s="40" t="str">
        <f>General!M1</f>
        <v>Carinata</v>
      </c>
      <c r="Z2" s="41" t="s">
        <v>2353</v>
      </c>
      <c r="AA2" s="41" t="str">
        <f>General!B1</f>
        <v>Soy Biodiesel</v>
      </c>
      <c r="AB2" s="41" t="str">
        <f>General!C1</f>
        <v>Soy Jet</v>
      </c>
      <c r="AC2" s="41" t="str">
        <f>General!D1</f>
        <v>Corn Grain EtOH</v>
      </c>
      <c r="AD2" s="41" t="str">
        <f>General!E1</f>
        <v>Corn Stover EtOH</v>
      </c>
      <c r="AE2" s="41" t="str">
        <f>General!G1</f>
        <v>Poplar Jet</v>
      </c>
      <c r="AF2" s="41" t="str">
        <f>General!H1</f>
        <v>Switchgrass Jet</v>
      </c>
      <c r="AG2" s="41" t="str">
        <f>General!I1</f>
        <v>Algae HEFA</v>
      </c>
      <c r="AH2" s="41" t="str">
        <f>General!J1</f>
        <v>Algae HTL</v>
      </c>
      <c r="AI2" s="41" t="str">
        <f>General!K1</f>
        <v>Forestry Residue</v>
      </c>
      <c r="AJ2" s="41" t="str">
        <f>General!M1</f>
        <v>Carinata</v>
      </c>
    </row>
    <row r="3" spans="1:36" x14ac:dyDescent="0.25">
      <c r="A3" s="63"/>
      <c r="B3" s="38" t="s">
        <v>2354</v>
      </c>
      <c r="C3" s="38" t="s">
        <v>2354</v>
      </c>
      <c r="D3" s="38" t="s">
        <v>2354</v>
      </c>
      <c r="E3" s="38" t="s">
        <v>2354</v>
      </c>
      <c r="F3" s="38" t="s">
        <v>2354</v>
      </c>
      <c r="G3" s="38" t="s">
        <v>2354</v>
      </c>
      <c r="H3" s="38" t="s">
        <v>2354</v>
      </c>
      <c r="I3" s="38" t="s">
        <v>2354</v>
      </c>
      <c r="J3" s="38" t="s">
        <v>2354</v>
      </c>
      <c r="K3" s="38" t="s">
        <v>2354</v>
      </c>
      <c r="L3" s="38" t="s">
        <v>2354</v>
      </c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25">
      <c r="A4" s="37" t="s">
        <v>2355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8"/>
      <c r="L4" s="38"/>
      <c r="N4" s="44"/>
      <c r="O4" s="40"/>
      <c r="P4" s="40"/>
      <c r="Q4" s="40"/>
      <c r="R4" s="40"/>
      <c r="S4" s="40"/>
      <c r="T4" s="40"/>
      <c r="U4" s="40"/>
      <c r="V4" s="40"/>
      <c r="W4" s="40"/>
      <c r="X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25">
      <c r="A5" s="36" t="s">
        <v>2356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13"/>
      <c r="L5" s="13"/>
      <c r="N5" s="44"/>
      <c r="O5" s="40"/>
      <c r="P5" s="40"/>
      <c r="Q5" s="40"/>
      <c r="R5" s="40"/>
      <c r="S5" s="40"/>
      <c r="T5" s="40"/>
      <c r="U5" s="40"/>
      <c r="V5" s="40"/>
      <c r="W5" s="40"/>
      <c r="X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x14ac:dyDescent="0.25">
      <c r="A6" s="35" t="s">
        <v>2357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N6" s="44"/>
      <c r="O6" s="40"/>
      <c r="P6" s="40"/>
      <c r="Q6" s="40"/>
      <c r="R6" s="40"/>
      <c r="S6" s="40"/>
      <c r="T6" s="40"/>
      <c r="U6" s="40"/>
      <c r="V6" s="40"/>
      <c r="W6" s="40"/>
      <c r="X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x14ac:dyDescent="0.25">
      <c r="A7" s="124" t="s">
        <v>2358</v>
      </c>
      <c r="B7" s="137">
        <v>1</v>
      </c>
      <c r="C7" s="137">
        <v>1</v>
      </c>
      <c r="D7" s="191">
        <v>1</v>
      </c>
      <c r="E7" s="191">
        <v>1</v>
      </c>
      <c r="F7" s="137"/>
      <c r="G7" s="137"/>
      <c r="H7" s="137"/>
      <c r="I7" s="137">
        <v>1</v>
      </c>
      <c r="J7" s="137"/>
      <c r="K7" s="137"/>
      <c r="L7" s="137"/>
      <c r="N7" s="44"/>
      <c r="O7" s="40"/>
      <c r="P7" s="40"/>
      <c r="Q7" s="40"/>
      <c r="R7" s="40"/>
      <c r="S7" s="40"/>
      <c r="T7" s="40"/>
      <c r="U7" s="40"/>
      <c r="V7" s="40"/>
      <c r="W7" s="40"/>
      <c r="X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x14ac:dyDescent="0.25">
      <c r="A8" s="37" t="str">
        <f>LCI!A2</f>
        <v>Land Cost ($)</v>
      </c>
      <c r="B8" s="125">
        <f>SoyCult!$O19*B$7</f>
        <v>1654900</v>
      </c>
      <c r="C8" s="125">
        <f>SoyCult!$O19*C$7</f>
        <v>1654900</v>
      </c>
      <c r="D8" s="192">
        <f>CornCult!$K$19*$D$7</f>
        <v>1654900</v>
      </c>
      <c r="E8" s="192">
        <f>CornCult!$K$19*$D$7</f>
        <v>1654900</v>
      </c>
      <c r="F8" s="13"/>
      <c r="G8" s="13"/>
      <c r="H8" s="13"/>
      <c r="I8" s="69">
        <f>508079*I$7</f>
        <v>508079</v>
      </c>
      <c r="J8" s="13"/>
      <c r="K8" s="13"/>
      <c r="L8" s="13"/>
      <c r="N8" s="44"/>
      <c r="O8" s="40"/>
      <c r="P8" s="40"/>
      <c r="Q8" s="40"/>
      <c r="R8" s="40"/>
      <c r="S8" s="40"/>
      <c r="T8" s="40"/>
      <c r="U8" s="40"/>
      <c r="V8" s="40"/>
      <c r="W8" s="40"/>
      <c r="X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x14ac:dyDescent="0.25">
      <c r="A9" s="37" t="str">
        <f>LCI!A3</f>
        <v>Capital Cost ($)</v>
      </c>
      <c r="B9" s="125">
        <f>SoyCult!$O18*B$7</f>
        <v>681700</v>
      </c>
      <c r="C9" s="125">
        <f>SoyCult!$O18*C$7</f>
        <v>681700</v>
      </c>
      <c r="D9" s="192">
        <f>CornCult!$K$18*$D$7</f>
        <v>597740</v>
      </c>
      <c r="E9" s="192">
        <f>CornCult!$K$18*$D$7</f>
        <v>597740</v>
      </c>
      <c r="F9" s="13"/>
      <c r="G9" s="13"/>
      <c r="H9" s="13"/>
      <c r="I9" s="69">
        <f>43500000*I$7</f>
        <v>43500000</v>
      </c>
      <c r="J9" s="13"/>
      <c r="K9" s="13"/>
      <c r="L9" s="13"/>
      <c r="N9" s="44"/>
      <c r="O9" s="40"/>
      <c r="P9" s="40"/>
      <c r="Q9" s="40"/>
      <c r="R9" s="40"/>
      <c r="S9" s="40"/>
      <c r="T9" s="40"/>
      <c r="U9" s="40"/>
      <c r="V9" s="40"/>
      <c r="W9" s="40"/>
      <c r="X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x14ac:dyDescent="0.25">
      <c r="A10" s="37" t="str">
        <f>LCI!A4</f>
        <v>Labor ($/yr)</v>
      </c>
      <c r="B10" s="125">
        <f>SoyCult!$O20*B$7</f>
        <v>6175.0000000000009</v>
      </c>
      <c r="C10" s="125">
        <f>SoyCult!$O20*C$7</f>
        <v>6175.0000000000009</v>
      </c>
      <c r="D10" s="192">
        <f>CornCult!$K$20*$D$7</f>
        <v>8148.5300000000007</v>
      </c>
      <c r="E10" s="192">
        <f>CornCult!$K$20*$D$7</f>
        <v>8148.5300000000007</v>
      </c>
      <c r="F10" s="13"/>
      <c r="G10" s="13"/>
      <c r="H10" s="13"/>
      <c r="I10" s="69">
        <f>1328900*I$7</f>
        <v>1328900</v>
      </c>
      <c r="J10" s="13"/>
      <c r="K10" s="13"/>
      <c r="L10" s="13"/>
      <c r="N10" s="44"/>
      <c r="O10" s="40"/>
      <c r="P10" s="40"/>
      <c r="Q10" s="40"/>
      <c r="R10" s="40"/>
      <c r="S10" s="40"/>
      <c r="T10" s="40"/>
      <c r="U10" s="40"/>
      <c r="V10" s="40"/>
      <c r="W10" s="40"/>
      <c r="X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x14ac:dyDescent="0.25">
      <c r="A11" s="37" t="str">
        <f>LCI!A5</f>
        <v>Arable Land (ha/yr)</v>
      </c>
      <c r="B11" s="13">
        <f>SoyCult!$B2*B$7</f>
        <v>100</v>
      </c>
      <c r="C11" s="13">
        <f>SoyCult!$B2*C$7</f>
        <v>100</v>
      </c>
      <c r="D11" s="193">
        <f>CornCult!$B$2*$D$7</f>
        <v>100</v>
      </c>
      <c r="E11" s="193">
        <f>CornCult!$B$2*$D$7</f>
        <v>100</v>
      </c>
      <c r="F11" s="13"/>
      <c r="G11" s="13"/>
      <c r="H11" s="13"/>
      <c r="I11" s="38"/>
      <c r="J11" s="13"/>
      <c r="K11" s="13"/>
      <c r="L11" s="1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x14ac:dyDescent="0.25">
      <c r="A12" s="37" t="str">
        <f>LCI!A6</f>
        <v>Marginal Land (ha/yr)</v>
      </c>
      <c r="B12" s="13"/>
      <c r="C12" s="13"/>
      <c r="D12" s="193"/>
      <c r="E12" s="193"/>
      <c r="F12" s="13"/>
      <c r="G12" s="13"/>
      <c r="H12" s="13"/>
      <c r="I12" s="38">
        <f>AlgaeCult!B3*I$7</f>
        <v>121</v>
      </c>
      <c r="J12" s="13"/>
      <c r="K12" s="13"/>
      <c r="L12" s="13"/>
      <c r="N12" s="44"/>
      <c r="O12" s="40"/>
      <c r="P12" s="40"/>
      <c r="Q12" s="40"/>
      <c r="R12" s="40"/>
      <c r="S12" s="40"/>
      <c r="T12" s="40"/>
      <c r="U12" s="40"/>
      <c r="V12" s="40"/>
      <c r="W12" s="40"/>
      <c r="X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x14ac:dyDescent="0.25">
      <c r="A13" s="37" t="str">
        <f>LCI!A28</f>
        <v>Lime, Ag (kg/yr)</v>
      </c>
      <c r="B13" s="125">
        <f>SoyCult!$O9*B$7</f>
        <v>0</v>
      </c>
      <c r="C13" s="125">
        <f>SoyCult!$O9*C$7</f>
        <v>0</v>
      </c>
      <c r="D13" s="192">
        <f>CornCult!$K$9*$D$7</f>
        <v>52900</v>
      </c>
      <c r="E13" s="192">
        <f>CornCult!$K$9*$D$7</f>
        <v>52900</v>
      </c>
      <c r="F13" s="13"/>
      <c r="G13" s="13"/>
      <c r="H13" s="13"/>
      <c r="I13" s="69"/>
      <c r="J13" s="13"/>
      <c r="K13" s="13"/>
      <c r="L13" s="13"/>
      <c r="N13" s="44"/>
      <c r="O13" s="40"/>
      <c r="P13" s="40"/>
      <c r="Q13" s="40"/>
      <c r="R13" s="40"/>
      <c r="S13" s="40"/>
      <c r="T13" s="40"/>
      <c r="U13" s="40"/>
      <c r="V13" s="40"/>
      <c r="W13" s="40"/>
      <c r="X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x14ac:dyDescent="0.25">
      <c r="A14" s="37" t="str">
        <f>LCI!A10</f>
        <v>CO2, Atmospheric (kg/yr)</v>
      </c>
      <c r="B14" s="13">
        <f>SoyCult!$O4*B$7</f>
        <v>508889.75932080013</v>
      </c>
      <c r="C14" s="13">
        <f>SoyCult!$O4*C$7</f>
        <v>508889.75932080013</v>
      </c>
      <c r="D14" s="194">
        <f>CornCult!$K$4*$D$7</f>
        <v>2456328.71</v>
      </c>
      <c r="E14" s="194">
        <f>CornCult!$K$4*$D$7</f>
        <v>2456328.71</v>
      </c>
      <c r="F14" s="13"/>
      <c r="G14" s="13"/>
      <c r="H14" s="13"/>
      <c r="I14" s="69">
        <f>9951907.5*I$7</f>
        <v>9951907.5</v>
      </c>
      <c r="J14" s="13"/>
      <c r="K14" s="13"/>
      <c r="L14" s="13"/>
      <c r="N14" s="44"/>
      <c r="O14" s="40"/>
      <c r="P14" s="40"/>
      <c r="Q14" s="40"/>
      <c r="R14" s="40"/>
      <c r="S14" s="40"/>
      <c r="T14" s="40"/>
      <c r="U14" s="40"/>
      <c r="V14" s="40"/>
      <c r="W14" s="40"/>
      <c r="X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x14ac:dyDescent="0.25">
      <c r="A15" s="37" t="str">
        <f>LCI!A11</f>
        <v>CO2, Commercial (kg/yr)</v>
      </c>
      <c r="B15" s="13"/>
      <c r="C15" s="13"/>
      <c r="D15" s="193"/>
      <c r="E15" s="193"/>
      <c r="F15" s="13"/>
      <c r="G15" s="13"/>
      <c r="H15" s="13"/>
      <c r="I15" s="69"/>
      <c r="J15" s="13"/>
      <c r="K15" s="13"/>
      <c r="L15" s="13"/>
      <c r="N15" s="44"/>
      <c r="O15" s="40"/>
      <c r="P15" s="40"/>
      <c r="Q15" s="40"/>
      <c r="R15" s="40"/>
      <c r="S15" s="40"/>
      <c r="T15" s="40"/>
      <c r="U15" s="40"/>
      <c r="V15" s="40"/>
      <c r="W15" s="40"/>
      <c r="X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x14ac:dyDescent="0.25">
      <c r="A16" s="37" t="str">
        <f>LCI!A13</f>
        <v>Corn Seed (kg/yr)</v>
      </c>
      <c r="B16" s="13"/>
      <c r="C16" s="13"/>
      <c r="D16" s="192">
        <f>CornCult!$K$5*$D$7</f>
        <v>1769.4594832116632</v>
      </c>
      <c r="E16" s="192">
        <f>CornCult!$K$5*$D$7</f>
        <v>1769.4594832116632</v>
      </c>
      <c r="F16" s="13"/>
      <c r="G16" s="13"/>
      <c r="H16" s="13"/>
      <c r="I16" s="69"/>
      <c r="J16" s="13"/>
      <c r="K16" s="13"/>
      <c r="L16" s="13"/>
      <c r="N16" s="44"/>
      <c r="O16" s="40"/>
      <c r="P16" s="40"/>
      <c r="Q16" s="40"/>
      <c r="R16" s="40"/>
      <c r="S16" s="40"/>
      <c r="T16" s="40"/>
      <c r="U16" s="40"/>
      <c r="V16" s="40"/>
      <c r="W16" s="40"/>
      <c r="X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x14ac:dyDescent="0.25">
      <c r="A17" s="37" t="str">
        <f>LCI!A18</f>
        <v>Forestry Residue (kg/yr)</v>
      </c>
      <c r="B17" s="13"/>
      <c r="C17" s="13"/>
      <c r="D17" s="192"/>
      <c r="E17" s="192"/>
      <c r="F17" s="13"/>
      <c r="G17" s="13"/>
      <c r="H17" s="13"/>
      <c r="I17" s="69"/>
      <c r="J17" s="13"/>
      <c r="K17" s="13"/>
      <c r="L17" s="13"/>
      <c r="N17" s="44"/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x14ac:dyDescent="0.25">
      <c r="A18" s="37" t="str">
        <f>LCI!A19</f>
        <v>Forestry Seed (cuttings/yr)</v>
      </c>
      <c r="B18" s="13"/>
      <c r="C18" s="13"/>
      <c r="D18" s="192"/>
      <c r="E18" s="192"/>
      <c r="F18" s="13"/>
      <c r="G18" s="13"/>
      <c r="H18" s="13"/>
      <c r="I18" s="69"/>
      <c r="J18" s="13"/>
      <c r="K18" s="13"/>
      <c r="L18" s="13"/>
      <c r="N18" s="44"/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x14ac:dyDescent="0.25">
      <c r="A19" s="37" t="str">
        <f>LCI!A24</f>
        <v>Grass Seed (kg/yr)</v>
      </c>
      <c r="B19" s="13"/>
      <c r="C19" s="13"/>
      <c r="D19" s="192"/>
      <c r="E19" s="192"/>
      <c r="F19" s="13"/>
      <c r="G19" s="13"/>
      <c r="H19" s="13"/>
      <c r="I19" s="69"/>
      <c r="J19" s="13"/>
      <c r="K19" s="13"/>
      <c r="L19" s="13"/>
      <c r="N19" s="44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37" t="str">
        <f>LCI!A25</f>
        <v>Herbicide (kg/yr)</v>
      </c>
      <c r="B20" s="125">
        <f>SoyCult!$O10*B$7</f>
        <v>241.37063683200009</v>
      </c>
      <c r="C20" s="125">
        <f>SoyCult!$O10*C$7</f>
        <v>241.37063683200009</v>
      </c>
      <c r="D20" s="192">
        <f>CornCult!$K$10*$D$7</f>
        <v>121.30000000000001</v>
      </c>
      <c r="E20" s="192">
        <f>CornCult!$K$10*$D$7</f>
        <v>121.30000000000001</v>
      </c>
      <c r="F20" s="13"/>
      <c r="G20" s="13"/>
      <c r="H20" s="13"/>
      <c r="I20" s="69"/>
      <c r="J20" s="13"/>
      <c r="K20" s="13"/>
      <c r="L20" s="13"/>
      <c r="N20" s="44"/>
      <c r="O20" s="40"/>
      <c r="P20" s="40"/>
      <c r="Q20" s="40"/>
      <c r="R20" s="40"/>
      <c r="S20" s="40"/>
      <c r="T20" s="40"/>
      <c r="U20" s="40"/>
      <c r="V20" s="40"/>
      <c r="W20" s="40"/>
      <c r="X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x14ac:dyDescent="0.25">
      <c r="A21" s="37" t="str">
        <f>LCI!A27</f>
        <v>Insecticide (kg/yr)</v>
      </c>
      <c r="B21" s="125">
        <f>SoyCult!$O11*B$7</f>
        <v>6.0342659208000029</v>
      </c>
      <c r="C21" s="125">
        <f>SoyCult!$O11*C$7</f>
        <v>6.0342659208000029</v>
      </c>
      <c r="D21" s="192">
        <f>CornCult!$K$11*$D$7</f>
        <v>0</v>
      </c>
      <c r="E21" s="192">
        <f>CornCult!$K$11*$D$7</f>
        <v>0</v>
      </c>
      <c r="F21" s="13"/>
      <c r="G21" s="13"/>
      <c r="H21" s="13"/>
      <c r="I21" s="69"/>
      <c r="J21" s="13"/>
      <c r="K21" s="13"/>
      <c r="L21" s="13"/>
      <c r="N21" s="44"/>
      <c r="O21" s="40"/>
      <c r="P21" s="40"/>
      <c r="Q21" s="40"/>
      <c r="R21" s="40"/>
      <c r="S21" s="40"/>
      <c r="T21" s="40"/>
      <c r="U21" s="40"/>
      <c r="V21" s="40"/>
      <c r="W21" s="40"/>
      <c r="X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x14ac:dyDescent="0.25">
      <c r="A22" s="37" t="str">
        <f>LCI!A31</f>
        <v>MSW (kg/yr)</v>
      </c>
      <c r="B22" s="13"/>
      <c r="C22" s="13"/>
      <c r="D22" s="192"/>
      <c r="E22" s="192"/>
      <c r="F22" s="13"/>
      <c r="G22" s="13"/>
      <c r="H22" s="13"/>
      <c r="I22" s="69"/>
      <c r="J22" s="13"/>
      <c r="K22" s="13"/>
      <c r="L22" s="13"/>
      <c r="N22" s="44"/>
      <c r="O22" s="40"/>
      <c r="P22" s="40"/>
      <c r="Q22" s="40"/>
      <c r="R22" s="40"/>
      <c r="S22" s="40"/>
      <c r="T22" s="40"/>
      <c r="U22" s="40"/>
      <c r="V22" s="40"/>
      <c r="W22" s="40"/>
      <c r="X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x14ac:dyDescent="0.25">
      <c r="A23" s="37" t="str">
        <f>LCI!A32</f>
        <v>Nitrogen in Fertilizer (kg/yr)</v>
      </c>
      <c r="B23" s="125">
        <f>SoyCult!$O6*B$7</f>
        <v>603.4265920800002</v>
      </c>
      <c r="C23" s="125">
        <f>SoyCult!$O6*C$7</f>
        <v>603.4265920800002</v>
      </c>
      <c r="D23" s="192">
        <f>CornCult!$K$6*$D$7</f>
        <v>18460</v>
      </c>
      <c r="E23" s="192">
        <f>CornCult!$K$6*$D$7</f>
        <v>18460</v>
      </c>
      <c r="F23" s="13"/>
      <c r="G23" s="13"/>
      <c r="H23" s="13"/>
      <c r="I23" s="69">
        <f>293554.17*I$7</f>
        <v>293554.17</v>
      </c>
      <c r="J23" s="13"/>
      <c r="K23" s="13"/>
      <c r="L23" s="13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x14ac:dyDescent="0.25">
      <c r="A24" s="37" t="str">
        <f>LCI!A34</f>
        <v>Phosphorus in Fertilizer (kg/yr)</v>
      </c>
      <c r="B24" s="125">
        <f>SoyCult!$O7*B$7</f>
        <v>1074.2693132241131</v>
      </c>
      <c r="C24" s="125">
        <f>SoyCult!$O7*C$7</f>
        <v>1074.2693132241131</v>
      </c>
      <c r="D24" s="192">
        <f>CornCult!$K$7*$D$7</f>
        <v>6300</v>
      </c>
      <c r="E24" s="192">
        <f>CornCult!$K$7*$D$7</f>
        <v>6300</v>
      </c>
      <c r="F24" s="13"/>
      <c r="G24" s="13"/>
      <c r="H24" s="13"/>
      <c r="I24" s="69">
        <f>27288.495*I$7</f>
        <v>27288.494999999999</v>
      </c>
      <c r="J24" s="13"/>
      <c r="K24" s="13"/>
      <c r="L24" s="13"/>
      <c r="N24" s="44"/>
      <c r="O24" s="40"/>
      <c r="P24" s="40"/>
      <c r="Q24" s="40"/>
      <c r="R24" s="40"/>
      <c r="S24" s="40"/>
      <c r="T24" s="40"/>
      <c r="U24" s="40"/>
      <c r="V24" s="40"/>
      <c r="W24" s="40"/>
      <c r="X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x14ac:dyDescent="0.25">
      <c r="A25" s="37" t="str">
        <f>LCI!A35</f>
        <v>Plastic (kg/yr)</v>
      </c>
      <c r="B25" s="13"/>
      <c r="C25" s="13"/>
      <c r="D25" s="192"/>
      <c r="E25" s="192"/>
      <c r="F25" s="13"/>
      <c r="G25" s="13"/>
      <c r="H25" s="13"/>
      <c r="I25" s="69">
        <f>139543.216722*I$7</f>
        <v>139543.21672200001</v>
      </c>
      <c r="J25" s="13"/>
      <c r="K25" s="13"/>
      <c r="L25" s="13"/>
      <c r="N25" s="44"/>
      <c r="O25" s="40"/>
      <c r="P25" s="40"/>
      <c r="Q25" s="40"/>
      <c r="R25" s="40"/>
      <c r="S25" s="40"/>
      <c r="T25" s="40"/>
      <c r="U25" s="40"/>
      <c r="V25" s="40"/>
      <c r="W25" s="40"/>
      <c r="X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x14ac:dyDescent="0.25">
      <c r="A26" s="37" t="str">
        <f>LCI!A36</f>
        <v>Potassium in Fertilizer (kg/yr)</v>
      </c>
      <c r="B26" s="125">
        <f>SoyCult!$O8*B$7</f>
        <v>3379.8308588310647</v>
      </c>
      <c r="C26" s="125">
        <f>SoyCult!$O8*C$7</f>
        <v>3379.8308588310647</v>
      </c>
      <c r="D26" s="192">
        <f>CornCult!$K$8*$D$7</f>
        <v>9550</v>
      </c>
      <c r="E26" s="192">
        <f>CornCult!$K$8*$D$7</f>
        <v>9550</v>
      </c>
      <c r="F26" s="13"/>
      <c r="G26" s="13"/>
      <c r="H26" s="13"/>
      <c r="I26" s="69"/>
      <c r="J26" s="13"/>
      <c r="K26" s="13"/>
      <c r="L26" s="13"/>
      <c r="N26" s="44"/>
      <c r="O26" s="40"/>
      <c r="P26" s="40"/>
      <c r="Q26" s="40"/>
      <c r="R26" s="40"/>
      <c r="S26" s="40"/>
      <c r="T26" s="40"/>
      <c r="U26" s="40"/>
      <c r="V26" s="40"/>
      <c r="W26" s="40"/>
      <c r="X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x14ac:dyDescent="0.25">
      <c r="A27" s="37" t="str">
        <f>LCI!A38</f>
        <v>Soybean Seed (kg/yr)</v>
      </c>
      <c r="B27" s="13">
        <f>SoyCult!$O5*B$7</f>
        <v>23351.399999999998</v>
      </c>
      <c r="C27" s="13">
        <f>SoyCult!$O5*C$7</f>
        <v>23351.399999999998</v>
      </c>
      <c r="D27" s="192"/>
      <c r="E27" s="192"/>
      <c r="F27" s="13"/>
      <c r="G27" s="13"/>
      <c r="H27" s="13"/>
      <c r="I27" s="69"/>
      <c r="J27" s="13"/>
      <c r="K27" s="13"/>
      <c r="L27" s="13"/>
      <c r="N27" s="44"/>
      <c r="O27" s="40"/>
      <c r="P27" s="40"/>
      <c r="Q27" s="40"/>
      <c r="R27" s="40"/>
      <c r="S27" s="40"/>
      <c r="T27" s="40"/>
      <c r="U27" s="40"/>
      <c r="V27" s="40"/>
      <c r="W27" s="40"/>
      <c r="X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x14ac:dyDescent="0.25">
      <c r="A28" s="37" t="str">
        <f>LCI!A43</f>
        <v>Water, Rain, Blue (m3/yr)</v>
      </c>
      <c r="B28" s="13">
        <f>SoyCult!$O12*B$7</f>
        <v>575000</v>
      </c>
      <c r="C28" s="13">
        <f>SoyCult!$O12*C$7</f>
        <v>575000</v>
      </c>
      <c r="D28" s="192">
        <f>CornCult!$K$12*$D$7</f>
        <v>650000</v>
      </c>
      <c r="E28" s="192">
        <f>CornCult!$K$12*$D$7</f>
        <v>650000</v>
      </c>
      <c r="F28" s="13"/>
      <c r="G28" s="13"/>
      <c r="H28" s="13"/>
      <c r="I28" s="69"/>
      <c r="J28" s="13"/>
      <c r="K28" s="13"/>
      <c r="L28" s="13"/>
      <c r="N28" s="44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x14ac:dyDescent="0.25">
      <c r="A29" s="37" t="str">
        <f>LCI!A44</f>
        <v>Water, Saline (m3/yr)</v>
      </c>
      <c r="B29" s="13"/>
      <c r="C29" s="13"/>
      <c r="D29" s="192"/>
      <c r="E29" s="192"/>
      <c r="F29" s="13"/>
      <c r="G29" s="13"/>
      <c r="H29" s="13"/>
      <c r="I29" s="69">
        <f>10301103*I$7</f>
        <v>10301103</v>
      </c>
      <c r="J29" s="13"/>
      <c r="K29" s="13"/>
      <c r="L29" s="13"/>
      <c r="N29" s="44"/>
      <c r="O29" s="40"/>
      <c r="P29" s="40"/>
      <c r="Q29" s="40"/>
      <c r="R29" s="40"/>
      <c r="S29" s="40"/>
      <c r="T29" s="40"/>
      <c r="U29" s="40"/>
      <c r="V29" s="40"/>
      <c r="W29" s="40"/>
      <c r="X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x14ac:dyDescent="0.25">
      <c r="A30" s="37" t="str">
        <f>LCI!A46</f>
        <v>WOG, raw (kg/yr)</v>
      </c>
      <c r="B30" s="13"/>
      <c r="C30" s="13"/>
      <c r="D30" s="192"/>
      <c r="E30" s="192"/>
      <c r="F30" s="13"/>
      <c r="G30" s="13"/>
      <c r="H30" s="13"/>
      <c r="I30" s="69"/>
      <c r="J30" s="13"/>
      <c r="K30" s="13"/>
      <c r="L30" s="13"/>
      <c r="N30" s="44"/>
      <c r="O30" s="40"/>
      <c r="P30" s="40"/>
      <c r="Q30" s="40"/>
      <c r="R30" s="40"/>
      <c r="S30" s="40"/>
      <c r="T30" s="40"/>
      <c r="U30" s="40"/>
      <c r="V30" s="40"/>
      <c r="W30" s="40"/>
      <c r="X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x14ac:dyDescent="0.25">
      <c r="A31" s="37" t="str">
        <f>LCI!A48</f>
        <v>Diesel (kg/yr)</v>
      </c>
      <c r="B31" s="125">
        <f>SoyCult!$O13*B$7</f>
        <v>4676.5560886200019</v>
      </c>
      <c r="C31" s="125">
        <f>SoyCult!$O13*C$7</f>
        <v>4676.5560886200019</v>
      </c>
      <c r="D31" s="192">
        <f>CornCult!$K$13*$D$7</f>
        <v>128108.6</v>
      </c>
      <c r="E31" s="192">
        <f>CornCult!$K$13*$D$7</f>
        <v>128108.6</v>
      </c>
      <c r="F31" s="13"/>
      <c r="G31" s="13"/>
      <c r="H31" s="13"/>
      <c r="I31" s="69"/>
      <c r="J31" s="13"/>
      <c r="K31" s="13"/>
      <c r="L31" s="13"/>
      <c r="N31" s="44"/>
      <c r="O31" s="40"/>
      <c r="P31" s="40"/>
      <c r="Q31" s="40"/>
      <c r="R31" s="40"/>
      <c r="S31" s="40"/>
      <c r="T31" s="40"/>
      <c r="U31" s="40"/>
      <c r="V31" s="40"/>
      <c r="W31" s="40"/>
      <c r="X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x14ac:dyDescent="0.25">
      <c r="A32" s="37" t="str">
        <f>LCI!A49</f>
        <v>Electricity, Grid (MJ/yr)</v>
      </c>
      <c r="B32" s="125">
        <f>SoyCult!$O17*B$7</f>
        <v>10740.993339024004</v>
      </c>
      <c r="C32" s="125">
        <f>SoyCult!$O17*C$7</f>
        <v>10740.993339024004</v>
      </c>
      <c r="D32" s="192">
        <f>CornCult!$K$17*$D$7</f>
        <v>145379.79999999999</v>
      </c>
      <c r="E32" s="192">
        <f>CornCult!$K$17*$D$7</f>
        <v>145379.79999999999</v>
      </c>
      <c r="F32" s="13"/>
      <c r="G32" s="13"/>
      <c r="H32" s="13"/>
      <c r="I32" s="69">
        <f>51757474.5*I$7</f>
        <v>51757474.5</v>
      </c>
      <c r="J32" s="13"/>
      <c r="K32" s="13"/>
      <c r="L32" s="13"/>
      <c r="N32" s="44"/>
      <c r="O32" s="40"/>
      <c r="P32" s="40"/>
      <c r="Q32" s="40"/>
      <c r="R32" s="40"/>
      <c r="S32" s="40"/>
      <c r="T32" s="40"/>
      <c r="U32" s="40"/>
      <c r="V32" s="40"/>
      <c r="W32" s="40"/>
      <c r="X32" s="4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x14ac:dyDescent="0.25">
      <c r="A33" s="37" t="str">
        <f>LCI!A51</f>
        <v>Gasoline (kg/yr)</v>
      </c>
      <c r="B33" s="125">
        <f>SoyCult!$O14*B$7</f>
        <v>1055.9965361400004</v>
      </c>
      <c r="C33" s="125">
        <f>SoyCult!$O14*C$7</f>
        <v>1055.9965361400004</v>
      </c>
      <c r="D33" s="192">
        <f>CornCult!$K$14*$D$7</f>
        <v>0</v>
      </c>
      <c r="E33" s="192">
        <f>CornCult!$K$14*$D$7</f>
        <v>0</v>
      </c>
      <c r="F33" s="13"/>
      <c r="G33" s="13"/>
      <c r="H33" s="13"/>
      <c r="I33" s="69"/>
      <c r="J33" s="13"/>
      <c r="K33" s="13"/>
      <c r="L33" s="13"/>
      <c r="N33" s="44"/>
      <c r="O33" s="40"/>
      <c r="P33" s="40"/>
      <c r="Q33" s="40"/>
      <c r="R33" s="40"/>
      <c r="S33" s="40"/>
      <c r="T33" s="40"/>
      <c r="U33" s="40"/>
      <c r="V33" s="40"/>
      <c r="W33" s="40"/>
      <c r="X33" s="4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x14ac:dyDescent="0.25">
      <c r="A34" s="37" t="str">
        <f>LCI!A54</f>
        <v>Heat (MJ/yr)</v>
      </c>
      <c r="B34" s="13"/>
      <c r="C34" s="13"/>
      <c r="D34" s="195" t="s">
        <v>2359</v>
      </c>
      <c r="E34" s="192"/>
      <c r="F34" s="13"/>
      <c r="G34" s="13"/>
      <c r="H34" s="13"/>
      <c r="I34" s="69">
        <f>1760103*I$7</f>
        <v>1760103</v>
      </c>
      <c r="J34" s="13"/>
      <c r="K34" s="13"/>
      <c r="L34" s="13"/>
      <c r="N34" s="44"/>
      <c r="O34" s="40"/>
      <c r="P34" s="40"/>
      <c r="Q34" s="40"/>
      <c r="R34" s="40"/>
      <c r="S34" s="40"/>
      <c r="T34" s="40"/>
      <c r="U34" s="40"/>
      <c r="V34" s="40"/>
      <c r="W34" s="40"/>
      <c r="X34" s="40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x14ac:dyDescent="0.25">
      <c r="A35" s="37" t="str">
        <f>LCI!A53</f>
        <v>LPG (kg/yr)</v>
      </c>
      <c r="B35" s="125">
        <f>SoyCult!$O15*B$7</f>
        <v>205.76846789928007</v>
      </c>
      <c r="C35" s="125">
        <f>SoyCult!$O15*C$7</f>
        <v>205.76846789928007</v>
      </c>
      <c r="D35" s="192">
        <f>CornCult!$K$15*$D$7</f>
        <v>0</v>
      </c>
      <c r="E35" s="192">
        <f>CornCult!$K$15*$D$7</f>
        <v>0</v>
      </c>
      <c r="F35" s="13"/>
      <c r="G35" s="13"/>
      <c r="H35" s="13"/>
      <c r="I35" s="69"/>
      <c r="J35" s="13"/>
      <c r="K35" s="13"/>
      <c r="L35" s="13"/>
      <c r="N35" s="44"/>
      <c r="O35" s="40"/>
      <c r="P35" s="40"/>
      <c r="Q35" s="40"/>
      <c r="R35" s="40"/>
      <c r="S35" s="40"/>
      <c r="T35" s="40"/>
      <c r="U35" s="40"/>
      <c r="V35" s="40"/>
      <c r="W35" s="40"/>
      <c r="X35" s="40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x14ac:dyDescent="0.25">
      <c r="A36" s="37" t="str">
        <f>LCI!A56</f>
        <v>Natural Gas (kg/yr)</v>
      </c>
      <c r="B36" s="125">
        <f>SoyCult!$O16*B$7</f>
        <v>264.90427392312006</v>
      </c>
      <c r="C36" s="125">
        <f>SoyCult!$O16*C$7</f>
        <v>264.90427392312006</v>
      </c>
      <c r="D36" s="196" t="s">
        <v>2360</v>
      </c>
      <c r="E36" s="196" t="s">
        <v>2360</v>
      </c>
      <c r="F36" s="13"/>
      <c r="G36" s="13"/>
      <c r="H36" s="13"/>
      <c r="I36" s="69"/>
      <c r="J36" s="13"/>
      <c r="K36" s="13"/>
      <c r="L36" s="13"/>
      <c r="N36" s="44"/>
      <c r="O36" s="40"/>
      <c r="P36" s="40"/>
      <c r="Q36" s="40"/>
      <c r="R36" s="40"/>
      <c r="S36" s="40"/>
      <c r="T36" s="40"/>
      <c r="U36" s="40"/>
      <c r="V36" s="40"/>
      <c r="W36" s="40"/>
      <c r="X36" s="40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x14ac:dyDescent="0.25">
      <c r="A37" s="37"/>
      <c r="B37" s="13"/>
      <c r="C37" s="13"/>
      <c r="D37" s="193"/>
      <c r="E37" s="193"/>
      <c r="F37" s="13"/>
      <c r="G37" s="13"/>
      <c r="H37" s="13"/>
      <c r="I37" s="13"/>
      <c r="J37" s="13"/>
      <c r="K37" s="13"/>
      <c r="L37" s="13"/>
      <c r="N37" s="44"/>
      <c r="O37" s="40"/>
      <c r="P37" s="40"/>
      <c r="Q37" s="40"/>
      <c r="R37" s="40"/>
      <c r="S37" s="40"/>
      <c r="T37" s="40"/>
      <c r="U37" s="40"/>
      <c r="V37" s="40"/>
      <c r="W37" s="40"/>
      <c r="X37" s="40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x14ac:dyDescent="0.25">
      <c r="A38" s="37"/>
      <c r="B38" s="13"/>
      <c r="C38" s="13"/>
      <c r="D38" s="193"/>
      <c r="E38" s="193"/>
      <c r="F38" s="13"/>
      <c r="G38" s="13"/>
      <c r="H38" s="13"/>
      <c r="I38" s="13"/>
      <c r="J38" s="13"/>
      <c r="K38" s="13"/>
      <c r="L38" s="13"/>
      <c r="N38" s="44"/>
      <c r="O38" s="40"/>
      <c r="P38" s="40"/>
      <c r="Q38" s="40"/>
      <c r="R38" s="40"/>
      <c r="S38" s="40"/>
      <c r="T38" s="40"/>
      <c r="U38" s="40"/>
      <c r="V38" s="40"/>
      <c r="W38" s="40"/>
      <c r="X38" s="40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x14ac:dyDescent="0.25">
      <c r="A39" s="124" t="s">
        <v>2361</v>
      </c>
      <c r="B39" s="137">
        <v>1</v>
      </c>
      <c r="C39" s="137">
        <v>1</v>
      </c>
      <c r="D39" s="191">
        <v>1</v>
      </c>
      <c r="E39" s="191">
        <v>1</v>
      </c>
      <c r="F39" s="137"/>
      <c r="G39" s="137"/>
      <c r="H39" s="137"/>
      <c r="I39" s="137">
        <v>1</v>
      </c>
      <c r="J39" s="137"/>
      <c r="K39" s="137"/>
      <c r="L39" s="137"/>
      <c r="N39" s="44"/>
      <c r="O39" s="40"/>
      <c r="P39" s="40"/>
      <c r="Q39" s="40"/>
      <c r="R39" s="40"/>
      <c r="S39" s="40"/>
      <c r="T39" s="40"/>
      <c r="U39" s="40"/>
      <c r="V39" s="40"/>
      <c r="W39" s="40"/>
      <c r="X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x14ac:dyDescent="0.25">
      <c r="A40" s="37" t="str">
        <f>LCI!A3</f>
        <v>Capital Cost ($)</v>
      </c>
      <c r="B40" s="132">
        <f>HexExt!$L10*B$39</f>
        <v>166250.16312406166</v>
      </c>
      <c r="C40" s="132">
        <f>HexExt!$L10*C$39</f>
        <v>166250.16312406166</v>
      </c>
      <c r="D40" s="192">
        <f>StarchFerm!K18*D39</f>
        <v>2928960.6</v>
      </c>
      <c r="E40" s="13"/>
      <c r="F40" s="13"/>
      <c r="G40" s="13"/>
      <c r="H40" s="13"/>
      <c r="I40" s="153">
        <f>HexExt!Q10*I$39</f>
        <v>0</v>
      </c>
      <c r="J40" s="13"/>
      <c r="K40" s="13"/>
      <c r="L40" s="13"/>
      <c r="N40" s="44"/>
      <c r="O40" s="40"/>
      <c r="P40" s="40"/>
      <c r="Q40" s="40"/>
      <c r="R40" s="40"/>
      <c r="S40" s="40"/>
      <c r="T40" s="40"/>
      <c r="U40" s="40"/>
      <c r="V40" s="40"/>
      <c r="W40" s="40"/>
      <c r="X40" s="40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x14ac:dyDescent="0.25">
      <c r="A41" s="37" t="str">
        <f>LCI!A4</f>
        <v>Labor ($/yr)</v>
      </c>
      <c r="B41" s="132">
        <f>HexExt!$L11*B$39</f>
        <v>1260.0012363086778</v>
      </c>
      <c r="C41" s="132">
        <f>HexExt!$L11*C$39</f>
        <v>1260.0012363086778</v>
      </c>
      <c r="D41" s="192">
        <f>StarchFerm!K20*D39</f>
        <v>28148.309999999998</v>
      </c>
      <c r="E41" s="13"/>
      <c r="F41" s="13"/>
      <c r="G41" s="13"/>
      <c r="H41" s="13"/>
      <c r="I41" s="69">
        <f>41100*I$39</f>
        <v>41100</v>
      </c>
      <c r="J41" s="13"/>
      <c r="K41" s="13"/>
      <c r="L41" s="13"/>
      <c r="N41" s="44"/>
      <c r="O41" s="40"/>
      <c r="P41" s="40"/>
      <c r="Q41" s="40"/>
      <c r="R41" s="40"/>
      <c r="S41" s="40"/>
      <c r="T41" s="40"/>
      <c r="U41" s="40"/>
      <c r="V41" s="40"/>
      <c r="W41" s="40"/>
      <c r="X41" s="40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x14ac:dyDescent="0.25">
      <c r="A42" s="37" t="str">
        <f>LCI!A7</f>
        <v>Air (kg/yr)</v>
      </c>
      <c r="B42" s="13"/>
      <c r="C42" s="13"/>
      <c r="D42" s="192"/>
      <c r="E42" s="13"/>
      <c r="F42" s="13"/>
      <c r="G42" s="13"/>
      <c r="H42" s="13"/>
      <c r="I42" s="69"/>
      <c r="J42" s="13"/>
      <c r="K42" s="13"/>
      <c r="L42" s="13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x14ac:dyDescent="0.25">
      <c r="A43" s="37" t="str">
        <f>LCI!A64</f>
        <v>Algal Biomass, Whole (kg/yr)</v>
      </c>
      <c r="B43" s="13"/>
      <c r="C43" s="13"/>
      <c r="D43" s="192"/>
      <c r="E43" s="13"/>
      <c r="F43" s="13"/>
      <c r="G43" s="13"/>
      <c r="H43" s="13"/>
      <c r="I43" s="69">
        <f>4928157*I$39</f>
        <v>4928157</v>
      </c>
      <c r="J43" s="13"/>
      <c r="K43" s="13"/>
      <c r="L43" s="13"/>
      <c r="N43" s="44"/>
      <c r="O43" s="40"/>
      <c r="P43" s="40"/>
      <c r="Q43" s="40"/>
      <c r="R43" s="40"/>
      <c r="S43" s="40"/>
      <c r="T43" s="40"/>
      <c r="U43" s="40"/>
      <c r="V43" s="40"/>
      <c r="W43" s="40"/>
      <c r="X43" s="40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5">
      <c r="A44" s="37" t="str">
        <f>LCI!A8</f>
        <v>Alpha-Amylase (kg/yr)</v>
      </c>
      <c r="B44" s="13"/>
      <c r="C44" s="13"/>
      <c r="D44" s="192"/>
      <c r="E44" s="13"/>
      <c r="F44" s="13"/>
      <c r="G44" s="13"/>
      <c r="H44" s="13"/>
      <c r="I44" s="69"/>
      <c r="J44" s="13"/>
      <c r="K44" s="13"/>
      <c r="L44" s="13"/>
      <c r="N44" s="44"/>
      <c r="O44" s="40"/>
      <c r="P44" s="40"/>
      <c r="Q44" s="40"/>
      <c r="R44" s="40"/>
      <c r="S44" s="40"/>
      <c r="T44" s="40"/>
      <c r="U44" s="40"/>
      <c r="V44" s="40"/>
      <c r="W44" s="40"/>
      <c r="X44" s="40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x14ac:dyDescent="0.25">
      <c r="A45" s="37" t="str">
        <f>LCI!A9</f>
        <v>Ammonia (kg/yr)</v>
      </c>
      <c r="B45" s="13"/>
      <c r="C45" s="13"/>
      <c r="D45" s="192"/>
      <c r="E45" s="13"/>
      <c r="F45" s="13"/>
      <c r="G45" s="13"/>
      <c r="H45" s="13"/>
      <c r="I45" s="69"/>
      <c r="J45" s="13"/>
      <c r="K45" s="13"/>
      <c r="L45" s="13"/>
      <c r="N45" s="44"/>
      <c r="O45" s="40"/>
      <c r="P45" s="40"/>
      <c r="Q45" s="40"/>
      <c r="R45" s="40"/>
      <c r="S45" s="40"/>
      <c r="T45" s="40"/>
      <c r="U45" s="40"/>
      <c r="V45" s="40"/>
      <c r="W45" s="40"/>
      <c r="X45" s="40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x14ac:dyDescent="0.25">
      <c r="A46" s="37" t="str">
        <f>LCI!A69</f>
        <v>Corn Grain (kg/yr)</v>
      </c>
      <c r="B46" s="13"/>
      <c r="C46" s="13"/>
      <c r="D46" s="192">
        <f>D39*StarchFerm!K4</f>
        <v>1097400</v>
      </c>
      <c r="E46" s="13"/>
      <c r="F46" s="13"/>
      <c r="G46" s="13"/>
      <c r="H46" s="13"/>
      <c r="I46" s="69"/>
      <c r="J46" s="13"/>
      <c r="K46" s="13"/>
      <c r="L46" s="13"/>
      <c r="N46" s="44"/>
      <c r="O46" s="40"/>
      <c r="P46" s="40"/>
      <c r="Q46" s="40"/>
      <c r="R46" s="40"/>
      <c r="S46" s="40"/>
      <c r="T46" s="40"/>
      <c r="U46" s="40"/>
      <c r="V46" s="40"/>
      <c r="W46" s="40"/>
      <c r="X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25">
      <c r="A47" s="37" t="str">
        <f>LCI!A70</f>
        <v>Corn Stover, Collected (kg/yr)</v>
      </c>
      <c r="B47" s="13"/>
      <c r="C47" s="13"/>
      <c r="D47" s="192"/>
      <c r="E47" s="13"/>
      <c r="F47" s="13"/>
      <c r="G47" s="13"/>
      <c r="H47" s="13"/>
      <c r="I47" s="69"/>
      <c r="J47" s="13"/>
      <c r="K47" s="13"/>
      <c r="L47" s="13"/>
      <c r="N47" s="44"/>
      <c r="O47" s="40"/>
      <c r="P47" s="40"/>
      <c r="Q47" s="40"/>
      <c r="R47" s="40"/>
      <c r="S47" s="40"/>
      <c r="T47" s="40"/>
      <c r="U47" s="40"/>
      <c r="V47" s="40"/>
      <c r="W47" s="40"/>
      <c r="X47" s="40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x14ac:dyDescent="0.25">
      <c r="A48" s="37" t="str">
        <f>LCI!A16</f>
        <v>Enzymes (kg/yr)</v>
      </c>
      <c r="B48" s="13"/>
      <c r="C48" s="13"/>
      <c r="D48" s="195" t="s">
        <v>2362</v>
      </c>
      <c r="E48" s="13"/>
      <c r="F48" s="13"/>
      <c r="G48" s="13"/>
      <c r="H48" s="13"/>
      <c r="I48" s="69"/>
      <c r="J48" s="13"/>
      <c r="K48" s="13"/>
      <c r="L48" s="13"/>
      <c r="N48" s="44"/>
      <c r="O48" s="40"/>
      <c r="P48" s="40"/>
      <c r="Q48" s="40"/>
      <c r="R48" s="40"/>
      <c r="S48" s="40"/>
      <c r="T48" s="40"/>
      <c r="U48" s="40"/>
      <c r="V48" s="40"/>
      <c r="W48" s="40"/>
      <c r="X48" s="40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x14ac:dyDescent="0.25">
      <c r="A49" s="37" t="str">
        <f>LCI!A20</f>
        <v>FT Catalysts (kg/yr)</v>
      </c>
      <c r="B49" s="13"/>
      <c r="C49" s="13"/>
      <c r="D49" s="192"/>
      <c r="E49" s="13"/>
      <c r="F49" s="13"/>
      <c r="G49" s="13"/>
      <c r="H49" s="13"/>
      <c r="I49" s="69"/>
      <c r="J49" s="13"/>
      <c r="K49" s="13"/>
      <c r="L49" s="13"/>
      <c r="N49" s="44"/>
      <c r="O49" s="40"/>
      <c r="P49" s="40"/>
      <c r="Q49" s="40"/>
      <c r="R49" s="40"/>
      <c r="S49" s="40"/>
      <c r="T49" s="40"/>
      <c r="U49" s="40"/>
      <c r="V49" s="40"/>
      <c r="W49" s="40"/>
      <c r="X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x14ac:dyDescent="0.25">
      <c r="A50" s="37" t="str">
        <f>LCI!A21</f>
        <v>Glucoamylase (kg/yr)</v>
      </c>
      <c r="B50" s="13"/>
      <c r="C50" s="13"/>
      <c r="D50" s="192"/>
      <c r="E50" s="13"/>
      <c r="F50" s="13"/>
      <c r="G50" s="13"/>
      <c r="H50" s="13"/>
      <c r="I50" s="69"/>
      <c r="J50" s="13"/>
      <c r="K50" s="13"/>
      <c r="L50" s="13"/>
      <c r="N50" s="44"/>
      <c r="O50" s="40"/>
      <c r="P50" s="40"/>
      <c r="Q50" s="40"/>
      <c r="R50" s="40"/>
      <c r="S50" s="40"/>
      <c r="T50" s="40"/>
      <c r="U50" s="40"/>
      <c r="V50" s="40"/>
      <c r="W50" s="40"/>
      <c r="X50" s="40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x14ac:dyDescent="0.25">
      <c r="A51" s="37" t="str">
        <f>LCI!A22</f>
        <v>Glucose (kg/yr)</v>
      </c>
      <c r="B51" s="13"/>
      <c r="C51" s="13"/>
      <c r="D51" s="192"/>
      <c r="E51" s="13"/>
      <c r="F51" s="13"/>
      <c r="G51" s="13"/>
      <c r="H51" s="13"/>
      <c r="I51" s="69"/>
      <c r="J51" s="13"/>
      <c r="K51" s="13"/>
      <c r="L51" s="13"/>
      <c r="N51" s="44"/>
      <c r="O51" s="40"/>
      <c r="P51" s="40"/>
      <c r="Q51" s="40"/>
      <c r="R51" s="40"/>
      <c r="S51" s="40"/>
      <c r="T51" s="40"/>
      <c r="U51" s="40"/>
      <c r="V51" s="40"/>
      <c r="W51" s="40"/>
      <c r="X51" s="40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x14ac:dyDescent="0.25">
      <c r="A52" s="37" t="str">
        <f>LCI!A26</f>
        <v>Hexane (kg/yr)</v>
      </c>
      <c r="B52" s="132">
        <f>HexExt!$L5*B$39</f>
        <v>238.35350387160008</v>
      </c>
      <c r="C52" s="132">
        <f>HexExt!$L5*C$39</f>
        <v>238.35350387160008</v>
      </c>
      <c r="D52" s="192"/>
      <c r="E52" s="13"/>
      <c r="F52" s="13"/>
      <c r="G52" s="13"/>
      <c r="H52" s="13"/>
      <c r="I52" s="38"/>
      <c r="J52" s="13"/>
      <c r="K52" s="13"/>
      <c r="L52" s="13"/>
      <c r="N52" s="44"/>
      <c r="O52" s="40"/>
      <c r="P52" s="40"/>
      <c r="Q52" s="40"/>
      <c r="R52" s="40"/>
      <c r="S52" s="40"/>
      <c r="T52" s="40"/>
      <c r="U52" s="40"/>
      <c r="V52" s="40"/>
      <c r="W52" s="40"/>
      <c r="X52" s="40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x14ac:dyDescent="0.25">
      <c r="A53" s="37" t="str">
        <f>LCI!A76</f>
        <v>Refused Derived Fuel (kg/yr)</v>
      </c>
      <c r="B53" s="13"/>
      <c r="C53" s="13"/>
      <c r="D53" s="192"/>
      <c r="E53" s="13"/>
      <c r="F53" s="13"/>
      <c r="G53" s="13"/>
      <c r="H53" s="13"/>
      <c r="I53" s="69"/>
      <c r="J53" s="13"/>
      <c r="K53" s="13"/>
      <c r="L53" s="13"/>
      <c r="N53" s="44"/>
      <c r="O53" s="40"/>
      <c r="P53" s="40"/>
      <c r="Q53" s="40"/>
      <c r="R53" s="40"/>
      <c r="S53" s="40"/>
      <c r="T53" s="40"/>
      <c r="U53" s="40"/>
      <c r="V53" s="40"/>
      <c r="W53" s="40"/>
      <c r="X53" s="40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x14ac:dyDescent="0.25">
      <c r="A54" s="37" t="str">
        <f>LCI!A37</f>
        <v>Sodium Hydroxide (kg/yr)</v>
      </c>
      <c r="B54" s="13"/>
      <c r="C54" s="13"/>
      <c r="D54" s="192">
        <f>D39*StarchFerm!K6</f>
        <v>5472.0314639999997</v>
      </c>
      <c r="E54" s="13"/>
      <c r="F54" s="13"/>
      <c r="G54" s="13"/>
      <c r="H54" s="13"/>
      <c r="I54" s="69"/>
      <c r="J54" s="13"/>
      <c r="K54" s="13"/>
      <c r="L54" s="13"/>
      <c r="N54" s="44"/>
      <c r="O54" s="40"/>
      <c r="P54" s="40"/>
      <c r="Q54" s="40"/>
      <c r="R54" s="40"/>
      <c r="S54" s="40"/>
      <c r="T54" s="40"/>
      <c r="U54" s="40"/>
      <c r="V54" s="40"/>
      <c r="W54" s="40"/>
      <c r="X54" s="40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x14ac:dyDescent="0.25">
      <c r="A55" s="37" t="str">
        <f>LCI!A80</f>
        <v>Soybeans (kg/yr)</v>
      </c>
      <c r="B55" s="13">
        <f>HexExt!$L4*B$39</f>
        <v>301713.2960400001</v>
      </c>
      <c r="C55" s="13">
        <f>HexExt!$L4*C$39</f>
        <v>301713.2960400001</v>
      </c>
      <c r="D55" s="192"/>
      <c r="E55" s="13"/>
      <c r="F55" s="13"/>
      <c r="G55" s="13"/>
      <c r="H55" s="13"/>
      <c r="I55" s="69"/>
      <c r="J55" s="13"/>
      <c r="K55" s="13"/>
      <c r="L55" s="13"/>
      <c r="N55" s="44"/>
      <c r="O55" s="40"/>
      <c r="P55" s="40"/>
      <c r="Q55" s="40"/>
      <c r="R55" s="40"/>
      <c r="S55" s="40"/>
      <c r="T55" s="40"/>
      <c r="U55" s="40"/>
      <c r="V55" s="40"/>
      <c r="W55" s="40"/>
      <c r="X55" s="40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x14ac:dyDescent="0.25">
      <c r="A56" s="37" t="str">
        <f>LCI!A39</f>
        <v>Steam (kg/yr)</v>
      </c>
      <c r="B56" s="13"/>
      <c r="C56" s="13"/>
      <c r="D56" s="192">
        <f>D39*StarchFerm!K14</f>
        <v>1009805.532</v>
      </c>
      <c r="E56" s="13"/>
      <c r="F56" s="13"/>
      <c r="G56" s="13"/>
      <c r="H56" s="13"/>
      <c r="I56" s="69"/>
      <c r="J56" s="13"/>
      <c r="K56" s="13"/>
      <c r="L56" s="13"/>
      <c r="N56" s="44"/>
      <c r="O56" s="40"/>
      <c r="P56" s="40"/>
      <c r="Q56" s="40"/>
      <c r="R56" s="40"/>
      <c r="S56" s="40"/>
      <c r="T56" s="40"/>
      <c r="U56" s="40"/>
      <c r="V56" s="40"/>
      <c r="W56" s="40"/>
      <c r="X56" s="40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x14ac:dyDescent="0.25">
      <c r="A57" s="37" t="str">
        <f>LCI!A40</f>
        <v>Sulfuric Acid (kg/yr)</v>
      </c>
      <c r="B57" s="13"/>
      <c r="C57" s="13"/>
      <c r="D57" s="192">
        <f>D39*StarchFerm!K11</f>
        <v>2176.9980578516743</v>
      </c>
      <c r="E57" s="13"/>
      <c r="F57" s="13"/>
      <c r="G57" s="13"/>
      <c r="H57" s="13"/>
      <c r="I57" s="69"/>
      <c r="J57" s="13"/>
      <c r="K57" s="13"/>
      <c r="L57" s="13"/>
      <c r="N57" s="44"/>
      <c r="O57" s="40"/>
      <c r="P57" s="40"/>
      <c r="Q57" s="40"/>
      <c r="R57" s="40"/>
      <c r="S57" s="40"/>
      <c r="T57" s="40"/>
      <c r="U57" s="40"/>
      <c r="V57" s="40"/>
      <c r="W57" s="40"/>
      <c r="X57" s="40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x14ac:dyDescent="0.25">
      <c r="A58" s="37" t="str">
        <f>LCI!A42</f>
        <v>Water, Process (kg/yr)</v>
      </c>
      <c r="B58" s="13">
        <f>HexExt!$L6*B$39</f>
        <v>77774.982979200024</v>
      </c>
      <c r="C58" s="13">
        <f>HexExt!$L6*C$39</f>
        <v>77774.982979200024</v>
      </c>
      <c r="D58" s="192">
        <f>D39*StarchFerm!K5</f>
        <v>2329483.9019999998</v>
      </c>
      <c r="E58" s="13"/>
      <c r="F58" s="13"/>
      <c r="G58" s="13"/>
      <c r="H58" s="13"/>
      <c r="I58" s="69"/>
      <c r="J58" s="13"/>
      <c r="K58" s="13"/>
      <c r="L58" s="13"/>
      <c r="N58" s="44"/>
      <c r="O58" s="40"/>
      <c r="P58" s="40"/>
      <c r="Q58" s="40"/>
      <c r="R58" s="40"/>
      <c r="S58" s="40"/>
      <c r="T58" s="40"/>
      <c r="U58" s="40"/>
      <c r="V58" s="40"/>
      <c r="W58" s="40"/>
      <c r="X58" s="40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x14ac:dyDescent="0.25">
      <c r="A59" s="37" t="str">
        <f>LCI!A86</f>
        <v>Woody Biomass (kg/yr)</v>
      </c>
      <c r="B59" s="13"/>
      <c r="C59" s="13"/>
      <c r="D59" s="192"/>
      <c r="E59" s="13"/>
      <c r="F59" s="13"/>
      <c r="G59" s="13"/>
      <c r="H59" s="13"/>
      <c r="I59" s="69"/>
      <c r="J59" s="13"/>
      <c r="K59" s="13"/>
      <c r="L59" s="13"/>
      <c r="N59" s="44"/>
      <c r="O59" s="40"/>
      <c r="P59" s="40"/>
      <c r="Q59" s="40"/>
      <c r="R59" s="40"/>
      <c r="S59" s="40"/>
      <c r="T59" s="40"/>
      <c r="U59" s="40"/>
      <c r="V59" s="40"/>
      <c r="W59" s="40"/>
      <c r="X59" s="40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x14ac:dyDescent="0.25">
      <c r="A60" s="37" t="str">
        <f>LCI!A47</f>
        <v>Yeast (kg/yr)</v>
      </c>
      <c r="B60" s="13"/>
      <c r="C60" s="13"/>
      <c r="D60" s="192">
        <f>D39*StarchFerm!K12</f>
        <v>205.69471420883499</v>
      </c>
      <c r="E60" s="13"/>
      <c r="F60" s="13"/>
      <c r="G60" s="13"/>
      <c r="H60" s="13"/>
      <c r="I60" s="69"/>
      <c r="J60" s="13"/>
      <c r="K60" s="13"/>
      <c r="L60" s="13"/>
      <c r="N60" s="44"/>
      <c r="O60" s="40"/>
      <c r="P60" s="40"/>
      <c r="Q60" s="40"/>
      <c r="R60" s="40"/>
      <c r="S60" s="40"/>
      <c r="T60" s="40"/>
      <c r="U60" s="40"/>
      <c r="V60" s="40"/>
      <c r="W60" s="40"/>
      <c r="X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x14ac:dyDescent="0.25">
      <c r="A61" s="37" t="str">
        <f>LCI!A49</f>
        <v>Electricity, Grid (MJ/yr)</v>
      </c>
      <c r="B61" s="13">
        <f>HexExt!$L7*B$39</f>
        <v>46933.17938400001</v>
      </c>
      <c r="C61" s="13">
        <f>HexExt!$L7*C$39</f>
        <v>46933.17938400001</v>
      </c>
      <c r="D61" s="192">
        <f>D39*StarchFerm!K17</f>
        <v>337512.79500839999</v>
      </c>
      <c r="E61" s="13"/>
      <c r="F61" s="13"/>
      <c r="G61" s="13"/>
      <c r="H61" s="13"/>
      <c r="I61" s="69">
        <f>393543*I$39</f>
        <v>393543</v>
      </c>
      <c r="J61" s="13"/>
      <c r="K61" s="13"/>
      <c r="L61" s="13"/>
      <c r="N61" s="44"/>
      <c r="O61" s="40"/>
      <c r="P61" s="40"/>
      <c r="Q61" s="40"/>
      <c r="R61" s="40"/>
      <c r="S61" s="40"/>
      <c r="T61" s="40"/>
      <c r="U61" s="40"/>
      <c r="V61" s="40"/>
      <c r="W61" s="40"/>
      <c r="X61" s="40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x14ac:dyDescent="0.25">
      <c r="A62" s="37" t="str">
        <f>LCI!A54</f>
        <v>Heat (MJ/yr)</v>
      </c>
      <c r="B62" s="13"/>
      <c r="C62" s="13"/>
      <c r="D62" s="192"/>
      <c r="E62" s="13"/>
      <c r="F62" s="13"/>
      <c r="G62" s="13"/>
      <c r="H62" s="13"/>
      <c r="I62" s="69">
        <f>4257031.5*I$39</f>
        <v>4257031.5</v>
      </c>
      <c r="J62" s="13"/>
      <c r="K62" s="13"/>
      <c r="L62" s="13"/>
      <c r="N62" s="44"/>
      <c r="O62" s="40"/>
      <c r="P62" s="40"/>
      <c r="Q62" s="40"/>
      <c r="R62" s="40"/>
      <c r="S62" s="40"/>
      <c r="T62" s="40"/>
      <c r="U62" s="40"/>
      <c r="V62" s="40"/>
      <c r="W62" s="40"/>
      <c r="X62" s="40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x14ac:dyDescent="0.25">
      <c r="A63" s="37" t="str">
        <f>LCI!A56</f>
        <v>Natural Gas (kg/yr)</v>
      </c>
      <c r="B63" s="13">
        <f>HexExt!$L8*B$39</f>
        <v>8025.5736746640023</v>
      </c>
      <c r="C63" s="13">
        <f>HexExt!$L8*C$39</f>
        <v>8025.5736746640023</v>
      </c>
      <c r="D63" s="193" t="s">
        <v>1995</v>
      </c>
      <c r="E63" s="13"/>
      <c r="F63" s="13"/>
      <c r="G63" s="13"/>
      <c r="H63" s="13"/>
      <c r="I63" s="69"/>
      <c r="J63" s="13"/>
      <c r="K63" s="13"/>
      <c r="L63" s="13"/>
      <c r="N63" s="44"/>
      <c r="O63" s="40"/>
      <c r="P63" s="40"/>
      <c r="Q63" s="40"/>
      <c r="R63" s="40"/>
      <c r="S63" s="40"/>
      <c r="T63" s="40"/>
      <c r="U63" s="40"/>
      <c r="V63" s="40"/>
      <c r="W63" s="40"/>
      <c r="X63" s="4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x14ac:dyDescent="0.25">
      <c r="A64" s="37" t="str">
        <f>LCI!A57</f>
        <v>Propane, Input (kg/yr)</v>
      </c>
      <c r="B64" s="13"/>
      <c r="C64" s="13"/>
      <c r="D64" s="13"/>
      <c r="E64" s="13"/>
      <c r="F64" s="13"/>
      <c r="G64" s="13"/>
      <c r="H64" s="13"/>
      <c r="I64" s="69"/>
      <c r="J64" s="13"/>
      <c r="K64" s="13"/>
      <c r="L64" s="13"/>
      <c r="N64" s="44"/>
      <c r="O64" s="40"/>
      <c r="P64" s="40"/>
      <c r="Q64" s="40"/>
      <c r="R64" s="40"/>
      <c r="S64" s="40"/>
      <c r="T64" s="40"/>
      <c r="U64" s="40"/>
      <c r="V64" s="40"/>
      <c r="W64" s="40"/>
      <c r="X64" s="40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x14ac:dyDescent="0.25">
      <c r="A65" s="3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N65" s="44"/>
      <c r="O65" s="40"/>
      <c r="P65" s="40"/>
      <c r="Q65" s="40"/>
      <c r="R65" s="40"/>
      <c r="S65" s="40"/>
      <c r="T65" s="40"/>
      <c r="U65" s="40"/>
      <c r="V65" s="40"/>
      <c r="W65" s="40"/>
      <c r="X65" s="40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x14ac:dyDescent="0.25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N66" s="44"/>
      <c r="O66" s="40"/>
      <c r="P66" s="40"/>
      <c r="Q66" s="40"/>
      <c r="R66" s="40"/>
      <c r="S66" s="40"/>
      <c r="T66" s="40"/>
      <c r="U66" s="40"/>
      <c r="V66" s="40"/>
      <c r="W66" s="40"/>
      <c r="X66" s="40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x14ac:dyDescent="0.25">
      <c r="A67" s="124" t="s">
        <v>2363</v>
      </c>
      <c r="B67" s="137">
        <v>1</v>
      </c>
      <c r="C67" s="137">
        <v>1</v>
      </c>
      <c r="D67" s="137"/>
      <c r="E67" s="137"/>
      <c r="F67" s="137"/>
      <c r="G67" s="137"/>
      <c r="H67" s="137"/>
      <c r="I67" s="137">
        <v>1</v>
      </c>
      <c r="J67" s="137"/>
      <c r="K67" s="137"/>
      <c r="L67" s="137"/>
      <c r="N67" s="44"/>
      <c r="O67" s="40"/>
      <c r="P67" s="40"/>
      <c r="Q67" s="40"/>
      <c r="R67" s="40"/>
      <c r="S67" s="40"/>
      <c r="T67" s="40"/>
      <c r="U67" s="40"/>
      <c r="V67" s="40"/>
      <c r="W67" s="40"/>
      <c r="X67" s="40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37" t="str">
        <f>LCI!A3</f>
        <v>Capital Cost ($)</v>
      </c>
      <c r="B68" s="135">
        <f>Transest!J9*B$67</f>
        <v>44410.151125314784</v>
      </c>
      <c r="C68" s="135">
        <f>HydroProc!K9</f>
        <v>19980.124937760003</v>
      </c>
      <c r="D68" s="13"/>
      <c r="E68" s="13"/>
      <c r="F68" s="13"/>
      <c r="G68" s="13"/>
      <c r="H68" s="13"/>
      <c r="I68" s="69">
        <f>296587.548855*I$67</f>
        <v>296587.548855</v>
      </c>
      <c r="J68" s="13"/>
      <c r="K68" s="13"/>
      <c r="L68" s="13"/>
      <c r="N68" s="44"/>
      <c r="O68" s="40"/>
      <c r="P68" s="40"/>
      <c r="Q68" s="40"/>
      <c r="R68" s="40"/>
      <c r="S68" s="40"/>
      <c r="T68" s="40"/>
      <c r="U68" s="40"/>
      <c r="V68" s="40"/>
      <c r="W68" s="40"/>
      <c r="X68" s="40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37" t="str">
        <f>LCI!A4</f>
        <v>Labor ($/yr)</v>
      </c>
      <c r="B69" s="135">
        <f>Transest!J10*B$67</f>
        <v>325.06590822015562</v>
      </c>
      <c r="C69" s="135">
        <f>HydroProc!K10</f>
        <v>325.06590822015562</v>
      </c>
      <c r="D69" s="13"/>
      <c r="E69" s="13"/>
      <c r="F69" s="13"/>
      <c r="G69" s="13"/>
      <c r="H69" s="13"/>
      <c r="I69" s="69">
        <f>4828.53287682312*I$67</f>
        <v>4828.5328768231202</v>
      </c>
      <c r="J69" s="13"/>
      <c r="K69" s="13"/>
      <c r="L69" s="13"/>
      <c r="N69" s="44"/>
      <c r="O69" s="40"/>
      <c r="P69" s="40"/>
      <c r="Q69" s="40"/>
      <c r="R69" s="40"/>
      <c r="S69" s="40"/>
      <c r="T69" s="40"/>
      <c r="U69" s="40"/>
      <c r="V69" s="40"/>
      <c r="W69" s="40"/>
      <c r="X69" s="40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37" t="str">
        <f>LCI!A66</f>
        <v>Algal Oil (kg/yr)</v>
      </c>
      <c r="B70" s="13"/>
      <c r="C70" s="13"/>
      <c r="D70" s="13"/>
      <c r="E70" s="13"/>
      <c r="F70" s="13"/>
      <c r="G70" s="13"/>
      <c r="H70" s="13"/>
      <c r="I70" s="69">
        <f>995026.5*I$67</f>
        <v>995026.5</v>
      </c>
      <c r="J70" s="13"/>
      <c r="K70" s="13"/>
      <c r="L70" s="13"/>
      <c r="N70" s="44"/>
      <c r="O70" s="40"/>
      <c r="P70" s="40"/>
      <c r="Q70" s="40"/>
      <c r="R70" s="40"/>
      <c r="S70" s="40"/>
      <c r="T70" s="40"/>
      <c r="U70" s="40"/>
      <c r="V70" s="40"/>
      <c r="W70" s="40"/>
      <c r="X70" s="40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37" t="str">
        <f>LCI!A17</f>
        <v>EtOH Catalysts (kg/yr)</v>
      </c>
      <c r="B71" s="13"/>
      <c r="C71" s="13"/>
      <c r="D71" s="13"/>
      <c r="E71" s="13"/>
      <c r="F71" s="13"/>
      <c r="G71" s="13"/>
      <c r="H71" s="13"/>
      <c r="I71" s="69"/>
      <c r="J71" s="13"/>
      <c r="K71" s="13"/>
      <c r="L71" s="13"/>
      <c r="N71" s="44"/>
      <c r="O71" s="40"/>
      <c r="P71" s="40"/>
      <c r="Q71" s="40"/>
      <c r="R71" s="40"/>
      <c r="S71" s="40"/>
      <c r="T71" s="40"/>
      <c r="U71" s="40"/>
      <c r="V71" s="40"/>
      <c r="W71" s="40"/>
      <c r="X71" s="40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37" t="str">
        <f>LCI!A30</f>
        <v>Methanol (kg/yr)</v>
      </c>
      <c r="B72" s="135">
        <f>Transest!J5*B$67</f>
        <v>6600.8378349680961</v>
      </c>
      <c r="C72" s="13"/>
      <c r="D72" s="13"/>
      <c r="E72" s="13"/>
      <c r="F72" s="13"/>
      <c r="G72" s="13"/>
      <c r="H72" s="13"/>
      <c r="I72" s="69"/>
      <c r="J72" s="13"/>
      <c r="K72" s="13"/>
      <c r="L72" s="13"/>
      <c r="N72" s="44"/>
      <c r="O72" s="40"/>
      <c r="P72" s="40"/>
      <c r="Q72" s="40"/>
      <c r="R72" s="40"/>
      <c r="S72" s="40"/>
      <c r="T72" s="40"/>
      <c r="U72" s="40"/>
      <c r="V72" s="40"/>
      <c r="W72" s="40"/>
      <c r="X72" s="40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37" t="str">
        <f>LCI!A79</f>
        <v>Soybean Oil (kg/yr)</v>
      </c>
      <c r="B73" s="135">
        <f>Transest!J4*B$67</f>
        <v>67047.399120000016</v>
      </c>
      <c r="C73" s="135">
        <f>HydroProc!K4</f>
        <v>67047.399120000016</v>
      </c>
      <c r="D73" s="13"/>
      <c r="E73" s="13"/>
      <c r="F73" s="13"/>
      <c r="G73" s="13"/>
      <c r="H73" s="13"/>
      <c r="I73" s="69"/>
      <c r="J73" s="13"/>
      <c r="K73" s="13"/>
      <c r="L73" s="13"/>
      <c r="N73" s="44"/>
      <c r="O73" s="40"/>
      <c r="P73" s="40"/>
      <c r="Q73" s="40"/>
      <c r="R73" s="40"/>
      <c r="S73" s="40"/>
      <c r="T73" s="40"/>
      <c r="U73" s="40"/>
      <c r="V73" s="40"/>
      <c r="W73" s="40"/>
      <c r="X73" s="40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37" t="str">
        <f>LCI!A81</f>
        <v>Syncrude (kg/yr)</v>
      </c>
      <c r="B74" s="13"/>
      <c r="C74" s="13"/>
      <c r="D74" s="13"/>
      <c r="E74" s="13"/>
      <c r="F74" s="13"/>
      <c r="G74" s="13"/>
      <c r="H74" s="13"/>
      <c r="I74" s="69"/>
      <c r="J74" s="13"/>
      <c r="K74" s="13"/>
      <c r="L74" s="13"/>
      <c r="N74" s="44"/>
      <c r="O74" s="40"/>
      <c r="P74" s="40"/>
      <c r="Q74" s="40"/>
      <c r="R74" s="40"/>
      <c r="S74" s="40"/>
      <c r="T74" s="40"/>
      <c r="U74" s="40"/>
      <c r="V74" s="40"/>
      <c r="W74" s="40"/>
      <c r="X74" s="40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37" t="str">
        <f>LCI!A42</f>
        <v>Water, Process (kg/yr)</v>
      </c>
      <c r="B75" s="135">
        <f>Transest!J8*B$67</f>
        <v>30559.434421148595</v>
      </c>
      <c r="C75" s="135">
        <f>HydroProc!K8</f>
        <v>60342.659208000019</v>
      </c>
      <c r="D75" s="13"/>
      <c r="E75" s="13"/>
      <c r="F75" s="13"/>
      <c r="G75" s="13"/>
      <c r="H75" s="13"/>
      <c r="I75" s="69">
        <f>895523.85*I$67</f>
        <v>895523.85</v>
      </c>
      <c r="J75" s="13"/>
      <c r="K75" s="13"/>
      <c r="L75" s="13"/>
      <c r="N75" s="44"/>
      <c r="O75" s="40"/>
      <c r="P75" s="40"/>
      <c r="Q75" s="40"/>
      <c r="R75" s="40"/>
      <c r="S75" s="40"/>
      <c r="T75" s="40"/>
      <c r="U75" s="40"/>
      <c r="V75" s="40"/>
      <c r="W75" s="40"/>
      <c r="X75" s="4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37" t="str">
        <f>LCI!A85</f>
        <v>WOG, Delivered (kg/yr)</v>
      </c>
      <c r="B76" s="13"/>
      <c r="C76" s="13"/>
      <c r="D76" s="13"/>
      <c r="E76" s="13"/>
      <c r="F76" s="13"/>
      <c r="G76" s="13"/>
      <c r="H76" s="13"/>
      <c r="I76" s="69"/>
      <c r="J76" s="13"/>
      <c r="K76" s="13"/>
      <c r="L76" s="13"/>
      <c r="N76" s="44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37" t="str">
        <f>LCI!A49</f>
        <v>Electricity, Grid (MJ/yr)</v>
      </c>
      <c r="B77" s="135">
        <f>Transest!J7*B$67</f>
        <v>8984.4737198176863</v>
      </c>
      <c r="C77" s="135">
        <f>HydroProc!K7</f>
        <v>14750.427806400005</v>
      </c>
      <c r="D77" s="13"/>
      <c r="E77" s="13"/>
      <c r="F77" s="13"/>
      <c r="G77" s="13"/>
      <c r="H77" s="13"/>
      <c r="I77" s="69">
        <f>218905.83*I$67</f>
        <v>218905.83</v>
      </c>
      <c r="J77" s="13"/>
      <c r="K77" s="13"/>
      <c r="L77" s="13"/>
      <c r="N77" s="44"/>
      <c r="O77" s="40"/>
      <c r="P77" s="40"/>
      <c r="Q77" s="40"/>
      <c r="R77" s="40"/>
      <c r="S77" s="40"/>
      <c r="T77" s="40"/>
      <c r="U77" s="40"/>
      <c r="V77" s="40"/>
      <c r="W77" s="40"/>
      <c r="X77" s="4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A78" s="37" t="str">
        <f>LCI!A90</f>
        <v>Ethanol (kg/yr)</v>
      </c>
      <c r="B78" s="13"/>
      <c r="C78" s="13"/>
      <c r="D78" s="13"/>
      <c r="E78" s="13"/>
      <c r="F78" s="13"/>
      <c r="G78" s="13"/>
      <c r="H78" s="13"/>
      <c r="I78" s="69"/>
      <c r="J78" s="13"/>
      <c r="K78" s="13"/>
      <c r="L78" s="13"/>
      <c r="N78" s="44"/>
      <c r="O78" s="40"/>
      <c r="P78" s="40"/>
      <c r="Q78" s="40"/>
      <c r="R78" s="40"/>
      <c r="S78" s="40"/>
      <c r="T78" s="40"/>
      <c r="U78" s="40"/>
      <c r="V78" s="40"/>
      <c r="W78" s="40"/>
      <c r="X78" s="40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x14ac:dyDescent="0.25">
      <c r="A79" s="37" t="str">
        <f>LCI!A54</f>
        <v>Heat (MJ/yr)</v>
      </c>
      <c r="B79" s="13"/>
      <c r="C79" s="13"/>
      <c r="D79" s="13"/>
      <c r="E79" s="13"/>
      <c r="F79" s="13"/>
      <c r="G79" s="13"/>
      <c r="H79" s="13"/>
      <c r="I79" s="69">
        <f>7442798.22*I$67</f>
        <v>7442798.2199999997</v>
      </c>
      <c r="J79" s="13"/>
      <c r="K79" s="13"/>
      <c r="L79" s="13"/>
      <c r="N79" s="44"/>
      <c r="O79" s="40"/>
      <c r="P79" s="40"/>
      <c r="Q79" s="40"/>
      <c r="R79" s="40"/>
      <c r="S79" s="40"/>
      <c r="T79" s="40"/>
      <c r="U79" s="40"/>
      <c r="V79" s="40"/>
      <c r="W79" s="40"/>
      <c r="X79" s="40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x14ac:dyDescent="0.25">
      <c r="A80" s="37" t="str">
        <f>LCI!A55</f>
        <v>Hydrogen (kg/yr)</v>
      </c>
      <c r="B80" s="13"/>
      <c r="C80" s="135">
        <f>HydroProc!K5</f>
        <v>2681.8959648000009</v>
      </c>
      <c r="D80" s="13"/>
      <c r="E80" s="13"/>
      <c r="F80" s="13"/>
      <c r="G80" s="13"/>
      <c r="H80" s="13"/>
      <c r="I80" s="69">
        <f>39801.06*I$67</f>
        <v>39801.06</v>
      </c>
      <c r="J80" s="13"/>
      <c r="K80" s="13"/>
      <c r="L80" s="13"/>
      <c r="N80" s="44"/>
      <c r="O80" s="40"/>
      <c r="P80" s="40"/>
      <c r="Q80" s="40"/>
      <c r="R80" s="40"/>
      <c r="S80" s="40"/>
      <c r="T80" s="40"/>
      <c r="U80" s="40"/>
      <c r="V80" s="40"/>
      <c r="W80" s="40"/>
      <c r="X80" s="40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x14ac:dyDescent="0.25">
      <c r="A81" s="37" t="str">
        <f>LCI!A56</f>
        <v>Natural Gas (kg/yr)</v>
      </c>
      <c r="B81" s="135">
        <f>Transest!J6*B$67</f>
        <v>1442.4053046782137</v>
      </c>
      <c r="C81" s="135">
        <f>HydroProc!K6</f>
        <v>10030.290908352003</v>
      </c>
      <c r="D81" s="13"/>
      <c r="E81" s="13"/>
      <c r="F81" s="13"/>
      <c r="G81" s="13"/>
      <c r="H81" s="13"/>
      <c r="I81" s="69"/>
      <c r="J81" s="13"/>
      <c r="K81" s="13"/>
      <c r="L81" s="13"/>
      <c r="N81" s="44"/>
      <c r="O81" s="40"/>
      <c r="P81" s="40"/>
      <c r="Q81" s="40"/>
      <c r="R81" s="40"/>
      <c r="S81" s="40"/>
      <c r="T81" s="40"/>
      <c r="U81" s="40"/>
      <c r="V81" s="40"/>
      <c r="W81" s="40"/>
      <c r="X81" s="40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x14ac:dyDescent="0.25">
      <c r="A82" s="3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44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x14ac:dyDescent="0.25">
      <c r="A83" s="3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44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x14ac:dyDescent="0.25">
      <c r="A84" s="124" t="s">
        <v>2364</v>
      </c>
      <c r="B84" s="137">
        <v>0</v>
      </c>
      <c r="C84" s="137">
        <v>0</v>
      </c>
      <c r="D84" s="137">
        <v>0</v>
      </c>
      <c r="E84" s="137">
        <v>0</v>
      </c>
      <c r="F84" s="137"/>
      <c r="G84" s="137">
        <v>0</v>
      </c>
      <c r="H84" s="137">
        <v>0</v>
      </c>
      <c r="I84" s="137">
        <v>0</v>
      </c>
      <c r="J84" s="137">
        <v>0</v>
      </c>
      <c r="K84" s="137">
        <v>0</v>
      </c>
      <c r="L84" s="137">
        <v>0</v>
      </c>
      <c r="N84" s="44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x14ac:dyDescent="0.25">
      <c r="A85" s="37" t="s">
        <v>2218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44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x14ac:dyDescent="0.25">
      <c r="A86" s="37" t="s">
        <v>2220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44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x14ac:dyDescent="0.25">
      <c r="A87" s="37" t="s">
        <v>2216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44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x14ac:dyDescent="0.25">
      <c r="A88" s="37" t="s">
        <v>2214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44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x14ac:dyDescent="0.25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44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x14ac:dyDescent="0.25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44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x14ac:dyDescent="0.25">
      <c r="A91" s="97" t="s">
        <v>2365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N91" s="44"/>
      <c r="O91" s="40"/>
      <c r="P91" s="40"/>
      <c r="Q91" s="40"/>
      <c r="R91" s="40"/>
      <c r="S91" s="40"/>
      <c r="T91" s="40"/>
      <c r="U91" s="40"/>
      <c r="V91" s="40"/>
      <c r="W91" s="40"/>
      <c r="X91" s="4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136" t="str">
        <f t="shared" ref="A92:H92" si="0">A7</f>
        <v>Feedstock Production (ON=1/OFF=0?)</v>
      </c>
      <c r="B92" s="136">
        <f t="shared" si="0"/>
        <v>1</v>
      </c>
      <c r="C92" s="136">
        <f t="shared" si="0"/>
        <v>1</v>
      </c>
      <c r="D92" s="136">
        <f t="shared" si="0"/>
        <v>1</v>
      </c>
      <c r="E92" s="136">
        <f t="shared" si="0"/>
        <v>1</v>
      </c>
      <c r="F92" s="136"/>
      <c r="G92" s="136">
        <f t="shared" si="0"/>
        <v>0</v>
      </c>
      <c r="H92" s="136">
        <f t="shared" si="0"/>
        <v>0</v>
      </c>
      <c r="I92" s="136">
        <f t="shared" ref="I92:L92" si="1">I7</f>
        <v>1</v>
      </c>
      <c r="J92" s="136">
        <f t="shared" si="1"/>
        <v>0</v>
      </c>
      <c r="K92" s="136">
        <f t="shared" si="1"/>
        <v>0</v>
      </c>
      <c r="L92" s="136">
        <f t="shared" si="1"/>
        <v>0</v>
      </c>
      <c r="N92" s="44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100" t="str">
        <f>LCI!A58</f>
        <v>CH4 Emissions (kg/yr)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N93" s="44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100" t="str">
        <f>LCI!A59</f>
        <v>CO2 Emissions (kg/yr)</v>
      </c>
      <c r="B94" s="98"/>
      <c r="C94" s="98"/>
      <c r="D94" s="98"/>
      <c r="E94" s="98"/>
      <c r="F94" s="98"/>
      <c r="G94" s="98"/>
      <c r="H94" s="98"/>
      <c r="I94" s="101">
        <v>2089900.5749999997</v>
      </c>
      <c r="J94" s="98"/>
      <c r="K94" s="98"/>
      <c r="L94" s="98"/>
      <c r="N94" s="44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102" t="str">
        <f>LCI!A61</f>
        <v>LUC Emissions (kg CO2e/yr)</v>
      </c>
      <c r="B95" s="98"/>
      <c r="C95" s="98"/>
      <c r="D95" s="98"/>
      <c r="E95" s="98"/>
      <c r="F95" s="98"/>
      <c r="G95" s="98"/>
      <c r="H95" s="98"/>
      <c r="I95" s="101">
        <v>0</v>
      </c>
      <c r="J95" s="98"/>
      <c r="K95" s="98"/>
      <c r="L95" s="98"/>
      <c r="N95" s="44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102" t="str">
        <f>LCI!A62</f>
        <v>N2O Emissions (kg/yr)</v>
      </c>
      <c r="B96" s="126">
        <f>SoyCult!$O25*B$92</f>
        <v>7.9954023450600022</v>
      </c>
      <c r="C96" s="126">
        <f>SoyCult!$O25*C$92</f>
        <v>7.9954023450600022</v>
      </c>
      <c r="D96" s="98"/>
      <c r="E96" s="98"/>
      <c r="F96" s="98"/>
      <c r="G96" s="98"/>
      <c r="H96" s="98"/>
      <c r="I96" s="101">
        <v>0</v>
      </c>
      <c r="J96" s="98"/>
      <c r="K96" s="98"/>
      <c r="L96" s="98"/>
      <c r="N96" s="44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102" t="str">
        <f>LCI!A64</f>
        <v>Algal Biomass, Whole (kg/yr)</v>
      </c>
      <c r="B97" s="98"/>
      <c r="C97" s="98"/>
      <c r="D97" s="98"/>
      <c r="E97" s="98"/>
      <c r="F97" s="98"/>
      <c r="G97" s="98"/>
      <c r="H97" s="98"/>
      <c r="I97" s="101">
        <v>4928157</v>
      </c>
      <c r="J97" s="98"/>
      <c r="K97" s="98"/>
      <c r="L97" s="98"/>
      <c r="N97" s="44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102" t="str">
        <f>LCI!A69</f>
        <v>Corn Grain (kg/yr)</v>
      </c>
      <c r="B98" s="98"/>
      <c r="C98" s="98"/>
      <c r="D98" s="98"/>
      <c r="E98" s="98"/>
      <c r="F98" s="98"/>
      <c r="G98" s="98"/>
      <c r="H98" s="98"/>
      <c r="I98" s="101">
        <v>0</v>
      </c>
      <c r="J98" s="98"/>
      <c r="K98" s="98"/>
      <c r="L98" s="98"/>
      <c r="N98" s="44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102" t="str">
        <f>LCI!A70</f>
        <v>Corn Stover, Collected (kg/yr)</v>
      </c>
      <c r="B99" s="98"/>
      <c r="C99" s="98"/>
      <c r="D99" s="98"/>
      <c r="E99" s="98"/>
      <c r="F99" s="98"/>
      <c r="G99" s="98"/>
      <c r="H99" s="98"/>
      <c r="I99" s="101">
        <v>0</v>
      </c>
      <c r="J99" s="98"/>
      <c r="K99" s="98"/>
      <c r="L99" s="98"/>
      <c r="N99" s="44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102" t="str">
        <f>LCI!A71</f>
        <v>Corn Stover, Left (kg/yr)</v>
      </c>
      <c r="B100" s="98"/>
      <c r="C100" s="98"/>
      <c r="D100" s="98"/>
      <c r="E100" s="98"/>
      <c r="F100" s="98"/>
      <c r="G100" s="98"/>
      <c r="H100" s="98"/>
      <c r="I100" s="101"/>
      <c r="J100" s="98"/>
      <c r="K100" s="98"/>
      <c r="L100" s="98"/>
      <c r="N100" s="4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102" t="str">
        <f>LCI!A74</f>
        <v>MSW Co-Products (kg/yr)</v>
      </c>
      <c r="B101" s="98"/>
      <c r="C101" s="98"/>
      <c r="D101" s="98"/>
      <c r="E101" s="98"/>
      <c r="F101" s="98"/>
      <c r="G101" s="98"/>
      <c r="H101" s="98"/>
      <c r="I101" s="101"/>
      <c r="J101" s="98"/>
      <c r="K101" s="98"/>
      <c r="L101" s="98"/>
      <c r="N101" s="4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102" t="str">
        <f>LCI!A76</f>
        <v>Refused Derived Fuel (kg/yr)</v>
      </c>
      <c r="B102" s="98"/>
      <c r="C102" s="98"/>
      <c r="D102" s="98"/>
      <c r="E102" s="98"/>
      <c r="F102" s="98"/>
      <c r="G102" s="98"/>
      <c r="H102" s="98"/>
      <c r="I102" s="101">
        <v>0</v>
      </c>
      <c r="J102" s="98"/>
      <c r="K102" s="98"/>
      <c r="L102" s="98"/>
      <c r="N102" s="4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102" t="str">
        <f>LCI!A80</f>
        <v>Soybeans (kg/yr)</v>
      </c>
      <c r="B103" s="98">
        <f>SoyCult!$O24*B$92</f>
        <v>301713.2960400001</v>
      </c>
      <c r="C103" s="98">
        <f>SoyCult!$O24*C$92</f>
        <v>301713.2960400001</v>
      </c>
      <c r="D103" s="98"/>
      <c r="E103" s="98"/>
      <c r="F103" s="98"/>
      <c r="G103" s="98"/>
      <c r="H103" s="98"/>
      <c r="I103" s="101">
        <v>0</v>
      </c>
      <c r="J103" s="98"/>
      <c r="K103" s="98"/>
      <c r="L103" s="98"/>
      <c r="N103" s="4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102" t="str">
        <f>LCI!A85</f>
        <v>WOG, Delivered (kg/yr)</v>
      </c>
      <c r="B104" s="98"/>
      <c r="C104" s="98"/>
      <c r="D104" s="98"/>
      <c r="E104" s="98"/>
      <c r="F104" s="98"/>
      <c r="G104" s="98"/>
      <c r="H104" s="98"/>
      <c r="I104" s="101">
        <v>0</v>
      </c>
      <c r="J104" s="98"/>
      <c r="K104" s="98"/>
      <c r="L104" s="98"/>
      <c r="N104" s="4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102" t="str">
        <f>LCI!A86</f>
        <v>Woody Biomass (kg/yr)</v>
      </c>
      <c r="B105" s="98"/>
      <c r="C105" s="98"/>
      <c r="D105" s="98"/>
      <c r="E105" s="98"/>
      <c r="F105" s="98"/>
      <c r="G105" s="98"/>
      <c r="H105" s="98"/>
      <c r="I105" s="101">
        <v>0</v>
      </c>
      <c r="J105" s="98"/>
      <c r="K105" s="98"/>
      <c r="L105" s="98"/>
      <c r="N105" s="4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102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N106" s="4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102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N107" s="4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136" t="str">
        <f t="shared" ref="A108:H108" si="2">A39</f>
        <v>Extraction/Conversion (ON=1/OFF=0?)</v>
      </c>
      <c r="B108" s="136">
        <f t="shared" si="2"/>
        <v>1</v>
      </c>
      <c r="C108" s="136">
        <f t="shared" si="2"/>
        <v>1</v>
      </c>
      <c r="D108" s="136">
        <f t="shared" si="2"/>
        <v>1</v>
      </c>
      <c r="E108" s="136">
        <f t="shared" si="2"/>
        <v>1</v>
      </c>
      <c r="F108" s="136"/>
      <c r="G108" s="136">
        <f t="shared" si="2"/>
        <v>0</v>
      </c>
      <c r="H108" s="136">
        <f t="shared" si="2"/>
        <v>0</v>
      </c>
      <c r="I108" s="136">
        <f t="shared" ref="I108:J108" si="3">I39</f>
        <v>1</v>
      </c>
      <c r="J108" s="136">
        <f t="shared" si="3"/>
        <v>0</v>
      </c>
      <c r="K108" s="136">
        <f>K39</f>
        <v>0</v>
      </c>
      <c r="L108" s="136">
        <f>L39</f>
        <v>0</v>
      </c>
      <c r="N108" s="4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102" t="str">
        <f>LCI!A59</f>
        <v>CO2 Emissions (kg/yr)</v>
      </c>
      <c r="B109" s="98"/>
      <c r="C109" s="98"/>
      <c r="D109" s="98"/>
      <c r="E109" s="98"/>
      <c r="F109" s="98"/>
      <c r="G109" s="98"/>
      <c r="H109" s="98"/>
      <c r="I109" s="101"/>
      <c r="J109" s="98"/>
      <c r="K109" s="98"/>
      <c r="L109" s="98"/>
      <c r="N109" s="4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102" t="str">
        <f>LCI!A65</f>
        <v>Algal Biomass, LEA Meal (kg/yr)</v>
      </c>
      <c r="B110" s="98"/>
      <c r="C110" s="98"/>
      <c r="D110" s="98"/>
      <c r="E110" s="98"/>
      <c r="F110" s="98"/>
      <c r="G110" s="98"/>
      <c r="H110" s="98"/>
      <c r="I110" s="101">
        <v>3933130.5</v>
      </c>
      <c r="J110" s="98"/>
      <c r="K110" s="98"/>
      <c r="L110" s="98"/>
      <c r="N110" s="4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102" t="str">
        <f>LCI!A66</f>
        <v>Algal Oil (kg/yr)</v>
      </c>
      <c r="B111" s="98"/>
      <c r="C111" s="98"/>
      <c r="D111" s="98"/>
      <c r="E111" s="98"/>
      <c r="F111" s="98"/>
      <c r="G111" s="98"/>
      <c r="H111" s="98"/>
      <c r="I111" s="101">
        <v>995026.5</v>
      </c>
      <c r="J111" s="98"/>
      <c r="K111" s="98"/>
      <c r="L111" s="98"/>
      <c r="N111" s="4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102" t="str">
        <f>LCI!A72</f>
        <v>DDGS (kg/yr)</v>
      </c>
      <c r="B112" s="98"/>
      <c r="C112" s="98"/>
      <c r="D112" s="98"/>
      <c r="E112" s="98"/>
      <c r="F112" s="98"/>
      <c r="G112" s="98"/>
      <c r="H112" s="98"/>
      <c r="I112" s="101"/>
      <c r="J112" s="98"/>
      <c r="K112" s="98"/>
      <c r="L112" s="98"/>
      <c r="N112" s="4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102" t="str">
        <f>LCI!A89</f>
        <v>Electricity, Generated (MJ/yr)</v>
      </c>
      <c r="B113" s="98"/>
      <c r="C113" s="98"/>
      <c r="D113" s="98"/>
      <c r="E113" s="98"/>
      <c r="F113" s="98"/>
      <c r="G113" s="98"/>
      <c r="H113" s="98"/>
      <c r="I113" s="101"/>
      <c r="J113" s="98"/>
      <c r="K113" s="98"/>
      <c r="L113" s="98"/>
      <c r="N113" s="4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102" t="str">
        <f>LCI!A90</f>
        <v>Ethanol (kg/yr)</v>
      </c>
      <c r="B114" s="98"/>
      <c r="C114" s="98"/>
      <c r="D114" s="98"/>
      <c r="E114" s="98"/>
      <c r="F114" s="98"/>
      <c r="G114" s="98"/>
      <c r="H114" s="98"/>
      <c r="I114" s="101">
        <v>0</v>
      </c>
      <c r="J114" s="98"/>
      <c r="K114" s="98"/>
      <c r="L114" s="98"/>
      <c r="N114" s="4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102" t="str">
        <f>LCI!A92</f>
        <v>Hydrogen, Produced (kg/yr)</v>
      </c>
      <c r="B115" s="98"/>
      <c r="C115" s="98"/>
      <c r="D115" s="98"/>
      <c r="E115" s="98"/>
      <c r="F115" s="98"/>
      <c r="G115" s="98"/>
      <c r="H115" s="98"/>
      <c r="I115" s="101"/>
      <c r="J115" s="98"/>
      <c r="K115" s="98"/>
      <c r="L115" s="98"/>
      <c r="N115" s="4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102" t="str">
        <f>LCI!A75</f>
        <v>Nitrogen Gas (kg/yr)</v>
      </c>
      <c r="B116" s="98"/>
      <c r="C116" s="98"/>
      <c r="D116" s="98"/>
      <c r="E116" s="98"/>
      <c r="F116" s="98"/>
      <c r="G116" s="98"/>
      <c r="H116" s="98"/>
      <c r="I116" s="101"/>
      <c r="J116" s="98"/>
      <c r="K116" s="98"/>
      <c r="L116" s="98"/>
      <c r="N116" s="4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102" t="str">
        <f>LCI!A77</f>
        <v>Slag (kg/yr)</v>
      </c>
      <c r="B117" s="98"/>
      <c r="C117" s="98"/>
      <c r="D117" s="98"/>
      <c r="E117" s="98"/>
      <c r="F117" s="98"/>
      <c r="G117" s="98"/>
      <c r="H117" s="98"/>
      <c r="I117" s="101"/>
      <c r="J117" s="98"/>
      <c r="K117" s="98"/>
      <c r="L117" s="98"/>
      <c r="N117" s="4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100" t="str">
        <f>LCI!A78</f>
        <v>Soybean Meal (kg/yr)</v>
      </c>
      <c r="B118" s="133">
        <f>HexExt!$L16*B$108</f>
        <v>234665.89692000009</v>
      </c>
      <c r="C118" s="133">
        <f>HexExt!$L16*C$108</f>
        <v>234665.89692000009</v>
      </c>
      <c r="D118" s="98"/>
      <c r="E118" s="98"/>
      <c r="F118" s="98"/>
      <c r="G118" s="98"/>
      <c r="H118" s="98"/>
      <c r="I118" s="101">
        <v>0</v>
      </c>
      <c r="J118" s="98"/>
      <c r="K118" s="98"/>
      <c r="L118" s="98"/>
      <c r="N118" s="4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102" t="str">
        <f>LCI!A79</f>
        <v>Soybean Oil (kg/yr)</v>
      </c>
      <c r="B119" s="133">
        <f>HexExt!$L15*B$108</f>
        <v>67047.399120000016</v>
      </c>
      <c r="C119" s="133">
        <f>HexExt!$L15*C$108</f>
        <v>67047.399120000016</v>
      </c>
      <c r="D119" s="98"/>
      <c r="E119" s="98"/>
      <c r="F119" s="98"/>
      <c r="G119" s="98"/>
      <c r="H119" s="98"/>
      <c r="I119" s="101">
        <v>0</v>
      </c>
      <c r="J119" s="98"/>
      <c r="K119" s="98"/>
      <c r="L119" s="98"/>
      <c r="N119" s="4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102" t="str">
        <f>LCI!A81</f>
        <v>Syncrude (kg/yr)</v>
      </c>
      <c r="B120" s="98"/>
      <c r="C120" s="98"/>
      <c r="D120" s="98"/>
      <c r="E120" s="98"/>
      <c r="F120" s="98"/>
      <c r="G120" s="98"/>
      <c r="H120" s="98"/>
      <c r="I120" s="101">
        <v>0</v>
      </c>
      <c r="J120" s="98"/>
      <c r="K120" s="98"/>
      <c r="L120" s="98"/>
      <c r="N120" s="4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102" t="str">
        <f>LCI!A82</f>
        <v>Wastewater, Gasification (kg/yr)</v>
      </c>
      <c r="B121" s="98"/>
      <c r="C121" s="98"/>
      <c r="D121" s="98"/>
      <c r="E121" s="98"/>
      <c r="F121" s="98"/>
      <c r="G121" s="98"/>
      <c r="H121" s="98"/>
      <c r="I121" s="101"/>
      <c r="J121" s="98"/>
      <c r="K121" s="98"/>
      <c r="L121" s="98"/>
      <c r="N121" s="4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102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N122" s="4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102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N123" s="4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136" t="str">
        <f t="shared" ref="A124:H124" si="4">A67</f>
        <v>Upgrading (ON=1/OFF=0?)</v>
      </c>
      <c r="B124" s="136">
        <f t="shared" si="4"/>
        <v>1</v>
      </c>
      <c r="C124" s="136">
        <f t="shared" si="4"/>
        <v>1</v>
      </c>
      <c r="D124" s="136">
        <f t="shared" si="4"/>
        <v>0</v>
      </c>
      <c r="E124" s="136">
        <f t="shared" si="4"/>
        <v>0</v>
      </c>
      <c r="F124" s="136"/>
      <c r="G124" s="136">
        <f t="shared" si="4"/>
        <v>0</v>
      </c>
      <c r="H124" s="136">
        <f t="shared" si="4"/>
        <v>0</v>
      </c>
      <c r="I124" s="136">
        <f t="shared" ref="I124:K124" si="5">I67</f>
        <v>1</v>
      </c>
      <c r="J124" s="136">
        <f t="shared" si="5"/>
        <v>0</v>
      </c>
      <c r="K124" s="136">
        <f t="shared" si="5"/>
        <v>0</v>
      </c>
      <c r="L124" s="136">
        <f>L67</f>
        <v>0</v>
      </c>
      <c r="N124" s="4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102" t="str">
        <f>LCI!A60</f>
        <v>CO Emissions (kg/yr)</v>
      </c>
      <c r="B125" s="98"/>
      <c r="C125" s="98"/>
      <c r="D125" s="98"/>
      <c r="E125" s="98"/>
      <c r="F125" s="98"/>
      <c r="G125" s="98"/>
      <c r="H125" s="98"/>
      <c r="I125" s="101"/>
      <c r="J125" s="98"/>
      <c r="K125" s="98"/>
      <c r="L125" s="98"/>
      <c r="N125" s="4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x14ac:dyDescent="0.25">
      <c r="A126" s="102" t="str">
        <f>LCI!A59</f>
        <v>CO2 Emissions (kg/yr)</v>
      </c>
      <c r="B126" s="98"/>
      <c r="C126" s="98">
        <f>HydroProc!K16</f>
        <v>3620.559552480001</v>
      </c>
      <c r="D126" s="98"/>
      <c r="E126" s="98"/>
      <c r="F126" s="98"/>
      <c r="G126" s="98"/>
      <c r="H126" s="98"/>
      <c r="I126" s="101">
        <v>53731.430999999997</v>
      </c>
      <c r="J126" s="98"/>
      <c r="K126" s="98"/>
      <c r="L126" s="98"/>
      <c r="N126" s="4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x14ac:dyDescent="0.25">
      <c r="A127" s="102" t="str">
        <f>LCI!A63</f>
        <v>NOx Emissions (kg/yr)</v>
      </c>
      <c r="B127" s="98"/>
      <c r="C127" s="98"/>
      <c r="D127" s="98"/>
      <c r="E127" s="98"/>
      <c r="F127" s="98"/>
      <c r="G127" s="98"/>
      <c r="H127" s="98"/>
      <c r="I127" s="101"/>
      <c r="J127" s="98"/>
      <c r="K127" s="98"/>
      <c r="L127" s="98"/>
      <c r="N127" s="4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x14ac:dyDescent="0.25">
      <c r="A128" s="100" t="str">
        <f>LCI!A87</f>
        <v>Biodiesel, Produced (kg/yr)</v>
      </c>
      <c r="B128" s="98">
        <f>Transest!J14*B$124</f>
        <v>61118.86884229719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N128" s="4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x14ac:dyDescent="0.25">
      <c r="A129" s="102" t="str">
        <f>LCI!A88</f>
        <v>Diesel, Produced (kg/yr)</v>
      </c>
      <c r="B129" s="98"/>
      <c r="C129" s="98">
        <f>HydroProc!K19</f>
        <v>15622.043994960004</v>
      </c>
      <c r="D129" s="98"/>
      <c r="E129" s="98"/>
      <c r="F129" s="98"/>
      <c r="G129" s="98"/>
      <c r="H129" s="98"/>
      <c r="I129" s="101">
        <v>231841.17450000002</v>
      </c>
      <c r="J129" s="98"/>
      <c r="K129" s="98"/>
      <c r="L129" s="98"/>
      <c r="N129" s="4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x14ac:dyDescent="0.25">
      <c r="A130" s="102" t="str">
        <f>LCI!A91</f>
        <v>Gasoline, Produced (kg/yr)</v>
      </c>
      <c r="B130" s="98"/>
      <c r="C130" s="98">
        <f>HydroProc!K20</f>
        <v>4693.3179384000014</v>
      </c>
      <c r="D130" s="98"/>
      <c r="E130" s="98"/>
      <c r="F130" s="98"/>
      <c r="G130" s="98"/>
      <c r="H130" s="98"/>
      <c r="I130" s="101">
        <v>57114.521100000005</v>
      </c>
      <c r="J130" s="98"/>
      <c r="K130" s="98"/>
      <c r="L130" s="98"/>
      <c r="N130" s="4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x14ac:dyDescent="0.25">
      <c r="A131" s="102" t="str">
        <f>LCI!A73</f>
        <v>Glycerin (kg/yr)</v>
      </c>
      <c r="B131" s="138">
        <f>Transest!J15*B$124</f>
        <v>5928.5302777028282</v>
      </c>
      <c r="C131" s="98"/>
      <c r="D131" s="98"/>
      <c r="E131" s="98"/>
      <c r="F131" s="98"/>
      <c r="G131" s="98"/>
      <c r="H131" s="98"/>
      <c r="I131" s="101"/>
      <c r="J131" s="98"/>
      <c r="K131" s="98"/>
      <c r="L131" s="98"/>
      <c r="N131" s="4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x14ac:dyDescent="0.25">
      <c r="A132" s="102" t="str">
        <f>LCI!A94</f>
        <v>Jet-A (kg/yr)</v>
      </c>
      <c r="B132" s="98"/>
      <c r="C132" s="98">
        <f>HydroProc!K14</f>
        <v>33121.415165280006</v>
      </c>
      <c r="D132" s="98"/>
      <c r="E132" s="98"/>
      <c r="F132" s="98"/>
      <c r="G132" s="98"/>
      <c r="H132" s="98"/>
      <c r="I132" s="101">
        <v>491543.09100000001</v>
      </c>
      <c r="J132" s="98"/>
      <c r="K132" s="98"/>
      <c r="L132" s="98"/>
      <c r="N132" s="4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x14ac:dyDescent="0.25">
      <c r="A133" s="102" t="str">
        <f>LCI!A97</f>
        <v>LPG, Produced (kg/yr)</v>
      </c>
      <c r="B133" s="98"/>
      <c r="C133" s="98">
        <f>HydroProc!K18</f>
        <v>4022.8439472000009</v>
      </c>
      <c r="D133" s="98"/>
      <c r="E133" s="98"/>
      <c r="F133" s="98"/>
      <c r="G133" s="98"/>
      <c r="H133" s="98"/>
      <c r="I133" s="101">
        <v>59701.59</v>
      </c>
      <c r="J133" s="98"/>
      <c r="K133" s="98"/>
      <c r="L133" s="98"/>
      <c r="N133" s="4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x14ac:dyDescent="0.25">
      <c r="A134" s="102" t="str">
        <f>LCI!A98</f>
        <v>Naptha (kg/yr)</v>
      </c>
      <c r="B134" s="98"/>
      <c r="C134" s="98"/>
      <c r="D134" s="98"/>
      <c r="E134" s="98"/>
      <c r="F134" s="98"/>
      <c r="G134" s="98"/>
      <c r="H134" s="98"/>
      <c r="I134" s="101">
        <v>0</v>
      </c>
      <c r="J134" s="98"/>
      <c r="K134" s="98"/>
      <c r="L134" s="98"/>
      <c r="N134" s="4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x14ac:dyDescent="0.25">
      <c r="A135" s="102" t="str">
        <f>LCI!A99</f>
        <v>Propane, Produced (kg/yr)</v>
      </c>
      <c r="B135" s="98"/>
      <c r="C135" s="98">
        <f>HydroProc!K17</f>
        <v>2815.9907630400007</v>
      </c>
      <c r="D135" s="98"/>
      <c r="E135" s="98"/>
      <c r="F135" s="98"/>
      <c r="G135" s="98"/>
      <c r="H135" s="98"/>
      <c r="I135" s="101">
        <v>41791.113000000005</v>
      </c>
      <c r="J135" s="98"/>
      <c r="K135" s="98"/>
      <c r="L135" s="98"/>
      <c r="N135" s="4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x14ac:dyDescent="0.25">
      <c r="A136" s="102" t="str">
        <f>LCI!A83</f>
        <v>Water, Output (kg/yr)</v>
      </c>
      <c r="B136" s="98"/>
      <c r="C136" s="98">
        <f>HydroProc!K15</f>
        <v>5833.1237234400014</v>
      </c>
      <c r="D136" s="98"/>
      <c r="E136" s="98"/>
      <c r="F136" s="98"/>
      <c r="G136" s="98"/>
      <c r="H136" s="98"/>
      <c r="I136" s="101">
        <v>86567.305499999988</v>
      </c>
      <c r="J136" s="98"/>
      <c r="K136" s="98"/>
      <c r="L136" s="98"/>
      <c r="N136" s="4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x14ac:dyDescent="0.25">
      <c r="A137" s="102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N137" s="4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x14ac:dyDescent="0.25">
      <c r="A138" s="103" t="s">
        <v>2366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N138" s="4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x14ac:dyDescent="0.25">
      <c r="A139" s="99" t="s">
        <v>2367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N139" s="4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x14ac:dyDescent="0.25">
      <c r="A140" s="102" t="s">
        <v>2368</v>
      </c>
      <c r="B140" s="98"/>
      <c r="C140" s="98"/>
      <c r="D140" s="98"/>
      <c r="E140" s="98"/>
      <c r="F140" s="98"/>
      <c r="G140" s="98"/>
      <c r="H140" s="98"/>
      <c r="I140" s="101">
        <v>1603659.3343874998</v>
      </c>
      <c r="J140" s="98"/>
      <c r="K140" s="98"/>
      <c r="L140" s="98"/>
      <c r="N140" s="4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x14ac:dyDescent="0.25">
      <c r="A141" s="102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N141" s="4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x14ac:dyDescent="0.25">
      <c r="A142" s="99" t="s">
        <v>2369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N142" s="4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x14ac:dyDescent="0.25">
      <c r="A143" s="102" t="s">
        <v>2370</v>
      </c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N143" s="4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x14ac:dyDescent="0.25">
      <c r="A144" s="102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N144" s="4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x14ac:dyDescent="0.25">
      <c r="A145" s="102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N145" s="4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x14ac:dyDescent="0.25">
      <c r="A146" s="39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N146" s="4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x14ac:dyDescent="0.25">
      <c r="A147" s="16" t="s">
        <v>2357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N147" s="4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x14ac:dyDescent="0.25">
      <c r="A148" s="14" t="str">
        <f>LCI!A2</f>
        <v>Land Cost ($)</v>
      </c>
      <c r="B148" s="42">
        <f t="shared" ref="B148:L148" si="6">SUM(B8)</f>
        <v>1654900</v>
      </c>
      <c r="C148" s="42">
        <f t="shared" si="6"/>
        <v>1654900</v>
      </c>
      <c r="D148" s="42">
        <f t="shared" si="6"/>
        <v>1654900</v>
      </c>
      <c r="E148" s="42">
        <f t="shared" si="6"/>
        <v>1654900</v>
      </c>
      <c r="F148" s="42"/>
      <c r="G148" s="42">
        <f t="shared" si="6"/>
        <v>0</v>
      </c>
      <c r="H148" s="42">
        <f t="shared" si="6"/>
        <v>0</v>
      </c>
      <c r="I148" s="42">
        <f t="shared" si="6"/>
        <v>508079</v>
      </c>
      <c r="J148" s="42">
        <f t="shared" si="6"/>
        <v>0</v>
      </c>
      <c r="K148" s="42">
        <f t="shared" si="6"/>
        <v>0</v>
      </c>
      <c r="L148" s="42">
        <f t="shared" si="6"/>
        <v>0</v>
      </c>
      <c r="N148" s="45">
        <f>IF(EXACT(A148,LCI!A2),LCI!G2,-1*10^6)</f>
        <v>1</v>
      </c>
      <c r="O148" s="47">
        <f>B148*$N148</f>
        <v>1654900</v>
      </c>
      <c r="P148" s="47">
        <f>C148*$N148</f>
        <v>1654900</v>
      </c>
      <c r="Q148" s="47">
        <f>D148*$N148</f>
        <v>1654900</v>
      </c>
      <c r="R148" s="47">
        <f>E148*$N148</f>
        <v>1654900</v>
      </c>
      <c r="S148" s="47">
        <f>G148*$N148</f>
        <v>0</v>
      </c>
      <c r="T148" s="47">
        <f>H148*$N148</f>
        <v>0</v>
      </c>
      <c r="U148" s="47">
        <f>I148*$N148</f>
        <v>508079</v>
      </c>
      <c r="V148" s="47">
        <f t="shared" ref="V148" si="7">J148*$N148</f>
        <v>0</v>
      </c>
      <c r="W148" s="47">
        <f t="shared" ref="W148" si="8">K148*$N148</f>
        <v>0</v>
      </c>
      <c r="X148" s="47">
        <f t="shared" ref="X148" si="9">L148*$N148</f>
        <v>0</v>
      </c>
      <c r="Z148" s="41">
        <f>IF(EXACT(A148,LCI!A2),LCI!H2,-1*10^6)</f>
        <v>0</v>
      </c>
      <c r="AA148" s="71">
        <f t="shared" ref="AA148:AA195" si="10">I148*$Z148</f>
        <v>0</v>
      </c>
      <c r="AB148" s="71">
        <f t="shared" ref="AB148:AB164" si="11">C148*$Z148</f>
        <v>0</v>
      </c>
      <c r="AC148" s="71">
        <f t="shared" ref="AC148:AC164" si="12">D148*$Z148</f>
        <v>0</v>
      </c>
      <c r="AD148" s="71">
        <f t="shared" ref="AD148:AD164" si="13">E148*$Z148</f>
        <v>0</v>
      </c>
      <c r="AE148" s="71">
        <f t="shared" ref="AE148:AE164" si="14">G148*$Z148</f>
        <v>0</v>
      </c>
      <c r="AF148" s="71">
        <f t="shared" ref="AF148:AF164" si="15">H148*$Z148</f>
        <v>0</v>
      </c>
      <c r="AG148" s="71" t="e">
        <f>#REF!*$Z148</f>
        <v>#REF!</v>
      </c>
      <c r="AH148" s="71">
        <f t="shared" ref="AH148:AH164" si="16">J148*$Z148</f>
        <v>0</v>
      </c>
      <c r="AI148" s="71">
        <f t="shared" ref="AI148:AI164" si="17">K148*$Z148</f>
        <v>0</v>
      </c>
      <c r="AJ148" s="71">
        <f t="shared" ref="AJ148:AJ164" si="18">L148*$Z148</f>
        <v>0</v>
      </c>
    </row>
    <row r="149" spans="1:36" x14ac:dyDescent="0.25">
      <c r="A149" s="14" t="str">
        <f>LCI!A3</f>
        <v>Capital Cost ($)</v>
      </c>
      <c r="B149" s="42">
        <f t="shared" ref="B149:E150" si="19">SUM(B9,B40,B68)</f>
        <v>892360.31424937642</v>
      </c>
      <c r="C149" s="42">
        <f t="shared" si="19"/>
        <v>867930.2880618216</v>
      </c>
      <c r="D149" s="42">
        <f t="shared" si="19"/>
        <v>3526700.6</v>
      </c>
      <c r="E149" s="42">
        <f t="shared" si="19"/>
        <v>597740</v>
      </c>
      <c r="F149" s="42"/>
      <c r="G149" s="42">
        <f t="shared" ref="G149:L150" si="20">SUM(G9,G40,G68)</f>
        <v>0</v>
      </c>
      <c r="H149" s="42">
        <f t="shared" si="20"/>
        <v>0</v>
      </c>
      <c r="I149" s="42">
        <f t="shared" si="20"/>
        <v>43796587.548854999</v>
      </c>
      <c r="J149" s="42">
        <f t="shared" si="20"/>
        <v>0</v>
      </c>
      <c r="K149" s="42">
        <f t="shared" si="20"/>
        <v>0</v>
      </c>
      <c r="L149" s="42">
        <f t="shared" si="20"/>
        <v>0</v>
      </c>
      <c r="N149" s="45">
        <f>IF(EXACT(A149,LCI!A3),LCI!G3,-1*10^6)</f>
        <v>1</v>
      </c>
      <c r="O149" s="47">
        <f t="shared" ref="O149:O195" si="21">B149*$N149</f>
        <v>892360.31424937642</v>
      </c>
      <c r="P149" s="47">
        <f t="shared" ref="P149:P195" si="22">C149*$N149</f>
        <v>867930.2880618216</v>
      </c>
      <c r="Q149" s="47">
        <f t="shared" ref="Q149:Q195" si="23">D149*$N149</f>
        <v>3526700.6</v>
      </c>
      <c r="R149" s="47">
        <f t="shared" ref="R149:R195" si="24">E149*$N149</f>
        <v>597740</v>
      </c>
      <c r="S149" s="47">
        <f t="shared" ref="S149:S195" si="25">G149*$N149</f>
        <v>0</v>
      </c>
      <c r="T149" s="47">
        <f t="shared" ref="T149:T195" si="26">H149*$N149</f>
        <v>0</v>
      </c>
      <c r="U149" s="47">
        <f t="shared" ref="U149:U195" si="27">I149*$N149</f>
        <v>43796587.548854999</v>
      </c>
      <c r="V149" s="47">
        <f t="shared" ref="V149:V195" si="28">J149*$N149</f>
        <v>0</v>
      </c>
      <c r="W149" s="47">
        <f t="shared" ref="W149:W195" si="29">K149*$N149</f>
        <v>0</v>
      </c>
      <c r="X149" s="47">
        <f t="shared" ref="X149:X195" si="30">L149*$N149</f>
        <v>0</v>
      </c>
      <c r="Z149" s="41">
        <f>IF(EXACT(A149,LCI!A3),LCI!H3,-1*10^6)</f>
        <v>0</v>
      </c>
      <c r="AA149" s="71">
        <f t="shared" si="10"/>
        <v>0</v>
      </c>
      <c r="AB149" s="71">
        <f t="shared" si="11"/>
        <v>0</v>
      </c>
      <c r="AC149" s="71">
        <f t="shared" si="12"/>
        <v>0</v>
      </c>
      <c r="AD149" s="71">
        <f t="shared" si="13"/>
        <v>0</v>
      </c>
      <c r="AE149" s="71">
        <f t="shared" si="14"/>
        <v>0</v>
      </c>
      <c r="AF149" s="71">
        <f t="shared" si="15"/>
        <v>0</v>
      </c>
      <c r="AG149" s="71" t="e">
        <f>#REF!*$Z149</f>
        <v>#REF!</v>
      </c>
      <c r="AH149" s="71">
        <f t="shared" si="16"/>
        <v>0</v>
      </c>
      <c r="AI149" s="71">
        <f t="shared" si="17"/>
        <v>0</v>
      </c>
      <c r="AJ149" s="71">
        <f t="shared" si="18"/>
        <v>0</v>
      </c>
    </row>
    <row r="150" spans="1:36" x14ac:dyDescent="0.25">
      <c r="A150" s="14" t="str">
        <f>LCI!A4</f>
        <v>Labor ($/yr)</v>
      </c>
      <c r="B150" s="42">
        <f t="shared" si="19"/>
        <v>7760.0671445288344</v>
      </c>
      <c r="C150" s="42">
        <f t="shared" si="19"/>
        <v>7760.0671445288344</v>
      </c>
      <c r="D150" s="42">
        <f t="shared" si="19"/>
        <v>36296.839999999997</v>
      </c>
      <c r="E150" s="42">
        <f t="shared" si="19"/>
        <v>8148.5300000000007</v>
      </c>
      <c r="F150" s="42"/>
      <c r="G150" s="42">
        <f t="shared" si="20"/>
        <v>0</v>
      </c>
      <c r="H150" s="42">
        <f t="shared" si="20"/>
        <v>0</v>
      </c>
      <c r="I150" s="42">
        <f t="shared" si="20"/>
        <v>1374828.5328768231</v>
      </c>
      <c r="J150" s="42">
        <f t="shared" si="20"/>
        <v>0</v>
      </c>
      <c r="K150" s="42">
        <f t="shared" si="20"/>
        <v>0</v>
      </c>
      <c r="L150" s="42">
        <f t="shared" si="20"/>
        <v>0</v>
      </c>
      <c r="N150" s="45">
        <f>IF(EXACT(A150,LCI!A4),LCI!G4,-1*10^6)</f>
        <v>1</v>
      </c>
      <c r="O150" s="47">
        <f t="shared" si="21"/>
        <v>7760.0671445288344</v>
      </c>
      <c r="P150" s="47">
        <f t="shared" si="22"/>
        <v>7760.0671445288344</v>
      </c>
      <c r="Q150" s="47">
        <f t="shared" si="23"/>
        <v>36296.839999999997</v>
      </c>
      <c r="R150" s="47">
        <f t="shared" si="24"/>
        <v>8148.5300000000007</v>
      </c>
      <c r="S150" s="47">
        <f t="shared" si="25"/>
        <v>0</v>
      </c>
      <c r="T150" s="47">
        <f t="shared" si="26"/>
        <v>0</v>
      </c>
      <c r="U150" s="47">
        <f t="shared" si="27"/>
        <v>1374828.5328768231</v>
      </c>
      <c r="V150" s="47">
        <f t="shared" si="28"/>
        <v>0</v>
      </c>
      <c r="W150" s="47">
        <f t="shared" si="29"/>
        <v>0</v>
      </c>
      <c r="X150" s="47">
        <f t="shared" si="30"/>
        <v>0</v>
      </c>
      <c r="Z150" s="41">
        <f>IF(EXACT(A150,LCI!A4),LCI!H4,-1*10^6)</f>
        <v>0</v>
      </c>
      <c r="AA150" s="71">
        <f t="shared" si="10"/>
        <v>0</v>
      </c>
      <c r="AB150" s="71">
        <f t="shared" si="11"/>
        <v>0</v>
      </c>
      <c r="AC150" s="71">
        <f t="shared" si="12"/>
        <v>0</v>
      </c>
      <c r="AD150" s="71">
        <f t="shared" si="13"/>
        <v>0</v>
      </c>
      <c r="AE150" s="71">
        <f t="shared" si="14"/>
        <v>0</v>
      </c>
      <c r="AF150" s="71">
        <f t="shared" si="15"/>
        <v>0</v>
      </c>
      <c r="AG150" s="71" t="e">
        <f>#REF!*$Z150</f>
        <v>#REF!</v>
      </c>
      <c r="AH150" s="71">
        <f t="shared" si="16"/>
        <v>0</v>
      </c>
      <c r="AI150" s="71">
        <f t="shared" si="17"/>
        <v>0</v>
      </c>
      <c r="AJ150" s="71">
        <f t="shared" si="18"/>
        <v>0</v>
      </c>
    </row>
    <row r="151" spans="1:36" x14ac:dyDescent="0.25">
      <c r="A151" s="14" t="str">
        <f>LCI!A5</f>
        <v>Arable Land (ha/yr)</v>
      </c>
      <c r="B151" s="42">
        <f>B11</f>
        <v>100</v>
      </c>
      <c r="C151" s="42">
        <f t="shared" ref="C151:L151" si="31">C11</f>
        <v>100</v>
      </c>
      <c r="D151" s="42">
        <f t="shared" si="31"/>
        <v>100</v>
      </c>
      <c r="E151" s="42">
        <f t="shared" si="31"/>
        <v>100</v>
      </c>
      <c r="F151" s="42"/>
      <c r="G151" s="42">
        <f t="shared" si="31"/>
        <v>0</v>
      </c>
      <c r="H151" s="42">
        <f t="shared" si="31"/>
        <v>0</v>
      </c>
      <c r="I151" s="42">
        <f t="shared" si="31"/>
        <v>0</v>
      </c>
      <c r="J151" s="42">
        <f t="shared" si="31"/>
        <v>0</v>
      </c>
      <c r="K151" s="42">
        <f t="shared" si="31"/>
        <v>0</v>
      </c>
      <c r="L151" s="42">
        <f t="shared" si="31"/>
        <v>0</v>
      </c>
      <c r="N151" s="45">
        <f>IF(EXACT(A151,LCI!A5),LCI!G5,-1*10^6)</f>
        <v>0</v>
      </c>
      <c r="O151" s="47">
        <f t="shared" si="21"/>
        <v>0</v>
      </c>
      <c r="P151" s="47">
        <f t="shared" si="22"/>
        <v>0</v>
      </c>
      <c r="Q151" s="47">
        <f t="shared" si="23"/>
        <v>0</v>
      </c>
      <c r="R151" s="47">
        <f t="shared" si="24"/>
        <v>0</v>
      </c>
      <c r="S151" s="47">
        <f t="shared" si="25"/>
        <v>0</v>
      </c>
      <c r="T151" s="47">
        <f t="shared" si="26"/>
        <v>0</v>
      </c>
      <c r="U151" s="47">
        <f t="shared" si="27"/>
        <v>0</v>
      </c>
      <c r="V151" s="47">
        <f t="shared" si="28"/>
        <v>0</v>
      </c>
      <c r="W151" s="47">
        <f t="shared" si="29"/>
        <v>0</v>
      </c>
      <c r="X151" s="47">
        <f t="shared" si="30"/>
        <v>0</v>
      </c>
      <c r="Z151" s="41">
        <f>IF(EXACT(A151,LCI!A5),LCI!H5,-1*10^6)</f>
        <v>0</v>
      </c>
      <c r="AA151" s="71">
        <f t="shared" si="10"/>
        <v>0</v>
      </c>
      <c r="AB151" s="71">
        <f t="shared" si="11"/>
        <v>0</v>
      </c>
      <c r="AC151" s="71">
        <f t="shared" si="12"/>
        <v>0</v>
      </c>
      <c r="AD151" s="71">
        <f t="shared" si="13"/>
        <v>0</v>
      </c>
      <c r="AE151" s="71">
        <f t="shared" si="14"/>
        <v>0</v>
      </c>
      <c r="AF151" s="71">
        <f t="shared" si="15"/>
        <v>0</v>
      </c>
      <c r="AG151" s="71" t="e">
        <f>#REF!*$Z151</f>
        <v>#REF!</v>
      </c>
      <c r="AH151" s="71">
        <f t="shared" si="16"/>
        <v>0</v>
      </c>
      <c r="AI151" s="71">
        <f t="shared" si="17"/>
        <v>0</v>
      </c>
      <c r="AJ151" s="71">
        <f t="shared" si="18"/>
        <v>0</v>
      </c>
    </row>
    <row r="152" spans="1:36" x14ac:dyDescent="0.25">
      <c r="A152" s="14" t="str">
        <f>LCI!A6</f>
        <v>Marginal Land (ha/yr)</v>
      </c>
      <c r="B152" s="42">
        <f>B12</f>
        <v>0</v>
      </c>
      <c r="C152" s="42">
        <f t="shared" ref="C152:L152" si="32">C12</f>
        <v>0</v>
      </c>
      <c r="D152" s="42">
        <f t="shared" si="32"/>
        <v>0</v>
      </c>
      <c r="E152" s="42">
        <f t="shared" si="32"/>
        <v>0</v>
      </c>
      <c r="F152" s="42"/>
      <c r="G152" s="42">
        <f t="shared" si="32"/>
        <v>0</v>
      </c>
      <c r="H152" s="42">
        <f t="shared" si="32"/>
        <v>0</v>
      </c>
      <c r="I152" s="42">
        <f t="shared" si="32"/>
        <v>121</v>
      </c>
      <c r="J152" s="42">
        <f t="shared" si="32"/>
        <v>0</v>
      </c>
      <c r="K152" s="42">
        <f t="shared" si="32"/>
        <v>0</v>
      </c>
      <c r="L152" s="42">
        <f t="shared" si="32"/>
        <v>0</v>
      </c>
      <c r="N152" s="45">
        <f>IF(EXACT(A152,LCI!A6),LCI!G6,-1*10^6)</f>
        <v>0</v>
      </c>
      <c r="O152" s="47">
        <f t="shared" si="21"/>
        <v>0</v>
      </c>
      <c r="P152" s="47">
        <f t="shared" si="22"/>
        <v>0</v>
      </c>
      <c r="Q152" s="47">
        <f t="shared" si="23"/>
        <v>0</v>
      </c>
      <c r="R152" s="47">
        <f t="shared" si="24"/>
        <v>0</v>
      </c>
      <c r="S152" s="47">
        <f t="shared" si="25"/>
        <v>0</v>
      </c>
      <c r="T152" s="47">
        <f t="shared" si="26"/>
        <v>0</v>
      </c>
      <c r="U152" s="47">
        <f t="shared" si="27"/>
        <v>0</v>
      </c>
      <c r="V152" s="47">
        <f t="shared" si="28"/>
        <v>0</v>
      </c>
      <c r="W152" s="47">
        <f t="shared" si="29"/>
        <v>0</v>
      </c>
      <c r="X152" s="47">
        <f t="shared" si="30"/>
        <v>0</v>
      </c>
      <c r="Z152" s="41">
        <f>IF(EXACT(A152,LCI!A6),LCI!H6,-1*10^6)</f>
        <v>0</v>
      </c>
      <c r="AA152" s="71">
        <f t="shared" si="10"/>
        <v>0</v>
      </c>
      <c r="AB152" s="71">
        <f t="shared" si="11"/>
        <v>0</v>
      </c>
      <c r="AC152" s="71">
        <f t="shared" si="12"/>
        <v>0</v>
      </c>
      <c r="AD152" s="71">
        <f t="shared" si="13"/>
        <v>0</v>
      </c>
      <c r="AE152" s="71">
        <f t="shared" si="14"/>
        <v>0</v>
      </c>
      <c r="AF152" s="71">
        <f t="shared" si="15"/>
        <v>0</v>
      </c>
      <c r="AG152" s="71" t="e">
        <f>#REF!*$Z152</f>
        <v>#REF!</v>
      </c>
      <c r="AH152" s="71">
        <f t="shared" si="16"/>
        <v>0</v>
      </c>
      <c r="AI152" s="71">
        <f t="shared" si="17"/>
        <v>0</v>
      </c>
      <c r="AJ152" s="71">
        <f t="shared" si="18"/>
        <v>0</v>
      </c>
    </row>
    <row r="153" spans="1:36" x14ac:dyDescent="0.25">
      <c r="A153" s="14" t="str">
        <f>LCI!A7</f>
        <v>Air (kg/yr)</v>
      </c>
      <c r="B153" s="42">
        <f>B42</f>
        <v>0</v>
      </c>
      <c r="C153" s="42">
        <f t="shared" ref="C153:L153" si="33">C42</f>
        <v>0</v>
      </c>
      <c r="D153" s="42">
        <f t="shared" si="33"/>
        <v>0</v>
      </c>
      <c r="E153" s="42">
        <f t="shared" si="33"/>
        <v>0</v>
      </c>
      <c r="F153" s="42"/>
      <c r="G153" s="42">
        <f t="shared" si="33"/>
        <v>0</v>
      </c>
      <c r="H153" s="42">
        <f t="shared" si="33"/>
        <v>0</v>
      </c>
      <c r="I153" s="42">
        <f t="shared" si="33"/>
        <v>0</v>
      </c>
      <c r="J153" s="42">
        <f t="shared" si="33"/>
        <v>0</v>
      </c>
      <c r="K153" s="42">
        <f t="shared" si="33"/>
        <v>0</v>
      </c>
      <c r="L153" s="42">
        <f t="shared" si="33"/>
        <v>0</v>
      </c>
      <c r="N153" s="45">
        <f>IF(EXACT(A153,LCI!A7),LCI!G7,-1*10^6)</f>
        <v>0</v>
      </c>
      <c r="O153" s="47">
        <f t="shared" si="21"/>
        <v>0</v>
      </c>
      <c r="P153" s="47">
        <f t="shared" si="22"/>
        <v>0</v>
      </c>
      <c r="Q153" s="47">
        <f t="shared" si="23"/>
        <v>0</v>
      </c>
      <c r="R153" s="47">
        <f t="shared" si="24"/>
        <v>0</v>
      </c>
      <c r="S153" s="47">
        <f t="shared" si="25"/>
        <v>0</v>
      </c>
      <c r="T153" s="47">
        <f t="shared" si="26"/>
        <v>0</v>
      </c>
      <c r="U153" s="47">
        <f t="shared" si="27"/>
        <v>0</v>
      </c>
      <c r="V153" s="47">
        <f t="shared" si="28"/>
        <v>0</v>
      </c>
      <c r="W153" s="47">
        <f t="shared" si="29"/>
        <v>0</v>
      </c>
      <c r="X153" s="47">
        <f t="shared" si="30"/>
        <v>0</v>
      </c>
      <c r="Z153" s="41">
        <f>IF(EXACT(A153,LCI!A7),LCI!H7,-1*10^6)</f>
        <v>0</v>
      </c>
      <c r="AA153" s="71">
        <f t="shared" si="10"/>
        <v>0</v>
      </c>
      <c r="AB153" s="71">
        <f t="shared" si="11"/>
        <v>0</v>
      </c>
      <c r="AC153" s="71">
        <f t="shared" si="12"/>
        <v>0</v>
      </c>
      <c r="AD153" s="71">
        <f t="shared" si="13"/>
        <v>0</v>
      </c>
      <c r="AE153" s="71">
        <f t="shared" si="14"/>
        <v>0</v>
      </c>
      <c r="AF153" s="71">
        <f t="shared" si="15"/>
        <v>0</v>
      </c>
      <c r="AG153" s="71" t="e">
        <f>#REF!*$Z153</f>
        <v>#REF!</v>
      </c>
      <c r="AH153" s="71">
        <f t="shared" si="16"/>
        <v>0</v>
      </c>
      <c r="AI153" s="71">
        <f t="shared" si="17"/>
        <v>0</v>
      </c>
      <c r="AJ153" s="71">
        <f t="shared" si="18"/>
        <v>0</v>
      </c>
    </row>
    <row r="154" spans="1:36" x14ac:dyDescent="0.25">
      <c r="A154" s="14" t="str">
        <f>LCI!A8</f>
        <v>Alpha-Amylase (kg/yr)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N154" s="45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4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</row>
    <row r="155" spans="1:36" x14ac:dyDescent="0.25">
      <c r="A155" s="14" t="str">
        <f>LCI!A9</f>
        <v>Ammonia (kg/yr)</v>
      </c>
      <c r="B155" s="42">
        <f>B45</f>
        <v>0</v>
      </c>
      <c r="C155" s="42">
        <f t="shared" ref="C155:L155" si="34">C45</f>
        <v>0</v>
      </c>
      <c r="D155" s="42">
        <f t="shared" si="34"/>
        <v>0</v>
      </c>
      <c r="E155" s="42">
        <f t="shared" si="34"/>
        <v>0</v>
      </c>
      <c r="F155" s="42"/>
      <c r="G155" s="42">
        <f t="shared" si="34"/>
        <v>0</v>
      </c>
      <c r="H155" s="42">
        <f t="shared" si="34"/>
        <v>0</v>
      </c>
      <c r="I155" s="42">
        <f t="shared" si="34"/>
        <v>0</v>
      </c>
      <c r="J155" s="42">
        <f t="shared" si="34"/>
        <v>0</v>
      </c>
      <c r="K155" s="42">
        <f t="shared" si="34"/>
        <v>0</v>
      </c>
      <c r="L155" s="42">
        <f t="shared" si="34"/>
        <v>0</v>
      </c>
      <c r="N155" s="45">
        <f>IF(EXACT(A155,LCI!A9),LCI!G9,-1*10^6)</f>
        <v>0.42</v>
      </c>
      <c r="O155" s="47">
        <f t="shared" si="21"/>
        <v>0</v>
      </c>
      <c r="P155" s="47">
        <f t="shared" si="22"/>
        <v>0</v>
      </c>
      <c r="Q155" s="47">
        <f t="shared" si="23"/>
        <v>0</v>
      </c>
      <c r="R155" s="47">
        <f t="shared" si="24"/>
        <v>0</v>
      </c>
      <c r="S155" s="47">
        <f t="shared" si="25"/>
        <v>0</v>
      </c>
      <c r="T155" s="47">
        <f t="shared" si="26"/>
        <v>0</v>
      </c>
      <c r="U155" s="47">
        <f t="shared" si="27"/>
        <v>0</v>
      </c>
      <c r="V155" s="47">
        <f t="shared" si="28"/>
        <v>0</v>
      </c>
      <c r="W155" s="47">
        <f t="shared" si="29"/>
        <v>0</v>
      </c>
      <c r="X155" s="47">
        <f t="shared" si="30"/>
        <v>0</v>
      </c>
      <c r="Z155" s="41">
        <f>IF(EXACT(A155,LCI!A9),LCI!H9,-1*10^6)</f>
        <v>3010.58</v>
      </c>
      <c r="AA155" s="71">
        <f t="shared" si="10"/>
        <v>0</v>
      </c>
      <c r="AB155" s="71">
        <f t="shared" si="11"/>
        <v>0</v>
      </c>
      <c r="AC155" s="71">
        <f t="shared" si="12"/>
        <v>0</v>
      </c>
      <c r="AD155" s="71">
        <f t="shared" si="13"/>
        <v>0</v>
      </c>
      <c r="AE155" s="71">
        <f t="shared" si="14"/>
        <v>0</v>
      </c>
      <c r="AF155" s="71">
        <f t="shared" si="15"/>
        <v>0</v>
      </c>
      <c r="AG155" s="71" t="e">
        <f>#REF!*$Z155</f>
        <v>#REF!</v>
      </c>
      <c r="AH155" s="71">
        <f t="shared" si="16"/>
        <v>0</v>
      </c>
      <c r="AI155" s="71">
        <f t="shared" si="17"/>
        <v>0</v>
      </c>
      <c r="AJ155" s="71">
        <f t="shared" si="18"/>
        <v>0</v>
      </c>
    </row>
    <row r="156" spans="1:36" x14ac:dyDescent="0.25">
      <c r="A156" s="14" t="str">
        <f>LCI!A10</f>
        <v>CO2, Atmospheric (kg/yr)</v>
      </c>
      <c r="B156" s="42">
        <f>B14</f>
        <v>508889.75932080013</v>
      </c>
      <c r="C156" s="42">
        <f t="shared" ref="C156:L156" si="35">C14</f>
        <v>508889.75932080013</v>
      </c>
      <c r="D156" s="42">
        <f t="shared" si="35"/>
        <v>2456328.71</v>
      </c>
      <c r="E156" s="42">
        <f t="shared" si="35"/>
        <v>2456328.71</v>
      </c>
      <c r="F156" s="42"/>
      <c r="G156" s="42">
        <f t="shared" si="35"/>
        <v>0</v>
      </c>
      <c r="H156" s="42">
        <f t="shared" si="35"/>
        <v>0</v>
      </c>
      <c r="I156" s="42">
        <f t="shared" si="35"/>
        <v>9951907.5</v>
      </c>
      <c r="J156" s="42">
        <f t="shared" si="35"/>
        <v>0</v>
      </c>
      <c r="K156" s="42">
        <f t="shared" si="35"/>
        <v>0</v>
      </c>
      <c r="L156" s="42">
        <f t="shared" si="35"/>
        <v>0</v>
      </c>
      <c r="N156" s="45">
        <f>IF(EXACT(A156,LCI!A10),LCI!G10,-1*10^6)</f>
        <v>0</v>
      </c>
      <c r="O156" s="47">
        <f t="shared" si="21"/>
        <v>0</v>
      </c>
      <c r="P156" s="47">
        <f t="shared" si="22"/>
        <v>0</v>
      </c>
      <c r="Q156" s="47">
        <f t="shared" si="23"/>
        <v>0</v>
      </c>
      <c r="R156" s="47">
        <f t="shared" si="24"/>
        <v>0</v>
      </c>
      <c r="S156" s="47">
        <f t="shared" si="25"/>
        <v>0</v>
      </c>
      <c r="T156" s="47">
        <f t="shared" si="26"/>
        <v>0</v>
      </c>
      <c r="U156" s="47">
        <f t="shared" si="27"/>
        <v>0</v>
      </c>
      <c r="V156" s="47">
        <f t="shared" si="28"/>
        <v>0</v>
      </c>
      <c r="W156" s="47">
        <f t="shared" si="29"/>
        <v>0</v>
      </c>
      <c r="X156" s="47">
        <f t="shared" si="30"/>
        <v>0</v>
      </c>
      <c r="Z156" s="41">
        <f>IF(EXACT(A156,LCI!A10),LCI!H10,-1*10^6)</f>
        <v>-1000</v>
      </c>
      <c r="AA156" s="71">
        <f t="shared" si="10"/>
        <v>-9951907500</v>
      </c>
      <c r="AB156" s="71">
        <f t="shared" si="11"/>
        <v>-508889759.32080013</v>
      </c>
      <c r="AC156" s="71">
        <f t="shared" si="12"/>
        <v>-2456328710</v>
      </c>
      <c r="AD156" s="71">
        <f t="shared" si="13"/>
        <v>-2456328710</v>
      </c>
      <c r="AE156" s="71">
        <f t="shared" si="14"/>
        <v>0</v>
      </c>
      <c r="AF156" s="71">
        <f t="shared" si="15"/>
        <v>0</v>
      </c>
      <c r="AG156" s="71" t="e">
        <f>#REF!*$Z156</f>
        <v>#REF!</v>
      </c>
      <c r="AH156" s="71">
        <f t="shared" si="16"/>
        <v>0</v>
      </c>
      <c r="AI156" s="71">
        <f t="shared" si="17"/>
        <v>0</v>
      </c>
      <c r="AJ156" s="71">
        <f t="shared" si="18"/>
        <v>0</v>
      </c>
    </row>
    <row r="157" spans="1:36" x14ac:dyDescent="0.25">
      <c r="A157" s="14" t="str">
        <f>LCI!A11</f>
        <v>CO2, Commercial (kg/yr)</v>
      </c>
      <c r="B157" s="42">
        <f>B15</f>
        <v>0</v>
      </c>
      <c r="C157" s="42">
        <f t="shared" ref="C157:L157" si="36">C15</f>
        <v>0</v>
      </c>
      <c r="D157" s="42">
        <f t="shared" si="36"/>
        <v>0</v>
      </c>
      <c r="E157" s="42">
        <f t="shared" si="36"/>
        <v>0</v>
      </c>
      <c r="F157" s="42"/>
      <c r="G157" s="42">
        <f t="shared" si="36"/>
        <v>0</v>
      </c>
      <c r="H157" s="42">
        <f t="shared" si="36"/>
        <v>0</v>
      </c>
      <c r="I157" s="42">
        <f t="shared" si="36"/>
        <v>0</v>
      </c>
      <c r="J157" s="42">
        <f t="shared" si="36"/>
        <v>0</v>
      </c>
      <c r="K157" s="42">
        <f t="shared" si="36"/>
        <v>0</v>
      </c>
      <c r="L157" s="42">
        <f t="shared" si="36"/>
        <v>0</v>
      </c>
      <c r="N157" s="45">
        <f>IF(EXACT(A157,LCI!A11),LCI!G11,-1*10^6)</f>
        <v>0.13200000000000001</v>
      </c>
      <c r="O157" s="47">
        <f t="shared" si="21"/>
        <v>0</v>
      </c>
      <c r="P157" s="47">
        <f t="shared" si="22"/>
        <v>0</v>
      </c>
      <c r="Q157" s="47">
        <f t="shared" si="23"/>
        <v>0</v>
      </c>
      <c r="R157" s="47">
        <f t="shared" si="24"/>
        <v>0</v>
      </c>
      <c r="S157" s="47">
        <f t="shared" si="25"/>
        <v>0</v>
      </c>
      <c r="T157" s="47">
        <f t="shared" si="26"/>
        <v>0</v>
      </c>
      <c r="U157" s="47">
        <f t="shared" si="27"/>
        <v>0</v>
      </c>
      <c r="V157" s="47">
        <f t="shared" si="28"/>
        <v>0</v>
      </c>
      <c r="W157" s="47">
        <f t="shared" si="29"/>
        <v>0</v>
      </c>
      <c r="X157" s="47">
        <f t="shared" si="30"/>
        <v>0</v>
      </c>
      <c r="Z157" s="41">
        <f>IF(EXACT(A157,LCI!A11),LCI!H11,-1*10^6)</f>
        <v>1610</v>
      </c>
      <c r="AA157" s="71">
        <f t="shared" si="10"/>
        <v>0</v>
      </c>
      <c r="AB157" s="71">
        <f t="shared" si="11"/>
        <v>0</v>
      </c>
      <c r="AC157" s="71">
        <f t="shared" si="12"/>
        <v>0</v>
      </c>
      <c r="AD157" s="71">
        <f t="shared" si="13"/>
        <v>0</v>
      </c>
      <c r="AE157" s="71">
        <f t="shared" si="14"/>
        <v>0</v>
      </c>
      <c r="AF157" s="71">
        <f t="shared" si="15"/>
        <v>0</v>
      </c>
      <c r="AG157" s="71" t="e">
        <f>#REF!*$Z157</f>
        <v>#REF!</v>
      </c>
      <c r="AH157" s="71">
        <f t="shared" si="16"/>
        <v>0</v>
      </c>
      <c r="AI157" s="71">
        <f t="shared" si="17"/>
        <v>0</v>
      </c>
      <c r="AJ157" s="71">
        <f t="shared" si="18"/>
        <v>0</v>
      </c>
    </row>
    <row r="158" spans="1:36" x14ac:dyDescent="0.25">
      <c r="A158" s="14" t="str">
        <f>LCI!A13</f>
        <v>Corn Seed (kg/yr)</v>
      </c>
      <c r="B158" s="42">
        <f>B16</f>
        <v>0</v>
      </c>
      <c r="C158" s="42">
        <f t="shared" ref="C158:L158" si="37">C16</f>
        <v>0</v>
      </c>
      <c r="D158" s="42">
        <f t="shared" si="37"/>
        <v>1769.4594832116632</v>
      </c>
      <c r="E158" s="42">
        <f t="shared" si="37"/>
        <v>1769.4594832116632</v>
      </c>
      <c r="F158" s="42"/>
      <c r="G158" s="42">
        <f t="shared" si="37"/>
        <v>0</v>
      </c>
      <c r="H158" s="42">
        <f t="shared" si="37"/>
        <v>0</v>
      </c>
      <c r="I158" s="42">
        <f t="shared" si="37"/>
        <v>0</v>
      </c>
      <c r="J158" s="42">
        <f t="shared" si="37"/>
        <v>0</v>
      </c>
      <c r="K158" s="42">
        <f t="shared" si="37"/>
        <v>0</v>
      </c>
      <c r="L158" s="42">
        <f t="shared" si="37"/>
        <v>0</v>
      </c>
      <c r="N158" s="45">
        <f>IF(EXACT(A158,LCI!A13),LCI!G13,-1*10^6)</f>
        <v>0.29399999999999998</v>
      </c>
      <c r="O158" s="47">
        <f t="shared" si="21"/>
        <v>0</v>
      </c>
      <c r="P158" s="47">
        <f t="shared" si="22"/>
        <v>0</v>
      </c>
      <c r="Q158" s="47">
        <f t="shared" si="23"/>
        <v>520.22108806422898</v>
      </c>
      <c r="R158" s="47">
        <f t="shared" si="24"/>
        <v>520.22108806422898</v>
      </c>
      <c r="S158" s="47">
        <f t="shared" si="25"/>
        <v>0</v>
      </c>
      <c r="T158" s="47">
        <f t="shared" si="26"/>
        <v>0</v>
      </c>
      <c r="U158" s="47">
        <f t="shared" si="27"/>
        <v>0</v>
      </c>
      <c r="V158" s="47">
        <f t="shared" si="28"/>
        <v>0</v>
      </c>
      <c r="W158" s="47">
        <f t="shared" si="29"/>
        <v>0</v>
      </c>
      <c r="X158" s="47">
        <f t="shared" si="30"/>
        <v>0</v>
      </c>
      <c r="Z158" s="41">
        <f>IF(EXACT(A158,LCI!A13),LCI!H13,-1*10^6)</f>
        <v>1508.13</v>
      </c>
      <c r="AA158" s="71">
        <f t="shared" si="10"/>
        <v>0</v>
      </c>
      <c r="AB158" s="71">
        <f t="shared" si="11"/>
        <v>0</v>
      </c>
      <c r="AC158" s="71">
        <f t="shared" si="12"/>
        <v>2668574.9304160057</v>
      </c>
      <c r="AD158" s="71">
        <f t="shared" si="13"/>
        <v>2668574.9304160057</v>
      </c>
      <c r="AE158" s="71">
        <f t="shared" si="14"/>
        <v>0</v>
      </c>
      <c r="AF158" s="71">
        <f t="shared" si="15"/>
        <v>0</v>
      </c>
      <c r="AG158" s="71" t="e">
        <f>#REF!*$Z158</f>
        <v>#REF!</v>
      </c>
      <c r="AH158" s="71">
        <f t="shared" si="16"/>
        <v>0</v>
      </c>
      <c r="AI158" s="71">
        <f t="shared" si="17"/>
        <v>0</v>
      </c>
      <c r="AJ158" s="71">
        <f t="shared" si="18"/>
        <v>0</v>
      </c>
    </row>
    <row r="159" spans="1:36" x14ac:dyDescent="0.25">
      <c r="A159" s="14" t="str">
        <f>LCI!A15</f>
        <v>Corn Steep Liquor (kg/yr)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N159" s="45">
        <f>IF(EXACT(A159,LCI!A15),LCI!G15,-1*10^6)</f>
        <v>0</v>
      </c>
      <c r="O159" s="47">
        <f t="shared" si="21"/>
        <v>0</v>
      </c>
      <c r="P159" s="47">
        <f t="shared" si="22"/>
        <v>0</v>
      </c>
      <c r="Q159" s="47">
        <f t="shared" si="23"/>
        <v>0</v>
      </c>
      <c r="R159" s="47">
        <f t="shared" si="24"/>
        <v>0</v>
      </c>
      <c r="S159" s="47">
        <f t="shared" si="25"/>
        <v>0</v>
      </c>
      <c r="T159" s="47">
        <f t="shared" si="26"/>
        <v>0</v>
      </c>
      <c r="U159" s="47">
        <f t="shared" si="27"/>
        <v>0</v>
      </c>
      <c r="V159" s="47">
        <f t="shared" si="28"/>
        <v>0</v>
      </c>
      <c r="W159" s="47">
        <f t="shared" si="29"/>
        <v>0</v>
      </c>
      <c r="X159" s="47">
        <f t="shared" si="30"/>
        <v>0</v>
      </c>
      <c r="Z159" s="41">
        <f>IF(EXACT(A159,LCI!A15),LCI!H15,-1*10^6)</f>
        <v>8.2699999999999996E-3</v>
      </c>
      <c r="AA159" s="71">
        <f t="shared" si="10"/>
        <v>0</v>
      </c>
      <c r="AB159" s="71">
        <f t="shared" si="11"/>
        <v>0</v>
      </c>
      <c r="AC159" s="71">
        <f t="shared" si="12"/>
        <v>0</v>
      </c>
      <c r="AD159" s="71">
        <f t="shared" si="13"/>
        <v>0</v>
      </c>
      <c r="AE159" s="71">
        <f t="shared" si="14"/>
        <v>0</v>
      </c>
      <c r="AF159" s="71">
        <f t="shared" si="15"/>
        <v>0</v>
      </c>
      <c r="AG159" s="71" t="e">
        <f>#REF!*$Z159</f>
        <v>#REF!</v>
      </c>
      <c r="AH159" s="71">
        <f t="shared" si="16"/>
        <v>0</v>
      </c>
      <c r="AI159" s="71">
        <f t="shared" si="17"/>
        <v>0</v>
      </c>
      <c r="AJ159" s="71">
        <f t="shared" si="18"/>
        <v>0</v>
      </c>
    </row>
    <row r="160" spans="1:36" x14ac:dyDescent="0.25">
      <c r="A160" s="14" t="str">
        <f>LCI!A16</f>
        <v>Enzymes (kg/yr)</v>
      </c>
      <c r="B160" s="42">
        <f>B48</f>
        <v>0</v>
      </c>
      <c r="C160" s="42">
        <f t="shared" ref="C160:L160" si="38">C48</f>
        <v>0</v>
      </c>
      <c r="D160" s="42" t="str">
        <f t="shared" si="38"/>
        <v>! Breakout ?</v>
      </c>
      <c r="E160" s="42">
        <f t="shared" si="38"/>
        <v>0</v>
      </c>
      <c r="F160" s="42"/>
      <c r="G160" s="42">
        <f t="shared" si="38"/>
        <v>0</v>
      </c>
      <c r="H160" s="42">
        <f t="shared" si="38"/>
        <v>0</v>
      </c>
      <c r="I160" s="42">
        <f t="shared" si="38"/>
        <v>0</v>
      </c>
      <c r="J160" s="42">
        <f t="shared" si="38"/>
        <v>0</v>
      </c>
      <c r="K160" s="42">
        <f t="shared" si="38"/>
        <v>0</v>
      </c>
      <c r="L160" s="42">
        <f t="shared" si="38"/>
        <v>0</v>
      </c>
      <c r="N160" s="45">
        <f>IF(EXACT(A160,LCI!A16),LCI!G16,-1*10^6)</f>
        <v>2.75</v>
      </c>
      <c r="O160" s="47">
        <f t="shared" si="21"/>
        <v>0</v>
      </c>
      <c r="P160" s="47">
        <f t="shared" si="22"/>
        <v>0</v>
      </c>
      <c r="Q160" s="47" t="e">
        <f t="shared" si="23"/>
        <v>#VALUE!</v>
      </c>
      <c r="R160" s="47">
        <f t="shared" si="24"/>
        <v>0</v>
      </c>
      <c r="S160" s="47">
        <f t="shared" si="25"/>
        <v>0</v>
      </c>
      <c r="T160" s="47">
        <f t="shared" si="26"/>
        <v>0</v>
      </c>
      <c r="U160" s="47">
        <f t="shared" si="27"/>
        <v>0</v>
      </c>
      <c r="V160" s="47">
        <f t="shared" si="28"/>
        <v>0</v>
      </c>
      <c r="W160" s="47">
        <f t="shared" si="29"/>
        <v>0</v>
      </c>
      <c r="X160" s="47">
        <f t="shared" si="30"/>
        <v>0</v>
      </c>
      <c r="Z160" s="41">
        <f>IF(EXACT(A160,LCI!A16),LCI!H16,-1*10^6)</f>
        <v>8357</v>
      </c>
      <c r="AA160" s="71">
        <f t="shared" si="10"/>
        <v>0</v>
      </c>
      <c r="AB160" s="71">
        <f t="shared" si="11"/>
        <v>0</v>
      </c>
      <c r="AC160" s="71" t="e">
        <f t="shared" si="12"/>
        <v>#VALUE!</v>
      </c>
      <c r="AD160" s="71">
        <f t="shared" si="13"/>
        <v>0</v>
      </c>
      <c r="AE160" s="71">
        <f t="shared" si="14"/>
        <v>0</v>
      </c>
      <c r="AF160" s="71">
        <f t="shared" si="15"/>
        <v>0</v>
      </c>
      <c r="AG160" s="71" t="e">
        <f>#REF!*$Z160</f>
        <v>#REF!</v>
      </c>
      <c r="AH160" s="71">
        <f t="shared" si="16"/>
        <v>0</v>
      </c>
      <c r="AI160" s="71">
        <f t="shared" si="17"/>
        <v>0</v>
      </c>
      <c r="AJ160" s="71">
        <f t="shared" si="18"/>
        <v>0</v>
      </c>
    </row>
    <row r="161" spans="1:36" x14ac:dyDescent="0.25">
      <c r="A161" s="14" t="str">
        <f>LCI!A17</f>
        <v>EtOH Catalysts (kg/yr)</v>
      </c>
      <c r="B161" s="42">
        <f>B76</f>
        <v>0</v>
      </c>
      <c r="C161" s="42">
        <f t="shared" ref="C161:L161" si="39">C76</f>
        <v>0</v>
      </c>
      <c r="D161" s="42">
        <f t="shared" si="39"/>
        <v>0</v>
      </c>
      <c r="E161" s="42">
        <f t="shared" si="39"/>
        <v>0</v>
      </c>
      <c r="F161" s="42"/>
      <c r="G161" s="42">
        <f t="shared" si="39"/>
        <v>0</v>
      </c>
      <c r="H161" s="42">
        <f t="shared" si="39"/>
        <v>0</v>
      </c>
      <c r="I161" s="42">
        <f t="shared" si="39"/>
        <v>0</v>
      </c>
      <c r="J161" s="42">
        <f t="shared" si="39"/>
        <v>0</v>
      </c>
      <c r="K161" s="42">
        <f t="shared" si="39"/>
        <v>0</v>
      </c>
      <c r="L161" s="42">
        <f t="shared" si="39"/>
        <v>0</v>
      </c>
      <c r="N161" s="45">
        <f>IF(EXACT(A161,LCI!A17),LCI!G17,-1*10^6)</f>
        <v>70</v>
      </c>
      <c r="O161" s="47">
        <f t="shared" si="21"/>
        <v>0</v>
      </c>
      <c r="P161" s="47">
        <f t="shared" si="22"/>
        <v>0</v>
      </c>
      <c r="Q161" s="47">
        <f t="shared" si="23"/>
        <v>0</v>
      </c>
      <c r="R161" s="47">
        <f t="shared" si="24"/>
        <v>0</v>
      </c>
      <c r="S161" s="47">
        <f t="shared" si="25"/>
        <v>0</v>
      </c>
      <c r="T161" s="47">
        <f t="shared" si="26"/>
        <v>0</v>
      </c>
      <c r="U161" s="47">
        <f t="shared" si="27"/>
        <v>0</v>
      </c>
      <c r="V161" s="47">
        <f t="shared" si="28"/>
        <v>0</v>
      </c>
      <c r="W161" s="47">
        <f t="shared" si="29"/>
        <v>0</v>
      </c>
      <c r="X161" s="47">
        <f t="shared" si="30"/>
        <v>0</v>
      </c>
      <c r="Z161" s="41">
        <f>IF(EXACT(A161,LCI!A17),LCI!H17,-1*10^6)</f>
        <v>9576</v>
      </c>
      <c r="AA161" s="71">
        <f t="shared" si="10"/>
        <v>0</v>
      </c>
      <c r="AB161" s="71">
        <f t="shared" si="11"/>
        <v>0</v>
      </c>
      <c r="AC161" s="71">
        <f t="shared" si="12"/>
        <v>0</v>
      </c>
      <c r="AD161" s="71">
        <f t="shared" si="13"/>
        <v>0</v>
      </c>
      <c r="AE161" s="71">
        <f t="shared" si="14"/>
        <v>0</v>
      </c>
      <c r="AF161" s="71">
        <f t="shared" si="15"/>
        <v>0</v>
      </c>
      <c r="AG161" s="71" t="e">
        <f>#REF!*$Z161</f>
        <v>#REF!</v>
      </c>
      <c r="AH161" s="71">
        <f t="shared" si="16"/>
        <v>0</v>
      </c>
      <c r="AI161" s="71">
        <f t="shared" si="17"/>
        <v>0</v>
      </c>
      <c r="AJ161" s="71">
        <f t="shared" si="18"/>
        <v>0</v>
      </c>
    </row>
    <row r="162" spans="1:36" x14ac:dyDescent="0.25">
      <c r="A162" s="14" t="str">
        <f>LCI!A18</f>
        <v>Forestry Residue (kg/yr)</v>
      </c>
      <c r="B162" s="42">
        <f>B17</f>
        <v>0</v>
      </c>
      <c r="C162" s="42">
        <f t="shared" ref="C162:L162" si="40">C17</f>
        <v>0</v>
      </c>
      <c r="D162" s="42">
        <f t="shared" si="40"/>
        <v>0</v>
      </c>
      <c r="E162" s="42">
        <f t="shared" si="40"/>
        <v>0</v>
      </c>
      <c r="F162" s="42"/>
      <c r="G162" s="42">
        <f t="shared" si="40"/>
        <v>0</v>
      </c>
      <c r="H162" s="42">
        <f t="shared" si="40"/>
        <v>0</v>
      </c>
      <c r="I162" s="42">
        <f t="shared" si="40"/>
        <v>0</v>
      </c>
      <c r="J162" s="42">
        <f t="shared" si="40"/>
        <v>0</v>
      </c>
      <c r="K162" s="42">
        <f t="shared" si="40"/>
        <v>0</v>
      </c>
      <c r="L162" s="42">
        <f t="shared" si="40"/>
        <v>0</v>
      </c>
      <c r="N162" s="45">
        <f>IF(EXACT(A162,LCI!A18),LCI!G18,-1*10^6)</f>
        <v>4.6076791999999998E-2</v>
      </c>
      <c r="O162" s="47">
        <f t="shared" si="21"/>
        <v>0</v>
      </c>
      <c r="P162" s="47">
        <f t="shared" si="22"/>
        <v>0</v>
      </c>
      <c r="Q162" s="47">
        <f t="shared" si="23"/>
        <v>0</v>
      </c>
      <c r="R162" s="47">
        <f t="shared" si="24"/>
        <v>0</v>
      </c>
      <c r="S162" s="47">
        <f t="shared" si="25"/>
        <v>0</v>
      </c>
      <c r="T162" s="47">
        <f t="shared" si="26"/>
        <v>0</v>
      </c>
      <c r="U162" s="47">
        <f t="shared" si="27"/>
        <v>0</v>
      </c>
      <c r="V162" s="47">
        <f t="shared" si="28"/>
        <v>0</v>
      </c>
      <c r="W162" s="47">
        <f t="shared" si="29"/>
        <v>0</v>
      </c>
      <c r="X162" s="47">
        <f t="shared" si="30"/>
        <v>0</v>
      </c>
      <c r="Z162" s="41">
        <f>IF(EXACT(A162,LCI!A18),LCI!H18,-1*10^6)</f>
        <v>0</v>
      </c>
      <c r="AA162" s="71">
        <f t="shared" si="10"/>
        <v>0</v>
      </c>
      <c r="AB162" s="71">
        <f t="shared" si="11"/>
        <v>0</v>
      </c>
      <c r="AC162" s="71">
        <f t="shared" si="12"/>
        <v>0</v>
      </c>
      <c r="AD162" s="71">
        <f t="shared" si="13"/>
        <v>0</v>
      </c>
      <c r="AE162" s="71">
        <f t="shared" si="14"/>
        <v>0</v>
      </c>
      <c r="AF162" s="71">
        <f t="shared" si="15"/>
        <v>0</v>
      </c>
      <c r="AG162" s="71" t="e">
        <f>#REF!*$Z162</f>
        <v>#REF!</v>
      </c>
      <c r="AH162" s="71">
        <f t="shared" si="16"/>
        <v>0</v>
      </c>
      <c r="AI162" s="71">
        <f t="shared" si="17"/>
        <v>0</v>
      </c>
      <c r="AJ162" s="71">
        <f t="shared" si="18"/>
        <v>0</v>
      </c>
    </row>
    <row r="163" spans="1:36" x14ac:dyDescent="0.25">
      <c r="A163" s="14" t="str">
        <f>LCI!A19</f>
        <v>Forestry Seed (cuttings/yr)</v>
      </c>
      <c r="B163" s="42">
        <f>B18</f>
        <v>0</v>
      </c>
      <c r="C163" s="42">
        <f t="shared" ref="C163:L163" si="41">C18</f>
        <v>0</v>
      </c>
      <c r="D163" s="42">
        <f t="shared" si="41"/>
        <v>0</v>
      </c>
      <c r="E163" s="42">
        <f t="shared" si="41"/>
        <v>0</v>
      </c>
      <c r="F163" s="42"/>
      <c r="G163" s="42">
        <f t="shared" si="41"/>
        <v>0</v>
      </c>
      <c r="H163" s="42">
        <f t="shared" si="41"/>
        <v>0</v>
      </c>
      <c r="I163" s="42">
        <f t="shared" si="41"/>
        <v>0</v>
      </c>
      <c r="J163" s="42">
        <f t="shared" si="41"/>
        <v>0</v>
      </c>
      <c r="K163" s="42">
        <f t="shared" si="41"/>
        <v>0</v>
      </c>
      <c r="L163" s="42">
        <f t="shared" si="41"/>
        <v>0</v>
      </c>
      <c r="N163" s="45">
        <f>IF(EXACT(A163,LCI!A19),LCI!G19,-1*10^6)</f>
        <v>0.06</v>
      </c>
      <c r="O163" s="47">
        <f t="shared" si="21"/>
        <v>0</v>
      </c>
      <c r="P163" s="47">
        <f t="shared" si="22"/>
        <v>0</v>
      </c>
      <c r="Q163" s="47">
        <f t="shared" si="23"/>
        <v>0</v>
      </c>
      <c r="R163" s="47">
        <f t="shared" si="24"/>
        <v>0</v>
      </c>
      <c r="S163" s="47">
        <f t="shared" si="25"/>
        <v>0</v>
      </c>
      <c r="T163" s="47">
        <f t="shared" si="26"/>
        <v>0</v>
      </c>
      <c r="U163" s="47">
        <f t="shared" si="27"/>
        <v>0</v>
      </c>
      <c r="V163" s="47">
        <f t="shared" si="28"/>
        <v>0</v>
      </c>
      <c r="W163" s="47">
        <f t="shared" si="29"/>
        <v>0</v>
      </c>
      <c r="X163" s="47">
        <f t="shared" si="30"/>
        <v>0</v>
      </c>
      <c r="Z163" s="41">
        <f>IF(EXACT(A163,LCI!A19),LCI!H19,-1*10^6)</f>
        <v>13</v>
      </c>
      <c r="AA163" s="71">
        <f t="shared" si="10"/>
        <v>0</v>
      </c>
      <c r="AB163" s="71">
        <f t="shared" si="11"/>
        <v>0</v>
      </c>
      <c r="AC163" s="71">
        <f t="shared" si="12"/>
        <v>0</v>
      </c>
      <c r="AD163" s="71">
        <f t="shared" si="13"/>
        <v>0</v>
      </c>
      <c r="AE163" s="71">
        <f t="shared" si="14"/>
        <v>0</v>
      </c>
      <c r="AF163" s="71">
        <f t="shared" si="15"/>
        <v>0</v>
      </c>
      <c r="AG163" s="71" t="e">
        <f>#REF!*$Z163</f>
        <v>#REF!</v>
      </c>
      <c r="AH163" s="71">
        <f t="shared" si="16"/>
        <v>0</v>
      </c>
      <c r="AI163" s="71">
        <f t="shared" si="17"/>
        <v>0</v>
      </c>
      <c r="AJ163" s="71">
        <f t="shared" si="18"/>
        <v>0</v>
      </c>
    </row>
    <row r="164" spans="1:36" x14ac:dyDescent="0.25">
      <c r="A164" s="14" t="str">
        <f>LCI!A20</f>
        <v>FT Catalysts (kg/yr)</v>
      </c>
      <c r="B164" s="42">
        <f>B49</f>
        <v>0</v>
      </c>
      <c r="C164" s="42">
        <f t="shared" ref="C164:L164" si="42">C49</f>
        <v>0</v>
      </c>
      <c r="D164" s="42">
        <f t="shared" si="42"/>
        <v>0</v>
      </c>
      <c r="E164" s="42">
        <f t="shared" si="42"/>
        <v>0</v>
      </c>
      <c r="F164" s="42"/>
      <c r="G164" s="42">
        <f t="shared" si="42"/>
        <v>0</v>
      </c>
      <c r="H164" s="42">
        <f t="shared" si="42"/>
        <v>0</v>
      </c>
      <c r="I164" s="42">
        <f t="shared" si="42"/>
        <v>0</v>
      </c>
      <c r="J164" s="42">
        <f t="shared" si="42"/>
        <v>0</v>
      </c>
      <c r="K164" s="42">
        <f t="shared" si="42"/>
        <v>0</v>
      </c>
      <c r="L164" s="42">
        <f t="shared" si="42"/>
        <v>0</v>
      </c>
      <c r="N164" s="45">
        <f>IF(EXACT(A164,LCI!A20),LCI!G20,-1*10^6)</f>
        <v>47.64</v>
      </c>
      <c r="O164" s="47">
        <f t="shared" si="21"/>
        <v>0</v>
      </c>
      <c r="P164" s="47">
        <f t="shared" si="22"/>
        <v>0</v>
      </c>
      <c r="Q164" s="47">
        <f t="shared" si="23"/>
        <v>0</v>
      </c>
      <c r="R164" s="47">
        <f t="shared" si="24"/>
        <v>0</v>
      </c>
      <c r="S164" s="47">
        <f t="shared" si="25"/>
        <v>0</v>
      </c>
      <c r="T164" s="47">
        <f t="shared" si="26"/>
        <v>0</v>
      </c>
      <c r="U164" s="47">
        <f t="shared" si="27"/>
        <v>0</v>
      </c>
      <c r="V164" s="47">
        <f t="shared" si="28"/>
        <v>0</v>
      </c>
      <c r="W164" s="47">
        <f t="shared" si="29"/>
        <v>0</v>
      </c>
      <c r="X164" s="47">
        <f t="shared" si="30"/>
        <v>0</v>
      </c>
      <c r="Z164" s="41">
        <f>IF(EXACT(A164,LCI!A20),LCI!H20,-1*10^6)</f>
        <v>9576</v>
      </c>
      <c r="AA164" s="71">
        <f t="shared" si="10"/>
        <v>0</v>
      </c>
      <c r="AB164" s="71">
        <f t="shared" si="11"/>
        <v>0</v>
      </c>
      <c r="AC164" s="71">
        <f t="shared" si="12"/>
        <v>0</v>
      </c>
      <c r="AD164" s="71">
        <f t="shared" si="13"/>
        <v>0</v>
      </c>
      <c r="AE164" s="71">
        <f t="shared" si="14"/>
        <v>0</v>
      </c>
      <c r="AF164" s="71">
        <f t="shared" si="15"/>
        <v>0</v>
      </c>
      <c r="AG164" s="71" t="e">
        <f>#REF!*$Z164</f>
        <v>#REF!</v>
      </c>
      <c r="AH164" s="71">
        <f t="shared" si="16"/>
        <v>0</v>
      </c>
      <c r="AI164" s="71">
        <f t="shared" si="17"/>
        <v>0</v>
      </c>
      <c r="AJ164" s="71">
        <f t="shared" si="18"/>
        <v>0</v>
      </c>
    </row>
    <row r="165" spans="1:36" x14ac:dyDescent="0.25">
      <c r="A165" s="14" t="str">
        <f>LCI!A21</f>
        <v>Glucoamylase (kg/yr)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N165" s="45">
        <f>IF(EXACT(A165,LCI!A21),LCI!G21,-1*10^6)</f>
        <v>0</v>
      </c>
      <c r="O165" s="47">
        <f t="shared" si="21"/>
        <v>0</v>
      </c>
      <c r="P165" s="47">
        <f t="shared" si="22"/>
        <v>0</v>
      </c>
      <c r="Q165" s="47">
        <f t="shared" si="23"/>
        <v>0</v>
      </c>
      <c r="R165" s="47">
        <f t="shared" si="24"/>
        <v>0</v>
      </c>
      <c r="S165" s="47">
        <f t="shared" si="25"/>
        <v>0</v>
      </c>
      <c r="T165" s="47">
        <f t="shared" si="26"/>
        <v>0</v>
      </c>
      <c r="U165" s="47">
        <f t="shared" si="27"/>
        <v>0</v>
      </c>
      <c r="V165" s="47">
        <f t="shared" si="28"/>
        <v>0</v>
      </c>
      <c r="W165" s="47">
        <f t="shared" si="29"/>
        <v>0</v>
      </c>
      <c r="X165" s="47">
        <f t="shared" si="30"/>
        <v>0</v>
      </c>
      <c r="Z165" s="41">
        <f>IF(EXACT(A165,LCI!A21),LCI!H21,-1*10^6)</f>
        <v>0</v>
      </c>
      <c r="AA165" s="71">
        <f t="shared" si="10"/>
        <v>0</v>
      </c>
      <c r="AB165" s="71">
        <f t="shared" ref="AB165:AB195" si="43">C165*$Z165</f>
        <v>0</v>
      </c>
      <c r="AC165" s="71">
        <f t="shared" ref="AC165:AC195" si="44">D165*$Z165</f>
        <v>0</v>
      </c>
      <c r="AD165" s="71">
        <f t="shared" ref="AD165:AD195" si="45">E165*$Z165</f>
        <v>0</v>
      </c>
      <c r="AE165" s="71">
        <f t="shared" ref="AE165:AE195" si="46">G165*$Z165</f>
        <v>0</v>
      </c>
      <c r="AF165" s="71">
        <f t="shared" ref="AF165:AF195" si="47">H165*$Z165</f>
        <v>0</v>
      </c>
      <c r="AG165" s="71" t="e">
        <f>#REF!*$Z165</f>
        <v>#REF!</v>
      </c>
      <c r="AH165" s="71">
        <f t="shared" ref="AH165:AH195" si="48">J165*$Z165</f>
        <v>0</v>
      </c>
      <c r="AI165" s="71">
        <f t="shared" ref="AI165:AI195" si="49">K165*$Z165</f>
        <v>0</v>
      </c>
      <c r="AJ165" s="71">
        <f t="shared" ref="AJ165:AJ195" si="50">L165*$Z165</f>
        <v>0</v>
      </c>
    </row>
    <row r="166" spans="1:36" x14ac:dyDescent="0.25">
      <c r="A166" s="14" t="str">
        <f>LCI!A22</f>
        <v>Glucose (kg/yr)</v>
      </c>
      <c r="B166" s="42">
        <f>B51</f>
        <v>0</v>
      </c>
      <c r="C166" s="42">
        <f t="shared" ref="C166:L166" si="51">C51</f>
        <v>0</v>
      </c>
      <c r="D166" s="42">
        <f t="shared" si="51"/>
        <v>0</v>
      </c>
      <c r="E166" s="42">
        <f t="shared" si="51"/>
        <v>0</v>
      </c>
      <c r="F166" s="42"/>
      <c r="G166" s="42">
        <f t="shared" si="51"/>
        <v>0</v>
      </c>
      <c r="H166" s="42">
        <f t="shared" si="51"/>
        <v>0</v>
      </c>
      <c r="I166" s="42">
        <f t="shared" si="51"/>
        <v>0</v>
      </c>
      <c r="J166" s="42">
        <f t="shared" si="51"/>
        <v>0</v>
      </c>
      <c r="K166" s="42">
        <f t="shared" si="51"/>
        <v>0</v>
      </c>
      <c r="L166" s="42">
        <f t="shared" si="51"/>
        <v>0</v>
      </c>
      <c r="N166" s="45">
        <f>IF(EXACT(A166,LCI!A22),LCI!G22,-1*10^6)</f>
        <v>0.66</v>
      </c>
      <c r="O166" s="47">
        <f t="shared" si="21"/>
        <v>0</v>
      </c>
      <c r="P166" s="47">
        <f t="shared" si="22"/>
        <v>0</v>
      </c>
      <c r="Q166" s="47">
        <f t="shared" si="23"/>
        <v>0</v>
      </c>
      <c r="R166" s="47">
        <f t="shared" si="24"/>
        <v>0</v>
      </c>
      <c r="S166" s="47">
        <f t="shared" si="25"/>
        <v>0</v>
      </c>
      <c r="T166" s="47">
        <f t="shared" si="26"/>
        <v>0</v>
      </c>
      <c r="U166" s="47">
        <f t="shared" si="27"/>
        <v>0</v>
      </c>
      <c r="V166" s="47">
        <f t="shared" si="28"/>
        <v>0</v>
      </c>
      <c r="W166" s="47">
        <f t="shared" si="29"/>
        <v>0</v>
      </c>
      <c r="X166" s="47">
        <f t="shared" si="30"/>
        <v>0</v>
      </c>
      <c r="Z166" s="41">
        <f>IF(EXACT(A166,LCI!A22),LCI!H22,-1*10^6)</f>
        <v>1448.71</v>
      </c>
      <c r="AA166" s="71">
        <f t="shared" si="10"/>
        <v>0</v>
      </c>
      <c r="AB166" s="71">
        <f t="shared" si="43"/>
        <v>0</v>
      </c>
      <c r="AC166" s="71">
        <f t="shared" si="44"/>
        <v>0</v>
      </c>
      <c r="AD166" s="71">
        <f t="shared" si="45"/>
        <v>0</v>
      </c>
      <c r="AE166" s="71">
        <f t="shared" si="46"/>
        <v>0</v>
      </c>
      <c r="AF166" s="71">
        <f t="shared" si="47"/>
        <v>0</v>
      </c>
      <c r="AG166" s="71" t="e">
        <f>#REF!*$Z166</f>
        <v>#REF!</v>
      </c>
      <c r="AH166" s="71">
        <f t="shared" si="48"/>
        <v>0</v>
      </c>
      <c r="AI166" s="71">
        <f t="shared" si="49"/>
        <v>0</v>
      </c>
      <c r="AJ166" s="71">
        <f t="shared" si="50"/>
        <v>0</v>
      </c>
    </row>
    <row r="167" spans="1:36" x14ac:dyDescent="0.25">
      <c r="A167" s="14" t="str">
        <f>LCI!A24</f>
        <v>Grass Seed (kg/yr)</v>
      </c>
      <c r="B167" s="42">
        <f>B19</f>
        <v>0</v>
      </c>
      <c r="C167" s="42">
        <f t="shared" ref="C167:L167" si="52">C19</f>
        <v>0</v>
      </c>
      <c r="D167" s="42">
        <f t="shared" si="52"/>
        <v>0</v>
      </c>
      <c r="E167" s="42">
        <f t="shared" si="52"/>
        <v>0</v>
      </c>
      <c r="F167" s="42"/>
      <c r="G167" s="42">
        <f t="shared" si="52"/>
        <v>0</v>
      </c>
      <c r="H167" s="42">
        <f t="shared" si="52"/>
        <v>0</v>
      </c>
      <c r="I167" s="42">
        <f t="shared" si="52"/>
        <v>0</v>
      </c>
      <c r="J167" s="42">
        <f t="shared" si="52"/>
        <v>0</v>
      </c>
      <c r="K167" s="42">
        <f t="shared" si="52"/>
        <v>0</v>
      </c>
      <c r="L167" s="42">
        <f t="shared" si="52"/>
        <v>0</v>
      </c>
      <c r="N167" s="45">
        <f>IF(EXACT(A167,LCI!A24),LCI!G24,-1*10^6)</f>
        <v>22</v>
      </c>
      <c r="O167" s="47">
        <f t="shared" si="21"/>
        <v>0</v>
      </c>
      <c r="P167" s="47">
        <f t="shared" si="22"/>
        <v>0</v>
      </c>
      <c r="Q167" s="47">
        <f t="shared" si="23"/>
        <v>0</v>
      </c>
      <c r="R167" s="47">
        <f t="shared" si="24"/>
        <v>0</v>
      </c>
      <c r="S167" s="47">
        <f t="shared" si="25"/>
        <v>0</v>
      </c>
      <c r="T167" s="47">
        <f t="shared" si="26"/>
        <v>0</v>
      </c>
      <c r="U167" s="47">
        <f t="shared" si="27"/>
        <v>0</v>
      </c>
      <c r="V167" s="47">
        <f t="shared" si="28"/>
        <v>0</v>
      </c>
      <c r="W167" s="47">
        <f t="shared" si="29"/>
        <v>0</v>
      </c>
      <c r="X167" s="47">
        <f t="shared" si="30"/>
        <v>0</v>
      </c>
      <c r="Z167" s="41">
        <f>IF(EXACT(A167,LCI!A24),LCI!H24,-1*10^6)</f>
        <v>1793.01</v>
      </c>
      <c r="AA167" s="71">
        <f t="shared" si="10"/>
        <v>0</v>
      </c>
      <c r="AB167" s="71">
        <f t="shared" si="43"/>
        <v>0</v>
      </c>
      <c r="AC167" s="71">
        <f t="shared" si="44"/>
        <v>0</v>
      </c>
      <c r="AD167" s="71">
        <f t="shared" si="45"/>
        <v>0</v>
      </c>
      <c r="AE167" s="71">
        <f t="shared" si="46"/>
        <v>0</v>
      </c>
      <c r="AF167" s="71">
        <f t="shared" si="47"/>
        <v>0</v>
      </c>
      <c r="AG167" s="71" t="e">
        <f>#REF!*$Z167</f>
        <v>#REF!</v>
      </c>
      <c r="AH167" s="71">
        <f t="shared" si="48"/>
        <v>0</v>
      </c>
      <c r="AI167" s="71">
        <f t="shared" si="49"/>
        <v>0</v>
      </c>
      <c r="AJ167" s="71">
        <f t="shared" si="50"/>
        <v>0</v>
      </c>
    </row>
    <row r="168" spans="1:36" x14ac:dyDescent="0.25">
      <c r="A168" s="14" t="str">
        <f>LCI!A25</f>
        <v>Herbicide (kg/yr)</v>
      </c>
      <c r="B168" s="42">
        <f>B20</f>
        <v>241.37063683200009</v>
      </c>
      <c r="C168" s="42">
        <f t="shared" ref="C168:L168" si="53">C20</f>
        <v>241.37063683200009</v>
      </c>
      <c r="D168" s="42">
        <f t="shared" si="53"/>
        <v>121.30000000000001</v>
      </c>
      <c r="E168" s="42">
        <f t="shared" si="53"/>
        <v>121.30000000000001</v>
      </c>
      <c r="F168" s="42"/>
      <c r="G168" s="42">
        <f t="shared" si="53"/>
        <v>0</v>
      </c>
      <c r="H168" s="42">
        <f t="shared" si="53"/>
        <v>0</v>
      </c>
      <c r="I168" s="42">
        <f t="shared" si="53"/>
        <v>0</v>
      </c>
      <c r="J168" s="42">
        <f t="shared" si="53"/>
        <v>0</v>
      </c>
      <c r="K168" s="42">
        <f t="shared" si="53"/>
        <v>0</v>
      </c>
      <c r="L168" s="42">
        <f t="shared" si="53"/>
        <v>0</v>
      </c>
      <c r="N168" s="45">
        <f>IF(EXACT(A168,LCI!A25),LCI!G25,-1*10^6)</f>
        <v>13.210039630000001</v>
      </c>
      <c r="O168" s="47">
        <f t="shared" si="21"/>
        <v>3188.515678069059</v>
      </c>
      <c r="P168" s="47">
        <f t="shared" si="22"/>
        <v>3188.515678069059</v>
      </c>
      <c r="Q168" s="47">
        <f t="shared" si="23"/>
        <v>1602.3778071190002</v>
      </c>
      <c r="R168" s="47">
        <f t="shared" si="24"/>
        <v>1602.3778071190002</v>
      </c>
      <c r="S168" s="47">
        <f t="shared" si="25"/>
        <v>0</v>
      </c>
      <c r="T168" s="47">
        <f t="shared" si="26"/>
        <v>0</v>
      </c>
      <c r="U168" s="47">
        <f t="shared" si="27"/>
        <v>0</v>
      </c>
      <c r="V168" s="47">
        <f t="shared" si="28"/>
        <v>0</v>
      </c>
      <c r="W168" s="47">
        <f t="shared" si="29"/>
        <v>0</v>
      </c>
      <c r="X168" s="47">
        <f t="shared" si="30"/>
        <v>0</v>
      </c>
      <c r="Z168" s="41">
        <f>IF(EXACT(A168,LCI!A25),LCI!H25,-1*10^6)</f>
        <v>8777.34</v>
      </c>
      <c r="AA168" s="71">
        <f t="shared" si="10"/>
        <v>0</v>
      </c>
      <c r="AB168" s="71">
        <f t="shared" si="43"/>
        <v>2118592.1454909877</v>
      </c>
      <c r="AC168" s="71">
        <f t="shared" si="44"/>
        <v>1064691.3420000002</v>
      </c>
      <c r="AD168" s="71">
        <f t="shared" si="45"/>
        <v>1064691.3420000002</v>
      </c>
      <c r="AE168" s="71">
        <f t="shared" si="46"/>
        <v>0</v>
      </c>
      <c r="AF168" s="71">
        <f t="shared" si="47"/>
        <v>0</v>
      </c>
      <c r="AG168" s="71" t="e">
        <f>#REF!*$Z168</f>
        <v>#REF!</v>
      </c>
      <c r="AH168" s="71">
        <f t="shared" si="48"/>
        <v>0</v>
      </c>
      <c r="AI168" s="71">
        <f t="shared" si="49"/>
        <v>0</v>
      </c>
      <c r="AJ168" s="71">
        <f t="shared" si="50"/>
        <v>0</v>
      </c>
    </row>
    <row r="169" spans="1:36" x14ac:dyDescent="0.25">
      <c r="A169" s="14" t="str">
        <f>LCI!A26</f>
        <v>Hexane (kg/yr)</v>
      </c>
      <c r="B169" s="42">
        <f>B52</f>
        <v>238.35350387160008</v>
      </c>
      <c r="C169" s="42">
        <f t="shared" ref="C169:L169" si="54">C52</f>
        <v>238.35350387160008</v>
      </c>
      <c r="D169" s="42">
        <f t="shared" si="54"/>
        <v>0</v>
      </c>
      <c r="E169" s="42">
        <f t="shared" si="54"/>
        <v>0</v>
      </c>
      <c r="F169" s="42"/>
      <c r="G169" s="42">
        <f t="shared" si="54"/>
        <v>0</v>
      </c>
      <c r="H169" s="42">
        <f t="shared" si="54"/>
        <v>0</v>
      </c>
      <c r="I169" s="42">
        <f t="shared" si="54"/>
        <v>0</v>
      </c>
      <c r="J169" s="42">
        <f t="shared" si="54"/>
        <v>0</v>
      </c>
      <c r="K169" s="42">
        <f t="shared" si="54"/>
        <v>0</v>
      </c>
      <c r="L169" s="42">
        <f t="shared" si="54"/>
        <v>0</v>
      </c>
      <c r="N169" s="45">
        <f>IF(EXACT(A169,LCI!A26),LCI!G26,-1*10^6)</f>
        <v>0.91200000000000003</v>
      </c>
      <c r="O169" s="47">
        <f t="shared" si="21"/>
        <v>217.3783955308993</v>
      </c>
      <c r="P169" s="47">
        <f t="shared" si="22"/>
        <v>217.3783955308993</v>
      </c>
      <c r="Q169" s="47">
        <f t="shared" si="23"/>
        <v>0</v>
      </c>
      <c r="R169" s="47">
        <f t="shared" si="24"/>
        <v>0</v>
      </c>
      <c r="S169" s="47">
        <f t="shared" si="25"/>
        <v>0</v>
      </c>
      <c r="T169" s="47">
        <f t="shared" si="26"/>
        <v>0</v>
      </c>
      <c r="U169" s="47">
        <f t="shared" si="27"/>
        <v>0</v>
      </c>
      <c r="V169" s="47">
        <f t="shared" si="28"/>
        <v>0</v>
      </c>
      <c r="W169" s="47">
        <f t="shared" si="29"/>
        <v>0</v>
      </c>
      <c r="X169" s="47">
        <f t="shared" si="30"/>
        <v>0</v>
      </c>
      <c r="Z169" s="41">
        <f>IF(EXACT(A169,LCI!A26),LCI!H26,-1*10^6)</f>
        <v>961.05</v>
      </c>
      <c r="AA169" s="71">
        <f t="shared" si="10"/>
        <v>0</v>
      </c>
      <c r="AB169" s="71">
        <f t="shared" si="43"/>
        <v>229069.63489580125</v>
      </c>
      <c r="AC169" s="71">
        <f t="shared" si="44"/>
        <v>0</v>
      </c>
      <c r="AD169" s="71">
        <f t="shared" si="45"/>
        <v>0</v>
      </c>
      <c r="AE169" s="71">
        <f t="shared" si="46"/>
        <v>0</v>
      </c>
      <c r="AF169" s="71">
        <f t="shared" si="47"/>
        <v>0</v>
      </c>
      <c r="AG169" s="71" t="e">
        <f>#REF!*$Z169</f>
        <v>#REF!</v>
      </c>
      <c r="AH169" s="71">
        <f t="shared" si="48"/>
        <v>0</v>
      </c>
      <c r="AI169" s="71">
        <f t="shared" si="49"/>
        <v>0</v>
      </c>
      <c r="AJ169" s="71">
        <f t="shared" si="50"/>
        <v>0</v>
      </c>
    </row>
    <row r="170" spans="1:36" x14ac:dyDescent="0.25">
      <c r="A170" s="14" t="str">
        <f>LCI!A27</f>
        <v>Insecticide (kg/yr)</v>
      </c>
      <c r="B170" s="42">
        <f>B21</f>
        <v>6.0342659208000029</v>
      </c>
      <c r="C170" s="42">
        <f t="shared" ref="C170:L170" si="55">C21</f>
        <v>6.0342659208000029</v>
      </c>
      <c r="D170" s="42">
        <f t="shared" si="55"/>
        <v>0</v>
      </c>
      <c r="E170" s="42">
        <f t="shared" si="55"/>
        <v>0</v>
      </c>
      <c r="F170" s="42"/>
      <c r="G170" s="42">
        <f t="shared" si="55"/>
        <v>0</v>
      </c>
      <c r="H170" s="42">
        <f t="shared" si="55"/>
        <v>0</v>
      </c>
      <c r="I170" s="42">
        <f t="shared" si="55"/>
        <v>0</v>
      </c>
      <c r="J170" s="42">
        <f t="shared" si="55"/>
        <v>0</v>
      </c>
      <c r="K170" s="42">
        <f t="shared" si="55"/>
        <v>0</v>
      </c>
      <c r="L170" s="42">
        <f t="shared" si="55"/>
        <v>0</v>
      </c>
      <c r="N170" s="45">
        <f>IF(EXACT(A170,LCI!A27),LCI!G27,-1*10^6)</f>
        <v>26.420079260000001</v>
      </c>
      <c r="O170" s="47">
        <f t="shared" si="21"/>
        <v>159.42578390345298</v>
      </c>
      <c r="P170" s="47">
        <f t="shared" si="22"/>
        <v>159.42578390345298</v>
      </c>
      <c r="Q170" s="47">
        <f t="shared" si="23"/>
        <v>0</v>
      </c>
      <c r="R170" s="47">
        <f t="shared" si="24"/>
        <v>0</v>
      </c>
      <c r="S170" s="47">
        <f t="shared" si="25"/>
        <v>0</v>
      </c>
      <c r="T170" s="47">
        <f t="shared" si="26"/>
        <v>0</v>
      </c>
      <c r="U170" s="47">
        <f t="shared" si="27"/>
        <v>0</v>
      </c>
      <c r="V170" s="47">
        <f t="shared" si="28"/>
        <v>0</v>
      </c>
      <c r="W170" s="47">
        <f t="shared" si="29"/>
        <v>0</v>
      </c>
      <c r="X170" s="47">
        <f t="shared" si="30"/>
        <v>0</v>
      </c>
      <c r="Z170" s="41">
        <f>IF(EXACT(A170,LCI!A27),LCI!H27,-1*10^6)</f>
        <v>1863</v>
      </c>
      <c r="AA170" s="71">
        <f t="shared" si="10"/>
        <v>0</v>
      </c>
      <c r="AB170" s="71">
        <f t="shared" si="43"/>
        <v>11241.837410450406</v>
      </c>
      <c r="AC170" s="71">
        <f t="shared" si="44"/>
        <v>0</v>
      </c>
      <c r="AD170" s="71">
        <f t="shared" si="45"/>
        <v>0</v>
      </c>
      <c r="AE170" s="71">
        <f t="shared" si="46"/>
        <v>0</v>
      </c>
      <c r="AF170" s="71">
        <f t="shared" si="47"/>
        <v>0</v>
      </c>
      <c r="AG170" s="71" t="e">
        <f>#REF!*$Z170</f>
        <v>#REF!</v>
      </c>
      <c r="AH170" s="71">
        <f t="shared" si="48"/>
        <v>0</v>
      </c>
      <c r="AI170" s="71">
        <f t="shared" si="49"/>
        <v>0</v>
      </c>
      <c r="AJ170" s="71">
        <f t="shared" si="50"/>
        <v>0</v>
      </c>
    </row>
    <row r="171" spans="1:36" x14ac:dyDescent="0.25">
      <c r="A171" s="14" t="str">
        <f>LCI!A28</f>
        <v>Lime, Ag (kg/yr)</v>
      </c>
      <c r="B171" s="42">
        <f>B13</f>
        <v>0</v>
      </c>
      <c r="C171" s="42">
        <f t="shared" ref="C171:L171" si="56">C13</f>
        <v>0</v>
      </c>
      <c r="D171" s="42">
        <f t="shared" si="56"/>
        <v>52900</v>
      </c>
      <c r="E171" s="42">
        <f t="shared" si="56"/>
        <v>52900</v>
      </c>
      <c r="F171" s="42"/>
      <c r="G171" s="42">
        <f t="shared" si="56"/>
        <v>0</v>
      </c>
      <c r="H171" s="42">
        <f t="shared" si="56"/>
        <v>0</v>
      </c>
      <c r="I171" s="42">
        <f t="shared" si="56"/>
        <v>0</v>
      </c>
      <c r="J171" s="42">
        <f t="shared" si="56"/>
        <v>0</v>
      </c>
      <c r="K171" s="42">
        <f t="shared" si="56"/>
        <v>0</v>
      </c>
      <c r="L171" s="42">
        <f t="shared" si="56"/>
        <v>0</v>
      </c>
      <c r="N171" s="45">
        <f>IF(EXACT(A171,LCI!A28),LCI!G28,-1*10^6)</f>
        <v>0.04</v>
      </c>
      <c r="O171" s="47">
        <f t="shared" si="21"/>
        <v>0</v>
      </c>
      <c r="P171" s="47">
        <f t="shared" si="22"/>
        <v>0</v>
      </c>
      <c r="Q171" s="47">
        <f t="shared" si="23"/>
        <v>2116</v>
      </c>
      <c r="R171" s="47">
        <f t="shared" si="24"/>
        <v>2116</v>
      </c>
      <c r="S171" s="47">
        <f t="shared" si="25"/>
        <v>0</v>
      </c>
      <c r="T171" s="47">
        <f t="shared" si="26"/>
        <v>0</v>
      </c>
      <c r="U171" s="47">
        <f t="shared" si="27"/>
        <v>0</v>
      </c>
      <c r="V171" s="47">
        <f t="shared" si="28"/>
        <v>0</v>
      </c>
      <c r="W171" s="47">
        <f t="shared" si="29"/>
        <v>0</v>
      </c>
      <c r="X171" s="47">
        <f t="shared" si="30"/>
        <v>0</v>
      </c>
      <c r="Z171" s="41">
        <f>IF(EXACT(A171,LCI!A28),LCI!H28,-1*10^6)</f>
        <v>41.75</v>
      </c>
      <c r="AA171" s="71">
        <f t="shared" si="10"/>
        <v>0</v>
      </c>
      <c r="AB171" s="71">
        <f t="shared" si="43"/>
        <v>0</v>
      </c>
      <c r="AC171" s="71">
        <f t="shared" si="44"/>
        <v>2208575</v>
      </c>
      <c r="AD171" s="71">
        <f t="shared" si="45"/>
        <v>2208575</v>
      </c>
      <c r="AE171" s="71">
        <f t="shared" si="46"/>
        <v>0</v>
      </c>
      <c r="AF171" s="71">
        <f t="shared" si="47"/>
        <v>0</v>
      </c>
      <c r="AG171" s="71" t="e">
        <f>#REF!*$Z171</f>
        <v>#REF!</v>
      </c>
      <c r="AH171" s="71">
        <f t="shared" si="48"/>
        <v>0</v>
      </c>
      <c r="AI171" s="71">
        <f t="shared" si="49"/>
        <v>0</v>
      </c>
      <c r="AJ171" s="71">
        <f t="shared" si="50"/>
        <v>0</v>
      </c>
    </row>
    <row r="172" spans="1:36" x14ac:dyDescent="0.25">
      <c r="A172" s="14" t="str">
        <f>LCI!A29</f>
        <v>Lime, Hydrated (kg/yr)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N172" s="45">
        <f>IF(EXACT(A172,LCI!A29),LCI!G29,-1*10^6)</f>
        <v>0</v>
      </c>
      <c r="O172" s="47">
        <f t="shared" si="21"/>
        <v>0</v>
      </c>
      <c r="P172" s="47">
        <f t="shared" si="22"/>
        <v>0</v>
      </c>
      <c r="Q172" s="47">
        <f t="shared" si="23"/>
        <v>0</v>
      </c>
      <c r="R172" s="47">
        <f t="shared" si="24"/>
        <v>0</v>
      </c>
      <c r="S172" s="47">
        <f t="shared" si="25"/>
        <v>0</v>
      </c>
      <c r="T172" s="47">
        <f t="shared" si="26"/>
        <v>0</v>
      </c>
      <c r="U172" s="47">
        <f t="shared" si="27"/>
        <v>0</v>
      </c>
      <c r="V172" s="47">
        <f t="shared" si="28"/>
        <v>0</v>
      </c>
      <c r="W172" s="47">
        <f t="shared" si="29"/>
        <v>0</v>
      </c>
      <c r="X172" s="47">
        <f t="shared" si="30"/>
        <v>0</v>
      </c>
      <c r="Z172" s="41">
        <f>IF(EXACT(A172,LCI!A29),LCI!H29,-1*10^6)</f>
        <v>906.23</v>
      </c>
      <c r="AA172" s="71">
        <f t="shared" si="10"/>
        <v>0</v>
      </c>
      <c r="AB172" s="71">
        <f t="shared" si="43"/>
        <v>0</v>
      </c>
      <c r="AC172" s="71">
        <f t="shared" si="44"/>
        <v>0</v>
      </c>
      <c r="AD172" s="71">
        <f t="shared" si="45"/>
        <v>0</v>
      </c>
      <c r="AE172" s="71">
        <f t="shared" si="46"/>
        <v>0</v>
      </c>
      <c r="AF172" s="71">
        <f t="shared" si="47"/>
        <v>0</v>
      </c>
      <c r="AG172" s="71" t="e">
        <f>#REF!*$Z172</f>
        <v>#REF!</v>
      </c>
      <c r="AH172" s="71">
        <f t="shared" si="48"/>
        <v>0</v>
      </c>
      <c r="AI172" s="71">
        <f t="shared" si="49"/>
        <v>0</v>
      </c>
      <c r="AJ172" s="71">
        <f t="shared" si="50"/>
        <v>0</v>
      </c>
    </row>
    <row r="173" spans="1:36" x14ac:dyDescent="0.25">
      <c r="A173" s="14" t="str">
        <f>LCI!A30</f>
        <v>Methanol (kg/yr)</v>
      </c>
      <c r="B173" s="42">
        <f>B72</f>
        <v>6600.8378349680961</v>
      </c>
      <c r="C173" s="42">
        <f t="shared" ref="C173:L173" si="57">C72</f>
        <v>0</v>
      </c>
      <c r="D173" s="42">
        <f t="shared" si="57"/>
        <v>0</v>
      </c>
      <c r="E173" s="42">
        <f t="shared" si="57"/>
        <v>0</v>
      </c>
      <c r="F173" s="42">
        <f t="shared" si="57"/>
        <v>0</v>
      </c>
      <c r="G173" s="42">
        <f t="shared" si="57"/>
        <v>0</v>
      </c>
      <c r="H173" s="42">
        <f t="shared" si="57"/>
        <v>0</v>
      </c>
      <c r="I173" s="42">
        <f t="shared" si="57"/>
        <v>0</v>
      </c>
      <c r="J173" s="42">
        <f t="shared" si="57"/>
        <v>0</v>
      </c>
      <c r="K173" s="42">
        <f t="shared" si="57"/>
        <v>0</v>
      </c>
      <c r="L173" s="42">
        <f t="shared" si="57"/>
        <v>0</v>
      </c>
      <c r="N173" s="45">
        <f>IF(EXACT(A173,LCI!A30),LCI!G30,-1*10^6)</f>
        <v>0.34</v>
      </c>
      <c r="O173" s="47">
        <f t="shared" si="21"/>
        <v>2244.2848638891528</v>
      </c>
      <c r="P173" s="47">
        <f t="shared" si="22"/>
        <v>0</v>
      </c>
      <c r="Q173" s="47">
        <f t="shared" si="23"/>
        <v>0</v>
      </c>
      <c r="R173" s="47">
        <f t="shared" si="24"/>
        <v>0</v>
      </c>
      <c r="S173" s="47">
        <f t="shared" si="25"/>
        <v>0</v>
      </c>
      <c r="T173" s="47">
        <f t="shared" si="26"/>
        <v>0</v>
      </c>
      <c r="U173" s="47">
        <f t="shared" si="27"/>
        <v>0</v>
      </c>
      <c r="V173" s="47">
        <f t="shared" si="28"/>
        <v>0</v>
      </c>
      <c r="W173" s="47">
        <f t="shared" si="29"/>
        <v>0</v>
      </c>
      <c r="X173" s="47">
        <f t="shared" si="30"/>
        <v>0</v>
      </c>
      <c r="Z173" s="41">
        <f>IF(EXACT(A173,LCI!A30),LCI!H30,-1*10^6)</f>
        <v>11.4276</v>
      </c>
      <c r="AA173" s="71">
        <f t="shared" si="10"/>
        <v>0</v>
      </c>
      <c r="AB173" s="71">
        <f t="shared" si="43"/>
        <v>0</v>
      </c>
      <c r="AC173" s="71">
        <f t="shared" si="44"/>
        <v>0</v>
      </c>
      <c r="AD173" s="71">
        <f t="shared" si="45"/>
        <v>0</v>
      </c>
      <c r="AE173" s="71">
        <f t="shared" si="46"/>
        <v>0</v>
      </c>
      <c r="AF173" s="71">
        <f t="shared" si="47"/>
        <v>0</v>
      </c>
      <c r="AG173" s="71" t="e">
        <f>#REF!*$Z173</f>
        <v>#REF!</v>
      </c>
      <c r="AH173" s="71">
        <f t="shared" si="48"/>
        <v>0</v>
      </c>
      <c r="AI173" s="71">
        <f t="shared" si="49"/>
        <v>0</v>
      </c>
      <c r="AJ173" s="71">
        <f t="shared" si="50"/>
        <v>0</v>
      </c>
    </row>
    <row r="174" spans="1:36" x14ac:dyDescent="0.25">
      <c r="A174" s="14" t="str">
        <f>LCI!A31</f>
        <v>MSW (kg/yr)</v>
      </c>
      <c r="B174" s="42">
        <f>B22</f>
        <v>0</v>
      </c>
      <c r="C174" s="42">
        <f t="shared" ref="C174:L174" si="58">C22</f>
        <v>0</v>
      </c>
      <c r="D174" s="42">
        <f t="shared" si="58"/>
        <v>0</v>
      </c>
      <c r="E174" s="42">
        <f t="shared" si="58"/>
        <v>0</v>
      </c>
      <c r="F174" s="42"/>
      <c r="G174" s="42">
        <f t="shared" si="58"/>
        <v>0</v>
      </c>
      <c r="H174" s="42">
        <f t="shared" si="58"/>
        <v>0</v>
      </c>
      <c r="I174" s="42">
        <f t="shared" si="58"/>
        <v>0</v>
      </c>
      <c r="J174" s="42">
        <f t="shared" si="58"/>
        <v>0</v>
      </c>
      <c r="K174" s="42">
        <f t="shared" si="58"/>
        <v>0</v>
      </c>
      <c r="L174" s="42">
        <f t="shared" si="58"/>
        <v>0</v>
      </c>
      <c r="N174" s="45">
        <f>IF(EXACT(A174,LCI!A31),LCI!G31,-1*10^6)</f>
        <v>0</v>
      </c>
      <c r="O174" s="47">
        <f t="shared" si="21"/>
        <v>0</v>
      </c>
      <c r="P174" s="47">
        <f t="shared" si="22"/>
        <v>0</v>
      </c>
      <c r="Q174" s="47">
        <f t="shared" si="23"/>
        <v>0</v>
      </c>
      <c r="R174" s="47">
        <f t="shared" si="24"/>
        <v>0</v>
      </c>
      <c r="S174" s="47">
        <f t="shared" si="25"/>
        <v>0</v>
      </c>
      <c r="T174" s="47">
        <f t="shared" si="26"/>
        <v>0</v>
      </c>
      <c r="U174" s="47">
        <f t="shared" si="27"/>
        <v>0</v>
      </c>
      <c r="V174" s="47">
        <f t="shared" si="28"/>
        <v>0</v>
      </c>
      <c r="W174" s="47">
        <f t="shared" si="29"/>
        <v>0</v>
      </c>
      <c r="X174" s="47">
        <f t="shared" si="30"/>
        <v>0</v>
      </c>
      <c r="Z174" s="41">
        <f>IF(EXACT(A174,LCI!A31),LCI!H31,-1*10^6)</f>
        <v>0</v>
      </c>
      <c r="AA174" s="71">
        <f t="shared" si="10"/>
        <v>0</v>
      </c>
      <c r="AB174" s="71">
        <f t="shared" si="43"/>
        <v>0</v>
      </c>
      <c r="AC174" s="71">
        <f t="shared" si="44"/>
        <v>0</v>
      </c>
      <c r="AD174" s="71">
        <f t="shared" si="45"/>
        <v>0</v>
      </c>
      <c r="AE174" s="71">
        <f t="shared" si="46"/>
        <v>0</v>
      </c>
      <c r="AF174" s="71">
        <f t="shared" si="47"/>
        <v>0</v>
      </c>
      <c r="AG174" s="71" t="e">
        <f>#REF!*$Z174</f>
        <v>#REF!</v>
      </c>
      <c r="AH174" s="71">
        <f t="shared" si="48"/>
        <v>0</v>
      </c>
      <c r="AI174" s="71">
        <f t="shared" si="49"/>
        <v>0</v>
      </c>
      <c r="AJ174" s="71">
        <f t="shared" si="50"/>
        <v>0</v>
      </c>
    </row>
    <row r="175" spans="1:36" x14ac:dyDescent="0.25">
      <c r="A175" s="14" t="str">
        <f>LCI!A32</f>
        <v>Nitrogen in Fertilizer (kg/yr)</v>
      </c>
      <c r="B175" s="42">
        <f>B23</f>
        <v>603.4265920800002</v>
      </c>
      <c r="C175" s="42">
        <f t="shared" ref="C175:L175" si="59">C23</f>
        <v>603.4265920800002</v>
      </c>
      <c r="D175" s="42">
        <f t="shared" si="59"/>
        <v>18460</v>
      </c>
      <c r="E175" s="42">
        <f t="shared" si="59"/>
        <v>18460</v>
      </c>
      <c r="F175" s="42"/>
      <c r="G175" s="42">
        <f t="shared" si="59"/>
        <v>0</v>
      </c>
      <c r="H175" s="42">
        <f t="shared" si="59"/>
        <v>0</v>
      </c>
      <c r="I175" s="42">
        <f t="shared" si="59"/>
        <v>293554.17</v>
      </c>
      <c r="J175" s="42">
        <f t="shared" si="59"/>
        <v>0</v>
      </c>
      <c r="K175" s="42">
        <f t="shared" si="59"/>
        <v>0</v>
      </c>
      <c r="L175" s="42">
        <f t="shared" si="59"/>
        <v>0</v>
      </c>
      <c r="N175" s="45">
        <f>IF(EXACT(A175,LCI!A32),LCI!G32,-1*10^6)</f>
        <v>0.56759999999999999</v>
      </c>
      <c r="O175" s="47">
        <f t="shared" si="21"/>
        <v>342.50493366460813</v>
      </c>
      <c r="P175" s="47">
        <f t="shared" si="22"/>
        <v>342.50493366460813</v>
      </c>
      <c r="Q175" s="47">
        <f t="shared" si="23"/>
        <v>10477.896000000001</v>
      </c>
      <c r="R175" s="47">
        <f t="shared" si="24"/>
        <v>10477.896000000001</v>
      </c>
      <c r="S175" s="47">
        <f t="shared" si="25"/>
        <v>0</v>
      </c>
      <c r="T175" s="47">
        <f t="shared" si="26"/>
        <v>0</v>
      </c>
      <c r="U175" s="47">
        <f t="shared" si="27"/>
        <v>166621.346892</v>
      </c>
      <c r="V175" s="47">
        <f t="shared" si="28"/>
        <v>0</v>
      </c>
      <c r="W175" s="47">
        <f t="shared" si="29"/>
        <v>0</v>
      </c>
      <c r="X175" s="47">
        <f t="shared" si="30"/>
        <v>0</v>
      </c>
      <c r="Z175" s="41">
        <f>IF(EXACT(A175,LCI!A32),LCI!H32,-1*10^6)</f>
        <v>3344.62</v>
      </c>
      <c r="AA175" s="71">
        <f t="shared" si="10"/>
        <v>981827148.06539989</v>
      </c>
      <c r="AB175" s="71">
        <f t="shared" si="43"/>
        <v>2018232.6484026103</v>
      </c>
      <c r="AC175" s="71">
        <f t="shared" si="44"/>
        <v>61741685.199999996</v>
      </c>
      <c r="AD175" s="71">
        <f t="shared" si="45"/>
        <v>61741685.199999996</v>
      </c>
      <c r="AE175" s="71">
        <f t="shared" si="46"/>
        <v>0</v>
      </c>
      <c r="AF175" s="71">
        <f t="shared" si="47"/>
        <v>0</v>
      </c>
      <c r="AG175" s="71" t="e">
        <f>#REF!*$Z175</f>
        <v>#REF!</v>
      </c>
      <c r="AH175" s="71">
        <f t="shared" si="48"/>
        <v>0</v>
      </c>
      <c r="AI175" s="71">
        <f t="shared" si="49"/>
        <v>0</v>
      </c>
      <c r="AJ175" s="71">
        <f t="shared" si="50"/>
        <v>0</v>
      </c>
    </row>
    <row r="176" spans="1:36" x14ac:dyDescent="0.25">
      <c r="A176" s="14" t="str">
        <f>LCI!A33</f>
        <v>Phosphoric Acid (kg/yr)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N176" s="45">
        <f>IF(EXACT(A176,LCI!A33),LCI!G33,-1*10^6)</f>
        <v>0</v>
      </c>
      <c r="O176" s="47">
        <f t="shared" si="21"/>
        <v>0</v>
      </c>
      <c r="P176" s="47">
        <f t="shared" si="22"/>
        <v>0</v>
      </c>
      <c r="Q176" s="47">
        <f t="shared" si="23"/>
        <v>0</v>
      </c>
      <c r="R176" s="47">
        <f t="shared" si="24"/>
        <v>0</v>
      </c>
      <c r="S176" s="47">
        <f t="shared" si="25"/>
        <v>0</v>
      </c>
      <c r="T176" s="47">
        <f t="shared" si="26"/>
        <v>0</v>
      </c>
      <c r="U176" s="47">
        <f t="shared" si="27"/>
        <v>0</v>
      </c>
      <c r="V176" s="47">
        <f t="shared" si="28"/>
        <v>0</v>
      </c>
      <c r="W176" s="47">
        <f t="shared" si="29"/>
        <v>0</v>
      </c>
      <c r="X176" s="47">
        <f t="shared" si="30"/>
        <v>0</v>
      </c>
      <c r="Z176" s="41">
        <f>IF(EXACT(A176,LCI!A33),LCI!H33,-1*10^6)</f>
        <v>2811.39</v>
      </c>
      <c r="AA176" s="71">
        <f t="shared" si="10"/>
        <v>0</v>
      </c>
      <c r="AB176" s="71">
        <f t="shared" si="43"/>
        <v>0</v>
      </c>
      <c r="AC176" s="71">
        <f t="shared" si="44"/>
        <v>0</v>
      </c>
      <c r="AD176" s="71">
        <f t="shared" si="45"/>
        <v>0</v>
      </c>
      <c r="AE176" s="71">
        <f t="shared" si="46"/>
        <v>0</v>
      </c>
      <c r="AF176" s="71">
        <f t="shared" si="47"/>
        <v>0</v>
      </c>
      <c r="AG176" s="71" t="e">
        <f>#REF!*$Z176</f>
        <v>#REF!</v>
      </c>
      <c r="AH176" s="71">
        <f t="shared" si="48"/>
        <v>0</v>
      </c>
      <c r="AI176" s="71">
        <f t="shared" si="49"/>
        <v>0</v>
      </c>
      <c r="AJ176" s="71">
        <f t="shared" si="50"/>
        <v>0</v>
      </c>
    </row>
    <row r="177" spans="1:36" x14ac:dyDescent="0.25">
      <c r="A177" s="14" t="str">
        <f>LCI!A34</f>
        <v>Phosphorus in Fertilizer (kg/yr)</v>
      </c>
      <c r="B177" s="42">
        <f>B24</f>
        <v>1074.2693132241131</v>
      </c>
      <c r="C177" s="42">
        <f t="shared" ref="C177:L177" si="60">C24</f>
        <v>1074.2693132241131</v>
      </c>
      <c r="D177" s="42">
        <f t="shared" si="60"/>
        <v>6300</v>
      </c>
      <c r="E177" s="42">
        <f t="shared" si="60"/>
        <v>6300</v>
      </c>
      <c r="F177" s="42"/>
      <c r="G177" s="42">
        <f t="shared" si="60"/>
        <v>0</v>
      </c>
      <c r="H177" s="42">
        <f t="shared" si="60"/>
        <v>0</v>
      </c>
      <c r="I177" s="42">
        <f t="shared" si="60"/>
        <v>27288.494999999999</v>
      </c>
      <c r="J177" s="42">
        <f t="shared" si="60"/>
        <v>0</v>
      </c>
      <c r="K177" s="42">
        <f t="shared" si="60"/>
        <v>0</v>
      </c>
      <c r="L177" s="42">
        <f t="shared" si="60"/>
        <v>0</v>
      </c>
      <c r="N177" s="45">
        <f>IF(EXACT(A177,LCI!A34),LCI!G34,-1*10^6)</f>
        <v>0.66236128999999999</v>
      </c>
      <c r="O177" s="47">
        <f t="shared" si="21"/>
        <v>711.55440811453764</v>
      </c>
      <c r="P177" s="47">
        <f t="shared" si="22"/>
        <v>711.55440811453764</v>
      </c>
      <c r="Q177" s="47">
        <f t="shared" si="23"/>
        <v>4172.8761269999995</v>
      </c>
      <c r="R177" s="47">
        <f t="shared" si="24"/>
        <v>4172.8761269999995</v>
      </c>
      <c r="S177" s="47">
        <f t="shared" si="25"/>
        <v>0</v>
      </c>
      <c r="T177" s="47">
        <f t="shared" si="26"/>
        <v>0</v>
      </c>
      <c r="U177" s="47">
        <f t="shared" si="27"/>
        <v>18074.842750358548</v>
      </c>
      <c r="V177" s="47">
        <f t="shared" si="28"/>
        <v>0</v>
      </c>
      <c r="W177" s="47">
        <f t="shared" si="29"/>
        <v>0</v>
      </c>
      <c r="X177" s="47">
        <f t="shared" si="30"/>
        <v>0</v>
      </c>
      <c r="Z177" s="41">
        <f>IF(EXACT(A177,LCI!A34),LCI!H34,-1*10^6)</f>
        <v>1935.61</v>
      </c>
      <c r="AA177" s="71">
        <f t="shared" si="10"/>
        <v>52819883.806949995</v>
      </c>
      <c r="AB177" s="71">
        <f t="shared" si="43"/>
        <v>2079366.4253697256</v>
      </c>
      <c r="AC177" s="71">
        <f t="shared" si="44"/>
        <v>12194343</v>
      </c>
      <c r="AD177" s="71">
        <f t="shared" si="45"/>
        <v>12194343</v>
      </c>
      <c r="AE177" s="71">
        <f t="shared" si="46"/>
        <v>0</v>
      </c>
      <c r="AF177" s="71">
        <f t="shared" si="47"/>
        <v>0</v>
      </c>
      <c r="AG177" s="71" t="e">
        <f>#REF!*$Z177</f>
        <v>#REF!</v>
      </c>
      <c r="AH177" s="71">
        <f t="shared" si="48"/>
        <v>0</v>
      </c>
      <c r="AI177" s="71">
        <f t="shared" si="49"/>
        <v>0</v>
      </c>
      <c r="AJ177" s="71">
        <f t="shared" si="50"/>
        <v>0</v>
      </c>
    </row>
    <row r="178" spans="1:36" x14ac:dyDescent="0.25">
      <c r="A178" s="14" t="str">
        <f>LCI!A35</f>
        <v>Plastic (kg/yr)</v>
      </c>
      <c r="B178" s="42">
        <f>B25</f>
        <v>0</v>
      </c>
      <c r="C178" s="42">
        <f t="shared" ref="C178:L178" si="61">C25</f>
        <v>0</v>
      </c>
      <c r="D178" s="42">
        <f t="shared" si="61"/>
        <v>0</v>
      </c>
      <c r="E178" s="42">
        <f t="shared" si="61"/>
        <v>0</v>
      </c>
      <c r="F178" s="42"/>
      <c r="G178" s="42">
        <f t="shared" si="61"/>
        <v>0</v>
      </c>
      <c r="H178" s="42">
        <f t="shared" si="61"/>
        <v>0</v>
      </c>
      <c r="I178" s="42">
        <f t="shared" si="61"/>
        <v>139543.21672200001</v>
      </c>
      <c r="J178" s="42">
        <f t="shared" si="61"/>
        <v>0</v>
      </c>
      <c r="K178" s="42">
        <f t="shared" si="61"/>
        <v>0</v>
      </c>
      <c r="L178" s="42">
        <f t="shared" si="61"/>
        <v>0</v>
      </c>
      <c r="N178" s="45">
        <f>IF(EXACT(A178,LCI!A35),LCI!G35,-1*10^6)</f>
        <v>8.6761290320000004</v>
      </c>
      <c r="O178" s="47">
        <f t="shared" si="21"/>
        <v>0</v>
      </c>
      <c r="P178" s="47">
        <f t="shared" si="22"/>
        <v>0</v>
      </c>
      <c r="Q178" s="47">
        <f t="shared" si="23"/>
        <v>0</v>
      </c>
      <c r="R178" s="47">
        <f t="shared" si="24"/>
        <v>0</v>
      </c>
      <c r="S178" s="47">
        <f t="shared" si="25"/>
        <v>0</v>
      </c>
      <c r="T178" s="47">
        <f t="shared" si="26"/>
        <v>0</v>
      </c>
      <c r="U178" s="47">
        <f t="shared" si="27"/>
        <v>1210694.9538204123</v>
      </c>
      <c r="V178" s="47">
        <f t="shared" si="28"/>
        <v>0</v>
      </c>
      <c r="W178" s="47">
        <f t="shared" si="29"/>
        <v>0</v>
      </c>
      <c r="X178" s="47">
        <f t="shared" si="30"/>
        <v>0</v>
      </c>
      <c r="Z178" s="41">
        <f>IF(EXACT(A178,LCI!A35),LCI!H35,-1*10^6)</f>
        <v>703.58</v>
      </c>
      <c r="AA178" s="71">
        <f t="shared" si="10"/>
        <v>98179816.421264768</v>
      </c>
      <c r="AB178" s="71">
        <f t="shared" si="43"/>
        <v>0</v>
      </c>
      <c r="AC178" s="71">
        <f t="shared" si="44"/>
        <v>0</v>
      </c>
      <c r="AD178" s="71">
        <f t="shared" si="45"/>
        <v>0</v>
      </c>
      <c r="AE178" s="71">
        <f t="shared" si="46"/>
        <v>0</v>
      </c>
      <c r="AF178" s="71">
        <f t="shared" si="47"/>
        <v>0</v>
      </c>
      <c r="AG178" s="71" t="e">
        <f>#REF!*$Z178</f>
        <v>#REF!</v>
      </c>
      <c r="AH178" s="71">
        <f t="shared" si="48"/>
        <v>0</v>
      </c>
      <c r="AI178" s="71">
        <f t="shared" si="49"/>
        <v>0</v>
      </c>
      <c r="AJ178" s="71">
        <f t="shared" si="50"/>
        <v>0</v>
      </c>
    </row>
    <row r="179" spans="1:36" x14ac:dyDescent="0.25">
      <c r="A179" s="14" t="str">
        <f>LCI!A36</f>
        <v>Potassium in Fertilizer (kg/yr)</v>
      </c>
      <c r="B179" s="42">
        <f>B26</f>
        <v>3379.8308588310647</v>
      </c>
      <c r="C179" s="42">
        <f t="shared" ref="C179:L179" si="62">C26</f>
        <v>3379.8308588310647</v>
      </c>
      <c r="D179" s="42">
        <f t="shared" si="62"/>
        <v>9550</v>
      </c>
      <c r="E179" s="42">
        <f t="shared" si="62"/>
        <v>9550</v>
      </c>
      <c r="F179" s="42"/>
      <c r="G179" s="42">
        <f t="shared" si="62"/>
        <v>0</v>
      </c>
      <c r="H179" s="42">
        <f t="shared" si="62"/>
        <v>0</v>
      </c>
      <c r="I179" s="42">
        <f t="shared" si="62"/>
        <v>0</v>
      </c>
      <c r="J179" s="42">
        <f t="shared" si="62"/>
        <v>0</v>
      </c>
      <c r="K179" s="42">
        <f t="shared" si="62"/>
        <v>0</v>
      </c>
      <c r="L179" s="42">
        <f t="shared" si="62"/>
        <v>0</v>
      </c>
      <c r="N179" s="45">
        <f>IF(EXACT(A179,LCI!A36),LCI!G36,-1*10^6)</f>
        <v>0.27187692299999999</v>
      </c>
      <c r="O179" s="47">
        <f t="shared" si="21"/>
        <v>918.89801415943725</v>
      </c>
      <c r="P179" s="47">
        <f t="shared" si="22"/>
        <v>918.89801415943725</v>
      </c>
      <c r="Q179" s="47">
        <f t="shared" si="23"/>
        <v>2596.42461465</v>
      </c>
      <c r="R179" s="47">
        <f t="shared" si="24"/>
        <v>2596.42461465</v>
      </c>
      <c r="S179" s="47">
        <f t="shared" si="25"/>
        <v>0</v>
      </c>
      <c r="T179" s="47">
        <f t="shared" si="26"/>
        <v>0</v>
      </c>
      <c r="U179" s="47">
        <f t="shared" si="27"/>
        <v>0</v>
      </c>
      <c r="V179" s="47">
        <f t="shared" si="28"/>
        <v>0</v>
      </c>
      <c r="W179" s="47">
        <f t="shared" si="29"/>
        <v>0</v>
      </c>
      <c r="X179" s="47">
        <f t="shared" si="30"/>
        <v>0</v>
      </c>
      <c r="Z179" s="41">
        <f>IF(EXACT(A179,LCI!A36),LCI!H36,-1*10^6)</f>
        <v>3237.99</v>
      </c>
      <c r="AA179" s="71">
        <f t="shared" si="10"/>
        <v>0</v>
      </c>
      <c r="AB179" s="71">
        <f t="shared" si="43"/>
        <v>10943858.522586398</v>
      </c>
      <c r="AC179" s="71">
        <f t="shared" si="44"/>
        <v>30922804.499999996</v>
      </c>
      <c r="AD179" s="71">
        <f t="shared" si="45"/>
        <v>30922804.499999996</v>
      </c>
      <c r="AE179" s="71">
        <f t="shared" si="46"/>
        <v>0</v>
      </c>
      <c r="AF179" s="71">
        <f t="shared" si="47"/>
        <v>0</v>
      </c>
      <c r="AG179" s="71" t="e">
        <f>#REF!*$Z179</f>
        <v>#REF!</v>
      </c>
      <c r="AH179" s="71">
        <f t="shared" si="48"/>
        <v>0</v>
      </c>
      <c r="AI179" s="71">
        <f t="shared" si="49"/>
        <v>0</v>
      </c>
      <c r="AJ179" s="71">
        <f t="shared" si="50"/>
        <v>0</v>
      </c>
    </row>
    <row r="180" spans="1:36" x14ac:dyDescent="0.25">
      <c r="A180" s="14" t="str">
        <f>LCI!A37</f>
        <v>Sodium Hydroxide (kg/yr)</v>
      </c>
      <c r="B180" s="42">
        <f>B54</f>
        <v>0</v>
      </c>
      <c r="C180" s="42">
        <f t="shared" ref="C180:L180" si="63">C54</f>
        <v>0</v>
      </c>
      <c r="D180" s="42">
        <f t="shared" si="63"/>
        <v>5472.0314639999997</v>
      </c>
      <c r="E180" s="42">
        <f t="shared" si="63"/>
        <v>0</v>
      </c>
      <c r="F180" s="42"/>
      <c r="G180" s="42">
        <f t="shared" si="63"/>
        <v>0</v>
      </c>
      <c r="H180" s="42">
        <f t="shared" si="63"/>
        <v>0</v>
      </c>
      <c r="I180" s="42">
        <f t="shared" si="63"/>
        <v>0</v>
      </c>
      <c r="J180" s="42">
        <f t="shared" si="63"/>
        <v>0</v>
      </c>
      <c r="K180" s="42">
        <f t="shared" si="63"/>
        <v>0</v>
      </c>
      <c r="L180" s="42">
        <f t="shared" si="63"/>
        <v>0</v>
      </c>
      <c r="N180" s="45">
        <f>IF(EXACT(A180,LCI!A37),LCI!G37,-1*10^6)</f>
        <v>0.45119999999999999</v>
      </c>
      <c r="O180" s="47">
        <f t="shared" si="21"/>
        <v>0</v>
      </c>
      <c r="P180" s="47">
        <f t="shared" si="22"/>
        <v>0</v>
      </c>
      <c r="Q180" s="47">
        <f t="shared" si="23"/>
        <v>2468.9805965567998</v>
      </c>
      <c r="R180" s="47">
        <f t="shared" si="24"/>
        <v>0</v>
      </c>
      <c r="S180" s="47">
        <f t="shared" si="25"/>
        <v>0</v>
      </c>
      <c r="T180" s="47">
        <f t="shared" si="26"/>
        <v>0</v>
      </c>
      <c r="U180" s="47">
        <f t="shared" si="27"/>
        <v>0</v>
      </c>
      <c r="V180" s="47">
        <f t="shared" si="28"/>
        <v>0</v>
      </c>
      <c r="W180" s="47">
        <f t="shared" si="29"/>
        <v>0</v>
      </c>
      <c r="X180" s="47">
        <f t="shared" si="30"/>
        <v>0</v>
      </c>
      <c r="Z180" s="41">
        <f>IF(EXACT(A180,LCI!A37),LCI!H37,-1*10^6)</f>
        <v>1275</v>
      </c>
      <c r="AA180" s="71">
        <f t="shared" si="10"/>
        <v>0</v>
      </c>
      <c r="AB180" s="71">
        <f t="shared" si="43"/>
        <v>0</v>
      </c>
      <c r="AC180" s="71">
        <f t="shared" si="44"/>
        <v>6976840.1165999994</v>
      </c>
      <c r="AD180" s="71">
        <f t="shared" si="45"/>
        <v>0</v>
      </c>
      <c r="AE180" s="71">
        <f t="shared" si="46"/>
        <v>0</v>
      </c>
      <c r="AF180" s="71">
        <f t="shared" si="47"/>
        <v>0</v>
      </c>
      <c r="AG180" s="71" t="e">
        <f>#REF!*$Z180</f>
        <v>#REF!</v>
      </c>
      <c r="AH180" s="71">
        <f t="shared" si="48"/>
        <v>0</v>
      </c>
      <c r="AI180" s="71">
        <f t="shared" si="49"/>
        <v>0</v>
      </c>
      <c r="AJ180" s="71">
        <f t="shared" si="50"/>
        <v>0</v>
      </c>
    </row>
    <row r="181" spans="1:36" x14ac:dyDescent="0.25">
      <c r="A181" s="14" t="str">
        <f>LCI!A38</f>
        <v>Soybean Seed (kg/yr)</v>
      </c>
      <c r="B181" s="42">
        <f>B27</f>
        <v>23351.399999999998</v>
      </c>
      <c r="C181" s="42">
        <f t="shared" ref="C181:L181" si="64">C27</f>
        <v>23351.399999999998</v>
      </c>
      <c r="D181" s="42">
        <f t="shared" si="64"/>
        <v>0</v>
      </c>
      <c r="E181" s="42">
        <f t="shared" si="64"/>
        <v>0</v>
      </c>
      <c r="F181" s="42"/>
      <c r="G181" s="42">
        <f t="shared" si="64"/>
        <v>0</v>
      </c>
      <c r="H181" s="42">
        <f t="shared" si="64"/>
        <v>0</v>
      </c>
      <c r="I181" s="42">
        <f t="shared" si="64"/>
        <v>0</v>
      </c>
      <c r="J181" s="42">
        <f t="shared" si="64"/>
        <v>0</v>
      </c>
      <c r="K181" s="42">
        <f t="shared" si="64"/>
        <v>0</v>
      </c>
      <c r="L181" s="42">
        <f t="shared" si="64"/>
        <v>0</v>
      </c>
      <c r="N181" s="45">
        <f>IF(EXACT(A181,LCI!A38),LCI!G38,-1*10^6)</f>
        <v>0.31559999999999999</v>
      </c>
      <c r="O181" s="47">
        <f t="shared" si="21"/>
        <v>7369.7018399999988</v>
      </c>
      <c r="P181" s="47">
        <f t="shared" si="22"/>
        <v>7369.7018399999988</v>
      </c>
      <c r="Q181" s="47">
        <f t="shared" si="23"/>
        <v>0</v>
      </c>
      <c r="R181" s="47">
        <f t="shared" si="24"/>
        <v>0</v>
      </c>
      <c r="S181" s="47">
        <f t="shared" si="25"/>
        <v>0</v>
      </c>
      <c r="T181" s="47">
        <f t="shared" si="26"/>
        <v>0</v>
      </c>
      <c r="U181" s="47">
        <f t="shared" si="27"/>
        <v>0</v>
      </c>
      <c r="V181" s="47">
        <f t="shared" si="28"/>
        <v>0</v>
      </c>
      <c r="W181" s="47">
        <f t="shared" si="29"/>
        <v>0</v>
      </c>
      <c r="X181" s="47">
        <f t="shared" si="30"/>
        <v>0</v>
      </c>
      <c r="Z181" s="41">
        <f>IF(EXACT(A181,LCI!A38),LCI!H38,-1*10^6)</f>
        <v>3810.6</v>
      </c>
      <c r="AA181" s="71">
        <f t="shared" si="10"/>
        <v>0</v>
      </c>
      <c r="AB181" s="71">
        <f t="shared" si="43"/>
        <v>88982844.839999989</v>
      </c>
      <c r="AC181" s="71">
        <f t="shared" si="44"/>
        <v>0</v>
      </c>
      <c r="AD181" s="71">
        <f t="shared" si="45"/>
        <v>0</v>
      </c>
      <c r="AE181" s="71">
        <f t="shared" si="46"/>
        <v>0</v>
      </c>
      <c r="AF181" s="71">
        <f t="shared" si="47"/>
        <v>0</v>
      </c>
      <c r="AG181" s="71" t="e">
        <f>#REF!*$Z181</f>
        <v>#REF!</v>
      </c>
      <c r="AH181" s="71">
        <f t="shared" si="48"/>
        <v>0</v>
      </c>
      <c r="AI181" s="71">
        <f t="shared" si="49"/>
        <v>0</v>
      </c>
      <c r="AJ181" s="71">
        <f t="shared" si="50"/>
        <v>0</v>
      </c>
    </row>
    <row r="182" spans="1:36" x14ac:dyDescent="0.25">
      <c r="A182" s="14" t="str">
        <f>LCI!A39</f>
        <v>Steam (kg/yr)</v>
      </c>
      <c r="B182" s="42">
        <f>B56</f>
        <v>0</v>
      </c>
      <c r="C182" s="42">
        <f t="shared" ref="C182:L182" si="65">C56</f>
        <v>0</v>
      </c>
      <c r="D182" s="42">
        <f t="shared" si="65"/>
        <v>1009805.532</v>
      </c>
      <c r="E182" s="42">
        <f t="shared" si="65"/>
        <v>0</v>
      </c>
      <c r="F182" s="42"/>
      <c r="G182" s="42">
        <f t="shared" si="65"/>
        <v>0</v>
      </c>
      <c r="H182" s="42">
        <f t="shared" si="65"/>
        <v>0</v>
      </c>
      <c r="I182" s="42">
        <f t="shared" si="65"/>
        <v>0</v>
      </c>
      <c r="J182" s="42">
        <f t="shared" si="65"/>
        <v>0</v>
      </c>
      <c r="K182" s="42">
        <f t="shared" si="65"/>
        <v>0</v>
      </c>
      <c r="L182" s="42">
        <f t="shared" si="65"/>
        <v>0</v>
      </c>
      <c r="N182" s="45">
        <f>IF(EXACT(A182,LCI!A39),LCI!G39,-1*10^6)</f>
        <v>1.7000000000000001E-2</v>
      </c>
      <c r="O182" s="47">
        <f t="shared" si="21"/>
        <v>0</v>
      </c>
      <c r="P182" s="47">
        <f t="shared" si="22"/>
        <v>0</v>
      </c>
      <c r="Q182" s="47">
        <f t="shared" si="23"/>
        <v>17166.694044</v>
      </c>
      <c r="R182" s="47">
        <f t="shared" si="24"/>
        <v>0</v>
      </c>
      <c r="S182" s="47">
        <f t="shared" si="25"/>
        <v>0</v>
      </c>
      <c r="T182" s="47">
        <f t="shared" si="26"/>
        <v>0</v>
      </c>
      <c r="U182" s="47">
        <f t="shared" si="27"/>
        <v>0</v>
      </c>
      <c r="V182" s="47">
        <f t="shared" si="28"/>
        <v>0</v>
      </c>
      <c r="W182" s="47">
        <f t="shared" si="29"/>
        <v>0</v>
      </c>
      <c r="X182" s="47">
        <f t="shared" si="30"/>
        <v>0</v>
      </c>
      <c r="Z182" s="41">
        <f>IF(EXACT(A182,LCI!A39),LCI!H39,-1*10^6)</f>
        <v>341.9</v>
      </c>
      <c r="AA182" s="71">
        <f t="shared" si="10"/>
        <v>0</v>
      </c>
      <c r="AB182" s="71">
        <f t="shared" si="43"/>
        <v>0</v>
      </c>
      <c r="AC182" s="71">
        <f t="shared" si="44"/>
        <v>345252511.3908</v>
      </c>
      <c r="AD182" s="71">
        <f t="shared" si="45"/>
        <v>0</v>
      </c>
      <c r="AE182" s="71">
        <f t="shared" si="46"/>
        <v>0</v>
      </c>
      <c r="AF182" s="71">
        <f t="shared" si="47"/>
        <v>0</v>
      </c>
      <c r="AG182" s="71" t="e">
        <f>#REF!*$Z182</f>
        <v>#REF!</v>
      </c>
      <c r="AH182" s="71">
        <f t="shared" si="48"/>
        <v>0</v>
      </c>
      <c r="AI182" s="71">
        <f t="shared" si="49"/>
        <v>0</v>
      </c>
      <c r="AJ182" s="71">
        <f t="shared" si="50"/>
        <v>0</v>
      </c>
    </row>
    <row r="183" spans="1:36" x14ac:dyDescent="0.25">
      <c r="A183" s="14" t="str">
        <f>LCI!A40</f>
        <v>Sulfuric Acid (kg/yr)</v>
      </c>
      <c r="B183" s="42">
        <f>B57</f>
        <v>0</v>
      </c>
      <c r="C183" s="42">
        <f t="shared" ref="C183:L183" si="66">C57</f>
        <v>0</v>
      </c>
      <c r="D183" s="42">
        <f t="shared" si="66"/>
        <v>2176.9980578516743</v>
      </c>
      <c r="E183" s="42">
        <f t="shared" si="66"/>
        <v>0</v>
      </c>
      <c r="F183" s="42"/>
      <c r="G183" s="42">
        <f t="shared" si="66"/>
        <v>0</v>
      </c>
      <c r="H183" s="42">
        <f t="shared" si="66"/>
        <v>0</v>
      </c>
      <c r="I183" s="42">
        <f t="shared" si="66"/>
        <v>0</v>
      </c>
      <c r="J183" s="42">
        <f t="shared" si="66"/>
        <v>0</v>
      </c>
      <c r="K183" s="42">
        <f t="shared" si="66"/>
        <v>0</v>
      </c>
      <c r="L183" s="42">
        <f t="shared" si="66"/>
        <v>0</v>
      </c>
      <c r="N183" s="45">
        <f>IF(EXACT(A183,LCI!A40),LCI!G40,-1*10^6)</f>
        <v>0.11</v>
      </c>
      <c r="O183" s="47">
        <f t="shared" si="21"/>
        <v>0</v>
      </c>
      <c r="P183" s="47">
        <f t="shared" si="22"/>
        <v>0</v>
      </c>
      <c r="Q183" s="47">
        <f t="shared" si="23"/>
        <v>239.46978636368416</v>
      </c>
      <c r="R183" s="47">
        <f t="shared" si="24"/>
        <v>0</v>
      </c>
      <c r="S183" s="47">
        <f t="shared" si="25"/>
        <v>0</v>
      </c>
      <c r="T183" s="47">
        <f t="shared" si="26"/>
        <v>0</v>
      </c>
      <c r="U183" s="47">
        <f t="shared" si="27"/>
        <v>0</v>
      </c>
      <c r="V183" s="47">
        <f t="shared" si="28"/>
        <v>0</v>
      </c>
      <c r="W183" s="47">
        <f t="shared" si="29"/>
        <v>0</v>
      </c>
      <c r="X183" s="47">
        <f t="shared" si="30"/>
        <v>0</v>
      </c>
      <c r="Z183" s="41">
        <f>IF(EXACT(A183,LCI!A40),LCI!H40,-1*10^6)</f>
        <v>109.71</v>
      </c>
      <c r="AA183" s="71">
        <f t="shared" si="10"/>
        <v>0</v>
      </c>
      <c r="AB183" s="71">
        <f t="shared" si="43"/>
        <v>0</v>
      </c>
      <c r="AC183" s="71">
        <f t="shared" si="44"/>
        <v>238838.45692690718</v>
      </c>
      <c r="AD183" s="71">
        <f t="shared" si="45"/>
        <v>0</v>
      </c>
      <c r="AE183" s="71">
        <f t="shared" si="46"/>
        <v>0</v>
      </c>
      <c r="AF183" s="71">
        <f t="shared" si="47"/>
        <v>0</v>
      </c>
      <c r="AG183" s="71" t="e">
        <f>#REF!*$Z183</f>
        <v>#REF!</v>
      </c>
      <c r="AH183" s="71">
        <f t="shared" si="48"/>
        <v>0</v>
      </c>
      <c r="AI183" s="71">
        <f t="shared" si="49"/>
        <v>0</v>
      </c>
      <c r="AJ183" s="71">
        <f t="shared" si="50"/>
        <v>0</v>
      </c>
    </row>
    <row r="184" spans="1:36" x14ac:dyDescent="0.25">
      <c r="A184" s="14" t="str">
        <f>LCI!A41</f>
        <v>Urea (kg/yr)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N184" s="45">
        <f>IF(EXACT(A184,LCI!A41),LCI!G41,-1*10^6)</f>
        <v>0</v>
      </c>
      <c r="O184" s="47">
        <f t="shared" si="21"/>
        <v>0</v>
      </c>
      <c r="P184" s="47">
        <f t="shared" si="22"/>
        <v>0</v>
      </c>
      <c r="Q184" s="47">
        <f t="shared" si="23"/>
        <v>0</v>
      </c>
      <c r="R184" s="47">
        <f t="shared" si="24"/>
        <v>0</v>
      </c>
      <c r="S184" s="47">
        <f t="shared" si="25"/>
        <v>0</v>
      </c>
      <c r="T184" s="47">
        <f t="shared" si="26"/>
        <v>0</v>
      </c>
      <c r="U184" s="47">
        <f t="shared" si="27"/>
        <v>0</v>
      </c>
      <c r="V184" s="47">
        <f t="shared" si="28"/>
        <v>0</v>
      </c>
      <c r="W184" s="47">
        <f t="shared" si="29"/>
        <v>0</v>
      </c>
      <c r="X184" s="47">
        <f t="shared" si="30"/>
        <v>0</v>
      </c>
      <c r="Z184" s="41">
        <f>IF(EXACT(A184,LCI!A41),LCI!H41,-1*10^6)</f>
        <v>0</v>
      </c>
      <c r="AA184" s="71">
        <f t="shared" si="10"/>
        <v>0</v>
      </c>
      <c r="AB184" s="71">
        <f t="shared" si="43"/>
        <v>0</v>
      </c>
      <c r="AC184" s="71">
        <f t="shared" si="44"/>
        <v>0</v>
      </c>
      <c r="AD184" s="71">
        <f t="shared" si="45"/>
        <v>0</v>
      </c>
      <c r="AE184" s="71">
        <f t="shared" si="46"/>
        <v>0</v>
      </c>
      <c r="AF184" s="71">
        <f t="shared" si="47"/>
        <v>0</v>
      </c>
      <c r="AG184" s="71" t="e">
        <f>#REF!*$Z184</f>
        <v>#REF!</v>
      </c>
      <c r="AH184" s="71">
        <f t="shared" si="48"/>
        <v>0</v>
      </c>
      <c r="AI184" s="71">
        <f t="shared" si="49"/>
        <v>0</v>
      </c>
      <c r="AJ184" s="71">
        <f t="shared" si="50"/>
        <v>0</v>
      </c>
    </row>
    <row r="185" spans="1:36" x14ac:dyDescent="0.25">
      <c r="A185" s="14" t="str">
        <f>LCI!A42</f>
        <v>Water, Process (kg/yr)</v>
      </c>
      <c r="B185" s="42">
        <f t="shared" ref="B185:L185" si="67">B58+B75</f>
        <v>108334.41740034861</v>
      </c>
      <c r="C185" s="42">
        <f t="shared" si="67"/>
        <v>138117.64218720005</v>
      </c>
      <c r="D185" s="42">
        <f t="shared" si="67"/>
        <v>2329483.9019999998</v>
      </c>
      <c r="E185" s="42">
        <f t="shared" si="67"/>
        <v>0</v>
      </c>
      <c r="F185" s="42"/>
      <c r="G185" s="42">
        <f t="shared" si="67"/>
        <v>0</v>
      </c>
      <c r="H185" s="42">
        <f t="shared" si="67"/>
        <v>0</v>
      </c>
      <c r="I185" s="42">
        <f t="shared" si="67"/>
        <v>895523.85</v>
      </c>
      <c r="J185" s="42">
        <f t="shared" si="67"/>
        <v>0</v>
      </c>
      <c r="K185" s="42">
        <f t="shared" si="67"/>
        <v>0</v>
      </c>
      <c r="L185" s="42">
        <f t="shared" si="67"/>
        <v>0</v>
      </c>
      <c r="N185" s="45">
        <f>IF(EXACT(A185,LCI!A42),LCI!G42,-1*10^6)</f>
        <v>5.5199999999999997E-4</v>
      </c>
      <c r="O185" s="47">
        <f t="shared" si="21"/>
        <v>59.800598404992428</v>
      </c>
      <c r="P185" s="47">
        <f t="shared" si="22"/>
        <v>76.240938487334418</v>
      </c>
      <c r="Q185" s="47">
        <f t="shared" si="23"/>
        <v>1285.8751139039998</v>
      </c>
      <c r="R185" s="47">
        <f t="shared" si="24"/>
        <v>0</v>
      </c>
      <c r="S185" s="47">
        <f t="shared" si="25"/>
        <v>0</v>
      </c>
      <c r="T185" s="47">
        <f t="shared" si="26"/>
        <v>0</v>
      </c>
      <c r="U185" s="47">
        <f t="shared" si="27"/>
        <v>494.32916519999998</v>
      </c>
      <c r="V185" s="47">
        <f t="shared" si="28"/>
        <v>0</v>
      </c>
      <c r="W185" s="47">
        <f t="shared" si="29"/>
        <v>0</v>
      </c>
      <c r="X185" s="47">
        <f t="shared" si="30"/>
        <v>0</v>
      </c>
      <c r="Z185" s="41">
        <f>IF(EXACT(A185,LCI!A42),LCI!H42,-1*10^6)</f>
        <v>7.6379000000000004E-3</v>
      </c>
      <c r="AA185" s="71">
        <f t="shared" si="10"/>
        <v>6839.9216139150003</v>
      </c>
      <c r="AB185" s="71">
        <f t="shared" si="43"/>
        <v>1054.9287392616154</v>
      </c>
      <c r="AC185" s="71">
        <f t="shared" si="44"/>
        <v>17792.365095085799</v>
      </c>
      <c r="AD185" s="71">
        <f t="shared" si="45"/>
        <v>0</v>
      </c>
      <c r="AE185" s="71">
        <f t="shared" si="46"/>
        <v>0</v>
      </c>
      <c r="AF185" s="71">
        <f t="shared" si="47"/>
        <v>0</v>
      </c>
      <c r="AG185" s="71" t="e">
        <f>#REF!*$Z185</f>
        <v>#REF!</v>
      </c>
      <c r="AH185" s="71">
        <f t="shared" si="48"/>
        <v>0</v>
      </c>
      <c r="AI185" s="71">
        <f t="shared" si="49"/>
        <v>0</v>
      </c>
      <c r="AJ185" s="71">
        <f t="shared" si="50"/>
        <v>0</v>
      </c>
    </row>
    <row r="186" spans="1:36" x14ac:dyDescent="0.25">
      <c r="A186" s="14" t="str">
        <f>LCI!A43</f>
        <v>Water, Rain, Blue (m3/yr)</v>
      </c>
      <c r="B186" s="42">
        <f>B28</f>
        <v>575000</v>
      </c>
      <c r="C186" s="42">
        <f t="shared" ref="C186:L186" si="68">C28</f>
        <v>575000</v>
      </c>
      <c r="D186" s="42">
        <f t="shared" si="68"/>
        <v>650000</v>
      </c>
      <c r="E186" s="42">
        <f t="shared" si="68"/>
        <v>650000</v>
      </c>
      <c r="F186" s="42"/>
      <c r="G186" s="42">
        <f t="shared" si="68"/>
        <v>0</v>
      </c>
      <c r="H186" s="42">
        <f t="shared" si="68"/>
        <v>0</v>
      </c>
      <c r="I186" s="42">
        <f t="shared" si="68"/>
        <v>0</v>
      </c>
      <c r="J186" s="42">
        <f t="shared" si="68"/>
        <v>0</v>
      </c>
      <c r="K186" s="42">
        <f t="shared" si="68"/>
        <v>0</v>
      </c>
      <c r="L186" s="42">
        <f t="shared" si="68"/>
        <v>0</v>
      </c>
      <c r="N186" s="45">
        <f>IF(EXACT(A186,LCI!A43),LCI!G43,-1*10^6)</f>
        <v>0</v>
      </c>
      <c r="O186" s="47">
        <f t="shared" si="21"/>
        <v>0</v>
      </c>
      <c r="P186" s="47">
        <f t="shared" si="22"/>
        <v>0</v>
      </c>
      <c r="Q186" s="47">
        <f t="shared" si="23"/>
        <v>0</v>
      </c>
      <c r="R186" s="47">
        <f t="shared" si="24"/>
        <v>0</v>
      </c>
      <c r="S186" s="47">
        <f t="shared" si="25"/>
        <v>0</v>
      </c>
      <c r="T186" s="47">
        <f t="shared" si="26"/>
        <v>0</v>
      </c>
      <c r="U186" s="47">
        <f t="shared" si="27"/>
        <v>0</v>
      </c>
      <c r="V186" s="47">
        <f t="shared" si="28"/>
        <v>0</v>
      </c>
      <c r="W186" s="47">
        <f t="shared" si="29"/>
        <v>0</v>
      </c>
      <c r="X186" s="47">
        <f t="shared" si="30"/>
        <v>0</v>
      </c>
      <c r="Z186" s="41">
        <f>IF(EXACT(A186,LCI!A43),LCI!H43,-1*10^6)</f>
        <v>0</v>
      </c>
      <c r="AA186" s="71">
        <f t="shared" si="10"/>
        <v>0</v>
      </c>
      <c r="AB186" s="71">
        <f t="shared" si="43"/>
        <v>0</v>
      </c>
      <c r="AC186" s="71">
        <f t="shared" si="44"/>
        <v>0</v>
      </c>
      <c r="AD186" s="71">
        <f t="shared" si="45"/>
        <v>0</v>
      </c>
      <c r="AE186" s="71">
        <f t="shared" si="46"/>
        <v>0</v>
      </c>
      <c r="AF186" s="71">
        <f t="shared" si="47"/>
        <v>0</v>
      </c>
      <c r="AG186" s="71" t="e">
        <f>#REF!*$Z186</f>
        <v>#REF!</v>
      </c>
      <c r="AH186" s="71">
        <f t="shared" si="48"/>
        <v>0</v>
      </c>
      <c r="AI186" s="71">
        <f t="shared" si="49"/>
        <v>0</v>
      </c>
      <c r="AJ186" s="71">
        <f t="shared" si="50"/>
        <v>0</v>
      </c>
    </row>
    <row r="187" spans="1:36" x14ac:dyDescent="0.25">
      <c r="A187" s="14" t="str">
        <f>LCI!A44</f>
        <v>Water, Saline (m3/yr)</v>
      </c>
      <c r="B187" s="42">
        <f>B29</f>
        <v>0</v>
      </c>
      <c r="C187" s="42">
        <f t="shared" ref="C187:L187" si="69">C29</f>
        <v>0</v>
      </c>
      <c r="D187" s="42">
        <f t="shared" si="69"/>
        <v>0</v>
      </c>
      <c r="E187" s="42">
        <f t="shared" si="69"/>
        <v>0</v>
      </c>
      <c r="F187" s="42"/>
      <c r="G187" s="42">
        <f t="shared" si="69"/>
        <v>0</v>
      </c>
      <c r="H187" s="42">
        <f t="shared" si="69"/>
        <v>0</v>
      </c>
      <c r="I187" s="42">
        <f t="shared" si="69"/>
        <v>10301103</v>
      </c>
      <c r="J187" s="42">
        <f t="shared" si="69"/>
        <v>0</v>
      </c>
      <c r="K187" s="42">
        <f t="shared" si="69"/>
        <v>0</v>
      </c>
      <c r="L187" s="42">
        <f t="shared" si="69"/>
        <v>0</v>
      </c>
      <c r="N187" s="45">
        <f>IF(EXACT(A187,LCI!A44),LCI!G44,-1*10^6)</f>
        <v>0</v>
      </c>
      <c r="O187" s="47">
        <f t="shared" si="21"/>
        <v>0</v>
      </c>
      <c r="P187" s="47">
        <f t="shared" si="22"/>
        <v>0</v>
      </c>
      <c r="Q187" s="47">
        <f t="shared" si="23"/>
        <v>0</v>
      </c>
      <c r="R187" s="47">
        <f t="shared" si="24"/>
        <v>0</v>
      </c>
      <c r="S187" s="47">
        <f t="shared" si="25"/>
        <v>0</v>
      </c>
      <c r="T187" s="47">
        <f t="shared" si="26"/>
        <v>0</v>
      </c>
      <c r="U187" s="47">
        <f t="shared" si="27"/>
        <v>0</v>
      </c>
      <c r="V187" s="47">
        <f t="shared" si="28"/>
        <v>0</v>
      </c>
      <c r="W187" s="47">
        <f t="shared" si="29"/>
        <v>0</v>
      </c>
      <c r="X187" s="47">
        <f t="shared" si="30"/>
        <v>0</v>
      </c>
      <c r="Z187" s="41">
        <f>IF(EXACT(A187,LCI!A44),LCI!H44,-1*10^6)</f>
        <v>0</v>
      </c>
      <c r="AA187" s="71">
        <f t="shared" si="10"/>
        <v>0</v>
      </c>
      <c r="AB187" s="71">
        <f t="shared" si="43"/>
        <v>0</v>
      </c>
      <c r="AC187" s="71">
        <f t="shared" si="44"/>
        <v>0</v>
      </c>
      <c r="AD187" s="71">
        <f t="shared" si="45"/>
        <v>0</v>
      </c>
      <c r="AE187" s="71">
        <f t="shared" si="46"/>
        <v>0</v>
      </c>
      <c r="AF187" s="71">
        <f t="shared" si="47"/>
        <v>0</v>
      </c>
      <c r="AG187" s="71" t="e">
        <f>#REF!*$Z187</f>
        <v>#REF!</v>
      </c>
      <c r="AH187" s="71">
        <f t="shared" si="48"/>
        <v>0</v>
      </c>
      <c r="AI187" s="71">
        <f t="shared" si="49"/>
        <v>0</v>
      </c>
      <c r="AJ187" s="71">
        <f t="shared" si="50"/>
        <v>0</v>
      </c>
    </row>
    <row r="188" spans="1:36" x14ac:dyDescent="0.25">
      <c r="A188" s="14" t="str">
        <f>LCI!A46</f>
        <v>WOG, raw (kg/yr)</v>
      </c>
      <c r="B188" s="42">
        <f>B30</f>
        <v>0</v>
      </c>
      <c r="C188" s="42">
        <f t="shared" ref="C188:L188" si="70">C30</f>
        <v>0</v>
      </c>
      <c r="D188" s="42">
        <f t="shared" si="70"/>
        <v>0</v>
      </c>
      <c r="E188" s="42">
        <f t="shared" si="70"/>
        <v>0</v>
      </c>
      <c r="F188" s="42"/>
      <c r="G188" s="42">
        <f t="shared" si="70"/>
        <v>0</v>
      </c>
      <c r="H188" s="42">
        <f t="shared" si="70"/>
        <v>0</v>
      </c>
      <c r="I188" s="42">
        <f t="shared" si="70"/>
        <v>0</v>
      </c>
      <c r="J188" s="42">
        <f t="shared" si="70"/>
        <v>0</v>
      </c>
      <c r="K188" s="42">
        <f t="shared" si="70"/>
        <v>0</v>
      </c>
      <c r="L188" s="42">
        <f t="shared" si="70"/>
        <v>0</v>
      </c>
      <c r="N188" s="45">
        <f>IF(EXACT(A188,LCI!A46),LCI!G46,-1*10^6)</f>
        <v>0.57199999999999995</v>
      </c>
      <c r="O188" s="47">
        <f t="shared" si="21"/>
        <v>0</v>
      </c>
      <c r="P188" s="47">
        <f t="shared" si="22"/>
        <v>0</v>
      </c>
      <c r="Q188" s="47">
        <f t="shared" si="23"/>
        <v>0</v>
      </c>
      <c r="R188" s="47">
        <f t="shared" si="24"/>
        <v>0</v>
      </c>
      <c r="S188" s="47">
        <f t="shared" si="25"/>
        <v>0</v>
      </c>
      <c r="T188" s="47">
        <f t="shared" si="26"/>
        <v>0</v>
      </c>
      <c r="U188" s="47">
        <f t="shared" si="27"/>
        <v>0</v>
      </c>
      <c r="V188" s="47">
        <f t="shared" si="28"/>
        <v>0</v>
      </c>
      <c r="W188" s="47">
        <f t="shared" si="29"/>
        <v>0</v>
      </c>
      <c r="X188" s="47">
        <f t="shared" si="30"/>
        <v>0</v>
      </c>
      <c r="Z188" s="41">
        <f>IF(EXACT(A188,LCI!A46),LCI!H46,-1*10^6)</f>
        <v>0</v>
      </c>
      <c r="AA188" s="71">
        <f t="shared" si="10"/>
        <v>0</v>
      </c>
      <c r="AB188" s="71">
        <f t="shared" si="43"/>
        <v>0</v>
      </c>
      <c r="AC188" s="71">
        <f t="shared" si="44"/>
        <v>0</v>
      </c>
      <c r="AD188" s="71">
        <f t="shared" si="45"/>
        <v>0</v>
      </c>
      <c r="AE188" s="71">
        <f t="shared" si="46"/>
        <v>0</v>
      </c>
      <c r="AF188" s="71">
        <f t="shared" si="47"/>
        <v>0</v>
      </c>
      <c r="AG188" s="71" t="e">
        <f>#REF!*$Z188</f>
        <v>#REF!</v>
      </c>
      <c r="AH188" s="71">
        <f t="shared" si="48"/>
        <v>0</v>
      </c>
      <c r="AI188" s="71">
        <f t="shared" si="49"/>
        <v>0</v>
      </c>
      <c r="AJ188" s="71">
        <f t="shared" si="50"/>
        <v>0</v>
      </c>
    </row>
    <row r="189" spans="1:36" x14ac:dyDescent="0.25">
      <c r="A189" s="14" t="str">
        <f>LCI!A47</f>
        <v>Yeast (kg/yr)</v>
      </c>
      <c r="B189" s="42">
        <f>B60</f>
        <v>0</v>
      </c>
      <c r="C189" s="42">
        <f t="shared" ref="C189:L189" si="71">C60</f>
        <v>0</v>
      </c>
      <c r="D189" s="42">
        <f t="shared" si="71"/>
        <v>205.69471420883499</v>
      </c>
      <c r="E189" s="42">
        <f t="shared" si="71"/>
        <v>0</v>
      </c>
      <c r="F189" s="42"/>
      <c r="G189" s="42">
        <f t="shared" si="71"/>
        <v>0</v>
      </c>
      <c r="H189" s="42">
        <f t="shared" si="71"/>
        <v>0</v>
      </c>
      <c r="I189" s="42">
        <f t="shared" si="71"/>
        <v>0</v>
      </c>
      <c r="J189" s="42">
        <f t="shared" si="71"/>
        <v>0</v>
      </c>
      <c r="K189" s="42">
        <f t="shared" si="71"/>
        <v>0</v>
      </c>
      <c r="L189" s="42">
        <f t="shared" si="71"/>
        <v>0</v>
      </c>
      <c r="N189" s="45">
        <f>IF(EXACT(A189,LCI!A47),LCI!G47,-1*10^6)</f>
        <v>5.5</v>
      </c>
      <c r="O189" s="47">
        <f t="shared" si="21"/>
        <v>0</v>
      </c>
      <c r="P189" s="47">
        <f t="shared" si="22"/>
        <v>0</v>
      </c>
      <c r="Q189" s="47">
        <f t="shared" si="23"/>
        <v>1131.3209281485924</v>
      </c>
      <c r="R189" s="47">
        <f t="shared" si="24"/>
        <v>0</v>
      </c>
      <c r="S189" s="47">
        <f t="shared" si="25"/>
        <v>0</v>
      </c>
      <c r="T189" s="47">
        <f t="shared" si="26"/>
        <v>0</v>
      </c>
      <c r="U189" s="47">
        <f t="shared" si="27"/>
        <v>0</v>
      </c>
      <c r="V189" s="47">
        <f t="shared" si="28"/>
        <v>0</v>
      </c>
      <c r="W189" s="47">
        <f t="shared" si="29"/>
        <v>0</v>
      </c>
      <c r="X189" s="47">
        <f t="shared" si="30"/>
        <v>0</v>
      </c>
      <c r="Z189" s="41">
        <f>IF(EXACT(A189,LCI!A47),LCI!H47,-1*10^6)</f>
        <v>4306.59</v>
      </c>
      <c r="AA189" s="71">
        <f t="shared" si="10"/>
        <v>0</v>
      </c>
      <c r="AB189" s="71">
        <f t="shared" si="43"/>
        <v>0</v>
      </c>
      <c r="AC189" s="71">
        <f t="shared" si="44"/>
        <v>885842.79926462669</v>
      </c>
      <c r="AD189" s="71">
        <f t="shared" si="45"/>
        <v>0</v>
      </c>
      <c r="AE189" s="71">
        <f t="shared" si="46"/>
        <v>0</v>
      </c>
      <c r="AF189" s="71">
        <f t="shared" si="47"/>
        <v>0</v>
      </c>
      <c r="AG189" s="71" t="e">
        <f>#REF!*$Z189</f>
        <v>#REF!</v>
      </c>
      <c r="AH189" s="71">
        <f t="shared" si="48"/>
        <v>0</v>
      </c>
      <c r="AI189" s="71">
        <f t="shared" si="49"/>
        <v>0</v>
      </c>
      <c r="AJ189" s="71">
        <f t="shared" si="50"/>
        <v>0</v>
      </c>
    </row>
    <row r="190" spans="1:36" x14ac:dyDescent="0.25">
      <c r="A190" s="14" t="str">
        <f>LCI!A48</f>
        <v>Diesel (kg/yr)</v>
      </c>
      <c r="B190" s="42">
        <f>B31</f>
        <v>4676.5560886200019</v>
      </c>
      <c r="C190" s="42">
        <f t="shared" ref="C190:L190" si="72">C31</f>
        <v>4676.5560886200019</v>
      </c>
      <c r="D190" s="42">
        <f t="shared" si="72"/>
        <v>128108.6</v>
      </c>
      <c r="E190" s="42">
        <f t="shared" si="72"/>
        <v>128108.6</v>
      </c>
      <c r="F190" s="42"/>
      <c r="G190" s="42">
        <f t="shared" si="72"/>
        <v>0</v>
      </c>
      <c r="H190" s="42">
        <f t="shared" si="72"/>
        <v>0</v>
      </c>
      <c r="I190" s="42">
        <f t="shared" si="72"/>
        <v>0</v>
      </c>
      <c r="J190" s="42">
        <f t="shared" si="72"/>
        <v>0</v>
      </c>
      <c r="K190" s="42">
        <f t="shared" si="72"/>
        <v>0</v>
      </c>
      <c r="L190" s="42">
        <f t="shared" si="72"/>
        <v>0</v>
      </c>
      <c r="N190" s="45">
        <f>IF(EXACT(A190,LCI!A48),LCI!G48,-1*10^6)</f>
        <v>0.48</v>
      </c>
      <c r="O190" s="47">
        <f t="shared" si="21"/>
        <v>2244.7469225376008</v>
      </c>
      <c r="P190" s="47">
        <f t="shared" si="22"/>
        <v>2244.7469225376008</v>
      </c>
      <c r="Q190" s="47">
        <f t="shared" si="23"/>
        <v>61492.127999999997</v>
      </c>
      <c r="R190" s="47">
        <f t="shared" si="24"/>
        <v>61492.127999999997</v>
      </c>
      <c r="S190" s="47">
        <f t="shared" si="25"/>
        <v>0</v>
      </c>
      <c r="T190" s="47">
        <f t="shared" si="26"/>
        <v>0</v>
      </c>
      <c r="U190" s="47">
        <f t="shared" si="27"/>
        <v>0</v>
      </c>
      <c r="V190" s="47">
        <f t="shared" si="28"/>
        <v>0</v>
      </c>
      <c r="W190" s="47">
        <f t="shared" si="29"/>
        <v>0</v>
      </c>
      <c r="X190" s="47">
        <f t="shared" si="30"/>
        <v>0</v>
      </c>
      <c r="Z190" s="41">
        <f>IF(EXACT(A190,LCI!A48),LCI!H48,-1*10^6)</f>
        <v>8235</v>
      </c>
      <c r="AA190" s="71">
        <f t="shared" si="10"/>
        <v>0</v>
      </c>
      <c r="AB190" s="71">
        <f t="shared" si="43"/>
        <v>38511439.389785714</v>
      </c>
      <c r="AC190" s="71">
        <f t="shared" si="44"/>
        <v>1054974321</v>
      </c>
      <c r="AD190" s="71">
        <f t="shared" si="45"/>
        <v>1054974321</v>
      </c>
      <c r="AE190" s="71">
        <f t="shared" si="46"/>
        <v>0</v>
      </c>
      <c r="AF190" s="71">
        <f t="shared" si="47"/>
        <v>0</v>
      </c>
      <c r="AG190" s="71" t="e">
        <f>#REF!*$Z190</f>
        <v>#REF!</v>
      </c>
      <c r="AH190" s="71">
        <f t="shared" si="48"/>
        <v>0</v>
      </c>
      <c r="AI190" s="71">
        <f t="shared" si="49"/>
        <v>0</v>
      </c>
      <c r="AJ190" s="71">
        <f t="shared" si="50"/>
        <v>0</v>
      </c>
    </row>
    <row r="191" spans="1:36" x14ac:dyDescent="0.25">
      <c r="A191" s="14" t="str">
        <f>LCI!A49</f>
        <v>Electricity, Grid (MJ/yr)</v>
      </c>
      <c r="B191" s="42">
        <f>B32+B61+B77</f>
        <v>66658.646442841695</v>
      </c>
      <c r="C191" s="42">
        <f t="shared" ref="C191:L191" si="73">C32+C61+C77</f>
        <v>72424.600529424017</v>
      </c>
      <c r="D191" s="42">
        <f t="shared" si="73"/>
        <v>482892.59500839998</v>
      </c>
      <c r="E191" s="42">
        <f t="shared" si="73"/>
        <v>145379.79999999999</v>
      </c>
      <c r="F191" s="42">
        <f t="shared" si="73"/>
        <v>0</v>
      </c>
      <c r="G191" s="42">
        <f t="shared" si="73"/>
        <v>0</v>
      </c>
      <c r="H191" s="42">
        <f t="shared" si="73"/>
        <v>0</v>
      </c>
      <c r="I191" s="42">
        <f t="shared" si="73"/>
        <v>52369923.329999998</v>
      </c>
      <c r="J191" s="42">
        <f t="shared" si="73"/>
        <v>0</v>
      </c>
      <c r="K191" s="42">
        <f t="shared" si="73"/>
        <v>0</v>
      </c>
      <c r="L191" s="42">
        <f t="shared" si="73"/>
        <v>0</v>
      </c>
      <c r="N191" s="45">
        <f>IF(EXACT(A191,LCI!A49),LCI!G49,-1*10^6)</f>
        <v>1.8722222E-2</v>
      </c>
      <c r="O191" s="47">
        <f t="shared" si="21"/>
        <v>1247.9979769223926</v>
      </c>
      <c r="P191" s="47">
        <f t="shared" si="22"/>
        <v>1355.9494493731941</v>
      </c>
      <c r="Q191" s="47">
        <f t="shared" si="23"/>
        <v>9040.8223659033556</v>
      </c>
      <c r="R191" s="47">
        <f t="shared" si="24"/>
        <v>2721.8328899155999</v>
      </c>
      <c r="S191" s="47">
        <f t="shared" si="25"/>
        <v>0</v>
      </c>
      <c r="T191" s="47">
        <f t="shared" si="26"/>
        <v>0</v>
      </c>
      <c r="U191" s="47">
        <f t="shared" si="27"/>
        <v>980481.33070723922</v>
      </c>
      <c r="V191" s="47">
        <f t="shared" si="28"/>
        <v>0</v>
      </c>
      <c r="W191" s="47">
        <f t="shared" si="29"/>
        <v>0</v>
      </c>
      <c r="X191" s="47">
        <f t="shared" si="30"/>
        <v>0</v>
      </c>
      <c r="Z191" s="41">
        <f>IF(EXACT(A191,LCI!A49),LCI!H49,-1*10^6)</f>
        <v>214.47</v>
      </c>
      <c r="AA191" s="71">
        <f t="shared" si="10"/>
        <v>11231777456.5851</v>
      </c>
      <c r="AB191" s="71">
        <f t="shared" si="43"/>
        <v>15532904.075545568</v>
      </c>
      <c r="AC191" s="71">
        <f t="shared" si="44"/>
        <v>103565974.85145155</v>
      </c>
      <c r="AD191" s="71">
        <f t="shared" si="45"/>
        <v>31179605.705999997</v>
      </c>
      <c r="AE191" s="71">
        <f t="shared" si="46"/>
        <v>0</v>
      </c>
      <c r="AF191" s="71">
        <f t="shared" si="47"/>
        <v>0</v>
      </c>
      <c r="AG191" s="71" t="e">
        <f>#REF!*$Z191</f>
        <v>#REF!</v>
      </c>
      <c r="AH191" s="71">
        <f t="shared" si="48"/>
        <v>0</v>
      </c>
      <c r="AI191" s="71">
        <f t="shared" si="49"/>
        <v>0</v>
      </c>
      <c r="AJ191" s="71">
        <f t="shared" si="50"/>
        <v>0</v>
      </c>
    </row>
    <row r="192" spans="1:36" x14ac:dyDescent="0.25">
      <c r="A192" s="14" t="str">
        <f>LCI!A50</f>
        <v>Electricity, PV Solar (MJ/yr)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N192" s="45">
        <f>IF(EXACT(A192,LCI!A50),LCI!G50,-1*10^6)</f>
        <v>2.9722222E-2</v>
      </c>
      <c r="O192" s="47">
        <f t="shared" si="21"/>
        <v>0</v>
      </c>
      <c r="P192" s="47">
        <f t="shared" si="22"/>
        <v>0</v>
      </c>
      <c r="Q192" s="47">
        <f t="shared" si="23"/>
        <v>0</v>
      </c>
      <c r="R192" s="47">
        <f t="shared" si="24"/>
        <v>0</v>
      </c>
      <c r="S192" s="47">
        <f t="shared" si="25"/>
        <v>0</v>
      </c>
      <c r="T192" s="47">
        <f t="shared" si="26"/>
        <v>0</v>
      </c>
      <c r="U192" s="47">
        <f t="shared" si="27"/>
        <v>0</v>
      </c>
      <c r="V192" s="47">
        <f t="shared" si="28"/>
        <v>0</v>
      </c>
      <c r="W192" s="47">
        <f t="shared" si="29"/>
        <v>0</v>
      </c>
      <c r="X192" s="47">
        <f t="shared" si="30"/>
        <v>0</v>
      </c>
      <c r="Z192" s="41">
        <f>IF(EXACT(A192,LCI!A50),LCI!H50,-1*10^6)</f>
        <v>20.277777780000001</v>
      </c>
      <c r="AA192" s="71">
        <f t="shared" si="10"/>
        <v>0</v>
      </c>
      <c r="AB192" s="71">
        <f t="shared" si="43"/>
        <v>0</v>
      </c>
      <c r="AC192" s="71">
        <f t="shared" si="44"/>
        <v>0</v>
      </c>
      <c r="AD192" s="71">
        <f t="shared" si="45"/>
        <v>0</v>
      </c>
      <c r="AE192" s="71">
        <f t="shared" si="46"/>
        <v>0</v>
      </c>
      <c r="AF192" s="71">
        <f t="shared" si="47"/>
        <v>0</v>
      </c>
      <c r="AG192" s="71" t="e">
        <f>#REF!*$Z192</f>
        <v>#REF!</v>
      </c>
      <c r="AH192" s="71">
        <f t="shared" si="48"/>
        <v>0</v>
      </c>
      <c r="AI192" s="71">
        <f t="shared" si="49"/>
        <v>0</v>
      </c>
      <c r="AJ192" s="71">
        <f t="shared" si="50"/>
        <v>0</v>
      </c>
    </row>
    <row r="193" spans="1:36" x14ac:dyDescent="0.25">
      <c r="A193" s="14" t="str">
        <f>LCI!A51</f>
        <v>Gasoline (kg/yr)</v>
      </c>
      <c r="B193" s="42">
        <f>B33</f>
        <v>1055.9965361400004</v>
      </c>
      <c r="C193" s="42">
        <f t="shared" ref="C193:L193" si="74">C33</f>
        <v>1055.9965361400004</v>
      </c>
      <c r="D193" s="42">
        <f t="shared" si="74"/>
        <v>0</v>
      </c>
      <c r="E193" s="42">
        <f t="shared" si="74"/>
        <v>0</v>
      </c>
      <c r="F193" s="42"/>
      <c r="G193" s="42">
        <f t="shared" si="74"/>
        <v>0</v>
      </c>
      <c r="H193" s="42">
        <f t="shared" si="74"/>
        <v>0</v>
      </c>
      <c r="I193" s="42">
        <f t="shared" si="74"/>
        <v>0</v>
      </c>
      <c r="J193" s="42">
        <f t="shared" si="74"/>
        <v>0</v>
      </c>
      <c r="K193" s="42">
        <f t="shared" si="74"/>
        <v>0</v>
      </c>
      <c r="L193" s="42">
        <f t="shared" si="74"/>
        <v>0</v>
      </c>
      <c r="N193" s="45">
        <f>IF(EXACT(A193,LCI!A51),LCI!G51,-1*10^6)</f>
        <v>0.48</v>
      </c>
      <c r="O193" s="47">
        <f t="shared" si="21"/>
        <v>506.87833734720022</v>
      </c>
      <c r="P193" s="47">
        <f t="shared" si="22"/>
        <v>506.87833734720022</v>
      </c>
      <c r="Q193" s="47">
        <f t="shared" si="23"/>
        <v>0</v>
      </c>
      <c r="R193" s="47">
        <f t="shared" si="24"/>
        <v>0</v>
      </c>
      <c r="S193" s="47">
        <f t="shared" si="25"/>
        <v>0</v>
      </c>
      <c r="T193" s="47">
        <f t="shared" si="26"/>
        <v>0</v>
      </c>
      <c r="U193" s="47">
        <f t="shared" si="27"/>
        <v>0</v>
      </c>
      <c r="V193" s="47">
        <f t="shared" si="28"/>
        <v>0</v>
      </c>
      <c r="W193" s="47">
        <f t="shared" si="29"/>
        <v>0</v>
      </c>
      <c r="X193" s="47">
        <f t="shared" si="30"/>
        <v>0</v>
      </c>
      <c r="Z193" s="41">
        <f>IF(EXACT(A193,LCI!A51),LCI!H51,-1*10^6)</f>
        <v>8235</v>
      </c>
      <c r="AA193" s="71">
        <f t="shared" si="10"/>
        <v>0</v>
      </c>
      <c r="AB193" s="71">
        <f t="shared" si="43"/>
        <v>8696131.4751129039</v>
      </c>
      <c r="AC193" s="71">
        <f t="shared" si="44"/>
        <v>0</v>
      </c>
      <c r="AD193" s="71">
        <f t="shared" si="45"/>
        <v>0</v>
      </c>
      <c r="AE193" s="71">
        <f t="shared" si="46"/>
        <v>0</v>
      </c>
      <c r="AF193" s="71">
        <f t="shared" si="47"/>
        <v>0</v>
      </c>
      <c r="AG193" s="71" t="e">
        <f>#REF!*$Z193</f>
        <v>#REF!</v>
      </c>
      <c r="AH193" s="71">
        <f t="shared" si="48"/>
        <v>0</v>
      </c>
      <c r="AI193" s="71">
        <f t="shared" si="49"/>
        <v>0</v>
      </c>
      <c r="AJ193" s="71">
        <f t="shared" si="50"/>
        <v>0</v>
      </c>
    </row>
    <row r="194" spans="1:36" x14ac:dyDescent="0.25">
      <c r="A194" s="14" t="str">
        <f>LCI!A53</f>
        <v>LPG (kg/yr)</v>
      </c>
      <c r="B194" s="42">
        <f>B35</f>
        <v>205.76846789928007</v>
      </c>
      <c r="C194" s="42">
        <f t="shared" ref="C194:L194" si="75">C35</f>
        <v>205.76846789928007</v>
      </c>
      <c r="D194" s="42">
        <f t="shared" si="75"/>
        <v>0</v>
      </c>
      <c r="E194" s="42">
        <f t="shared" si="75"/>
        <v>0</v>
      </c>
      <c r="F194" s="42"/>
      <c r="G194" s="42">
        <f t="shared" si="75"/>
        <v>0</v>
      </c>
      <c r="H194" s="42">
        <f t="shared" si="75"/>
        <v>0</v>
      </c>
      <c r="I194" s="42">
        <f t="shared" si="75"/>
        <v>0</v>
      </c>
      <c r="J194" s="42">
        <f t="shared" si="75"/>
        <v>0</v>
      </c>
      <c r="K194" s="42">
        <f t="shared" si="75"/>
        <v>0</v>
      </c>
      <c r="L194" s="42">
        <f t="shared" si="75"/>
        <v>0</v>
      </c>
      <c r="N194" s="45">
        <f>IF(EXACT(A194,LCI!A53),LCI!G53,-1*10^6)</f>
        <v>0.64400000000000002</v>
      </c>
      <c r="O194" s="47">
        <f t="shared" si="21"/>
        <v>132.51489332713638</v>
      </c>
      <c r="P194" s="47">
        <f t="shared" si="22"/>
        <v>132.51489332713638</v>
      </c>
      <c r="Q194" s="47">
        <f t="shared" si="23"/>
        <v>0</v>
      </c>
      <c r="R194" s="47">
        <f t="shared" si="24"/>
        <v>0</v>
      </c>
      <c r="S194" s="47">
        <f t="shared" si="25"/>
        <v>0</v>
      </c>
      <c r="T194" s="47">
        <f t="shared" si="26"/>
        <v>0</v>
      </c>
      <c r="U194" s="47">
        <f t="shared" si="27"/>
        <v>0</v>
      </c>
      <c r="V194" s="47">
        <f t="shared" si="28"/>
        <v>0</v>
      </c>
      <c r="W194" s="47">
        <f t="shared" si="29"/>
        <v>0</v>
      </c>
      <c r="X194" s="47">
        <f t="shared" si="30"/>
        <v>0</v>
      </c>
      <c r="Z194" s="41">
        <f>IF(EXACT(A194,LCI!A54),LCI!H54,-1*10^6)</f>
        <v>-1000000</v>
      </c>
      <c r="AA194" s="71">
        <f t="shared" si="10"/>
        <v>0</v>
      </c>
      <c r="AB194" s="71">
        <f t="shared" si="43"/>
        <v>-205768467.89928007</v>
      </c>
      <c r="AC194" s="71">
        <f t="shared" si="44"/>
        <v>0</v>
      </c>
      <c r="AD194" s="71">
        <f t="shared" si="45"/>
        <v>0</v>
      </c>
      <c r="AE194" s="71">
        <f t="shared" si="46"/>
        <v>0</v>
      </c>
      <c r="AF194" s="71">
        <f t="shared" si="47"/>
        <v>0</v>
      </c>
      <c r="AG194" s="71" t="e">
        <f>#REF!*$Z194</f>
        <v>#REF!</v>
      </c>
      <c r="AH194" s="71">
        <f t="shared" si="48"/>
        <v>0</v>
      </c>
      <c r="AI194" s="71">
        <f t="shared" si="49"/>
        <v>0</v>
      </c>
      <c r="AJ194" s="71">
        <f t="shared" si="50"/>
        <v>0</v>
      </c>
    </row>
    <row r="195" spans="1:36" x14ac:dyDescent="0.25">
      <c r="A195" s="14" t="str">
        <f>LCI!A54</f>
        <v>Heat (MJ/yr)</v>
      </c>
      <c r="B195" s="42">
        <f>B34+B62+B80</f>
        <v>0</v>
      </c>
      <c r="C195" s="42">
        <f>C34+C62+C80</f>
        <v>2681.8959648000009</v>
      </c>
      <c r="D195" s="42" t="e">
        <f>D34+D62+D80</f>
        <v>#VALUE!</v>
      </c>
      <c r="E195" s="42">
        <f>E34+E62+E80</f>
        <v>0</v>
      </c>
      <c r="F195" s="42"/>
      <c r="G195" s="42">
        <f t="shared" ref="G195:L195" si="76">G34+G62+G80</f>
        <v>0</v>
      </c>
      <c r="H195" s="42">
        <f t="shared" si="76"/>
        <v>0</v>
      </c>
      <c r="I195" s="42">
        <f t="shared" si="76"/>
        <v>6056935.5599999996</v>
      </c>
      <c r="J195" s="42">
        <f t="shared" si="76"/>
        <v>0</v>
      </c>
      <c r="K195" s="42">
        <f t="shared" si="76"/>
        <v>0</v>
      </c>
      <c r="L195" s="42">
        <f t="shared" si="76"/>
        <v>0</v>
      </c>
      <c r="N195" s="45">
        <f>IF(EXACT(A195,LCI!A54),LCI!G54,-1*10^6)</f>
        <v>4.4928909999999997E-3</v>
      </c>
      <c r="O195" s="47">
        <f t="shared" si="21"/>
        <v>0</v>
      </c>
      <c r="P195" s="47">
        <f t="shared" si="22"/>
        <v>12.04946624318624</v>
      </c>
      <c r="Q195" s="47" t="e">
        <f t="shared" si="23"/>
        <v>#VALUE!</v>
      </c>
      <c r="R195" s="47">
        <f t="shared" si="24"/>
        <v>0</v>
      </c>
      <c r="S195" s="47">
        <f t="shared" si="25"/>
        <v>0</v>
      </c>
      <c r="T195" s="47">
        <f t="shared" si="26"/>
        <v>0</v>
      </c>
      <c r="U195" s="47">
        <f t="shared" si="27"/>
        <v>27213.151265103956</v>
      </c>
      <c r="V195" s="47">
        <f t="shared" si="28"/>
        <v>0</v>
      </c>
      <c r="W195" s="47">
        <f t="shared" si="29"/>
        <v>0</v>
      </c>
      <c r="X195" s="47">
        <f t="shared" si="30"/>
        <v>0</v>
      </c>
      <c r="Z195" s="41">
        <f>IF(EXACT(A195,LCI!A55),LCI!H55,-1*10^6)</f>
        <v>-1000000</v>
      </c>
      <c r="AA195" s="71">
        <f t="shared" si="10"/>
        <v>-6056935560000</v>
      </c>
      <c r="AB195" s="71">
        <f t="shared" si="43"/>
        <v>-2681895964.8000011</v>
      </c>
      <c r="AC195" s="71" t="e">
        <f t="shared" si="44"/>
        <v>#VALUE!</v>
      </c>
      <c r="AD195" s="71">
        <f t="shared" si="45"/>
        <v>0</v>
      </c>
      <c r="AE195" s="71">
        <f t="shared" si="46"/>
        <v>0</v>
      </c>
      <c r="AF195" s="71">
        <f t="shared" si="47"/>
        <v>0</v>
      </c>
      <c r="AG195" s="71" t="e">
        <f>#REF!*$Z195</f>
        <v>#REF!</v>
      </c>
      <c r="AH195" s="71">
        <f t="shared" si="48"/>
        <v>0</v>
      </c>
      <c r="AI195" s="71">
        <f t="shared" si="49"/>
        <v>0</v>
      </c>
      <c r="AJ195" s="71">
        <f t="shared" si="50"/>
        <v>0</v>
      </c>
    </row>
    <row r="196" spans="1:36" x14ac:dyDescent="0.25">
      <c r="A196" s="14" t="str">
        <f>LCI!A55</f>
        <v>Hydrogen (kg/yr)</v>
      </c>
      <c r="B196" s="42">
        <f>B80</f>
        <v>0</v>
      </c>
      <c r="C196" s="42">
        <f t="shared" ref="C196:L196" si="77">C80</f>
        <v>2681.8959648000009</v>
      </c>
      <c r="D196" s="42">
        <f t="shared" si="77"/>
        <v>0</v>
      </c>
      <c r="E196" s="42">
        <f t="shared" si="77"/>
        <v>0</v>
      </c>
      <c r="F196" s="42"/>
      <c r="G196" s="42">
        <f t="shared" si="77"/>
        <v>0</v>
      </c>
      <c r="H196" s="42">
        <f t="shared" si="77"/>
        <v>0</v>
      </c>
      <c r="I196" s="42">
        <f t="shared" si="77"/>
        <v>39801.06</v>
      </c>
      <c r="J196" s="42">
        <f t="shared" si="77"/>
        <v>0</v>
      </c>
      <c r="K196" s="42">
        <f t="shared" si="77"/>
        <v>0</v>
      </c>
      <c r="L196" s="42">
        <f t="shared" si="77"/>
        <v>0</v>
      </c>
      <c r="N196" s="45">
        <f>IF(EXACT(A196,LCI!A55),LCI!G55,-1*10^6)</f>
        <v>3.2160000000000002</v>
      </c>
      <c r="O196" s="47">
        <f t="shared" ref="O196:O197" si="78">B196*$N196</f>
        <v>0</v>
      </c>
      <c r="P196" s="47">
        <f t="shared" ref="P196:P197" si="79">C196*$N196</f>
        <v>8624.9774227968028</v>
      </c>
      <c r="Q196" s="47">
        <f t="shared" ref="Q196:Q197" si="80">D196*$N196</f>
        <v>0</v>
      </c>
      <c r="R196" s="47">
        <f t="shared" ref="R196:R197" si="81">E196*$N196</f>
        <v>0</v>
      </c>
      <c r="S196" s="47">
        <f t="shared" ref="S196:S197" si="82">G196*$N196</f>
        <v>0</v>
      </c>
      <c r="T196" s="47">
        <f t="shared" ref="T196:T197" si="83">H196*$N196</f>
        <v>0</v>
      </c>
      <c r="U196" s="47">
        <f t="shared" ref="U196:U197" si="84">I196*$N196</f>
        <v>128000.20896</v>
      </c>
      <c r="V196" s="47">
        <f t="shared" ref="V196:V197" si="85">J196*$N196</f>
        <v>0</v>
      </c>
      <c r="W196" s="47">
        <f t="shared" ref="W196:W197" si="86">K196*$N196</f>
        <v>0</v>
      </c>
      <c r="X196" s="47">
        <f t="shared" ref="X196:X197" si="87">L196*$N196</f>
        <v>0</v>
      </c>
      <c r="Z196" s="4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</row>
    <row r="197" spans="1:36" x14ac:dyDescent="0.25">
      <c r="A197" s="14" t="str">
        <f>LCI!A56</f>
        <v>Natural Gas (kg/yr)</v>
      </c>
      <c r="B197" s="42">
        <f>B36+B63+B81</f>
        <v>9732.883253265336</v>
      </c>
      <c r="C197" s="42">
        <f>C36+C63+C81</f>
        <v>18320.768856939125</v>
      </c>
      <c r="D197" s="42" t="e">
        <f>D36+D63+D81</f>
        <v>#VALUE!</v>
      </c>
      <c r="E197" s="42" t="e">
        <f>E36+E63+E81</f>
        <v>#VALUE!</v>
      </c>
      <c r="F197" s="42"/>
      <c r="G197" s="42">
        <f t="shared" ref="G197:L197" si="88">G36+G63+G81</f>
        <v>0</v>
      </c>
      <c r="H197" s="42">
        <f t="shared" si="88"/>
        <v>0</v>
      </c>
      <c r="I197" s="42">
        <f t="shared" si="88"/>
        <v>0</v>
      </c>
      <c r="J197" s="42">
        <f t="shared" si="88"/>
        <v>0</v>
      </c>
      <c r="K197" s="42">
        <f t="shared" si="88"/>
        <v>0</v>
      </c>
      <c r="L197" s="42">
        <f t="shared" si="88"/>
        <v>0</v>
      </c>
      <c r="N197" s="45">
        <f>IF(EXACT(A197,LCI!A56),LCI!G56,-1*10^6)</f>
        <v>0.25</v>
      </c>
      <c r="O197" s="47">
        <f t="shared" si="78"/>
        <v>2433.220813316334</v>
      </c>
      <c r="P197" s="47">
        <f t="shared" si="79"/>
        <v>4580.1922142347812</v>
      </c>
      <c r="Q197" s="47" t="e">
        <f t="shared" si="80"/>
        <v>#VALUE!</v>
      </c>
      <c r="R197" s="47" t="e">
        <f t="shared" si="81"/>
        <v>#VALUE!</v>
      </c>
      <c r="S197" s="47">
        <f t="shared" si="82"/>
        <v>0</v>
      </c>
      <c r="T197" s="47">
        <f t="shared" si="83"/>
        <v>0</v>
      </c>
      <c r="U197" s="47">
        <f t="shared" si="84"/>
        <v>0</v>
      </c>
      <c r="V197" s="47">
        <f t="shared" si="85"/>
        <v>0</v>
      </c>
      <c r="W197" s="47">
        <f t="shared" si="86"/>
        <v>0</v>
      </c>
      <c r="X197" s="47">
        <f t="shared" si="87"/>
        <v>0</v>
      </c>
      <c r="Z197" s="4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</row>
    <row r="198" spans="1:36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N198" s="4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Z198" s="4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</row>
    <row r="199" spans="1:36" x14ac:dyDescent="0.25">
      <c r="A199" s="16" t="s">
        <v>2365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N199" s="4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Z199" s="4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</row>
    <row r="200" spans="1:36" x14ac:dyDescent="0.25">
      <c r="A200" s="14" t="str">
        <f>LCI!A58</f>
        <v>CH4 Emissions (kg/yr)</v>
      </c>
      <c r="B200" s="43">
        <f>B93</f>
        <v>0</v>
      </c>
      <c r="C200" s="43">
        <f t="shared" ref="C200:L200" si="89">C93</f>
        <v>0</v>
      </c>
      <c r="D200" s="43">
        <f t="shared" si="89"/>
        <v>0</v>
      </c>
      <c r="E200" s="43">
        <f t="shared" si="89"/>
        <v>0</v>
      </c>
      <c r="F200" s="43"/>
      <c r="G200" s="43">
        <f t="shared" si="89"/>
        <v>0</v>
      </c>
      <c r="H200" s="43">
        <f t="shared" si="89"/>
        <v>0</v>
      </c>
      <c r="I200" s="43">
        <f t="shared" si="89"/>
        <v>0</v>
      </c>
      <c r="J200" s="43">
        <f t="shared" si="89"/>
        <v>0</v>
      </c>
      <c r="K200" s="43">
        <f t="shared" si="89"/>
        <v>0</v>
      </c>
      <c r="L200" s="43">
        <f t="shared" si="89"/>
        <v>0</v>
      </c>
      <c r="N200" s="45">
        <f>IF(EXACT(A200,LCI!A58),LCI!G58,-1*10^6)</f>
        <v>0</v>
      </c>
      <c r="O200" s="47">
        <f t="shared" ref="O200:O230" si="90">B200*$N200</f>
        <v>0</v>
      </c>
      <c r="P200" s="47">
        <f t="shared" ref="P200:P230" si="91">C200*$N200</f>
        <v>0</v>
      </c>
      <c r="Q200" s="47">
        <f t="shared" ref="Q200:Q230" si="92">D200*$N200</f>
        <v>0</v>
      </c>
      <c r="R200" s="47">
        <f t="shared" ref="R200:R230" si="93">E200*$N200</f>
        <v>0</v>
      </c>
      <c r="S200" s="47">
        <f t="shared" ref="S200" si="94">G200*$N200</f>
        <v>0</v>
      </c>
      <c r="T200" s="47">
        <f t="shared" ref="T200" si="95">H200*$N200</f>
        <v>0</v>
      </c>
      <c r="U200" s="47">
        <f>I200*$N200</f>
        <v>0</v>
      </c>
      <c r="V200" s="47">
        <f t="shared" ref="V200" si="96">J200*$N200</f>
        <v>0</v>
      </c>
      <c r="W200" s="47">
        <f t="shared" ref="W200" si="97">K200*$N200</f>
        <v>0</v>
      </c>
      <c r="X200" s="47">
        <f t="shared" ref="X200" si="98">L200*$N200</f>
        <v>0</v>
      </c>
      <c r="Z200" s="41">
        <f>IF(EXACT(A200,LCI!A58),LCI!H58,-1*10^6)</f>
        <v>36000</v>
      </c>
      <c r="AA200" s="71">
        <f t="shared" ref="AA200:AA230" si="99">I200*$Z200</f>
        <v>0</v>
      </c>
      <c r="AB200" s="71">
        <f t="shared" ref="AB200:AB215" si="100">C200*$Z200</f>
        <v>0</v>
      </c>
      <c r="AC200" s="71">
        <f t="shared" ref="AC200:AC215" si="101">D200*$Z200</f>
        <v>0</v>
      </c>
      <c r="AD200" s="71">
        <f t="shared" ref="AD200:AD215" si="102">E200*$Z200</f>
        <v>0</v>
      </c>
      <c r="AE200" s="71">
        <f t="shared" ref="AE200:AE215" si="103">G200*$Z200</f>
        <v>0</v>
      </c>
      <c r="AF200" s="71">
        <f t="shared" ref="AF200:AF215" si="104">H200*$Z200</f>
        <v>0</v>
      </c>
      <c r="AG200" s="71" t="e">
        <f>#REF!*$Z200</f>
        <v>#REF!</v>
      </c>
      <c r="AH200" s="71">
        <f t="shared" ref="AH200:AH215" si="105">J200*$Z200</f>
        <v>0</v>
      </c>
      <c r="AI200" s="71">
        <f t="shared" ref="AI200:AI215" si="106">K200*$Z200</f>
        <v>0</v>
      </c>
      <c r="AJ200" s="71">
        <f t="shared" ref="AJ200:AJ215" si="107">L200*$Z200</f>
        <v>0</v>
      </c>
    </row>
    <row r="201" spans="1:36" x14ac:dyDescent="0.25">
      <c r="A201" s="14" t="str">
        <f>LCI!A59</f>
        <v>CO2 Emissions (kg/yr)</v>
      </c>
      <c r="B201" s="43">
        <f>B94+B109+B126</f>
        <v>0</v>
      </c>
      <c r="C201" s="43">
        <f t="shared" ref="C201:L201" si="108">C94+C109+C126</f>
        <v>3620.559552480001</v>
      </c>
      <c r="D201" s="43">
        <f t="shared" si="108"/>
        <v>0</v>
      </c>
      <c r="E201" s="43">
        <f t="shared" si="108"/>
        <v>0</v>
      </c>
      <c r="F201" s="43"/>
      <c r="G201" s="43">
        <f t="shared" si="108"/>
        <v>0</v>
      </c>
      <c r="H201" s="43">
        <f t="shared" si="108"/>
        <v>0</v>
      </c>
      <c r="I201" s="43">
        <f t="shared" si="108"/>
        <v>2143632.0059999996</v>
      </c>
      <c r="J201" s="43">
        <f t="shared" si="108"/>
        <v>0</v>
      </c>
      <c r="K201" s="43">
        <f t="shared" si="108"/>
        <v>0</v>
      </c>
      <c r="L201" s="43">
        <f t="shared" si="108"/>
        <v>0</v>
      </c>
      <c r="N201" s="45">
        <f>IF(EXACT(A201,LCI!A59),LCI!G59,-1*10^6)</f>
        <v>0</v>
      </c>
      <c r="O201" s="47">
        <f t="shared" si="90"/>
        <v>0</v>
      </c>
      <c r="P201" s="47">
        <f t="shared" si="91"/>
        <v>0</v>
      </c>
      <c r="Q201" s="47">
        <f t="shared" si="92"/>
        <v>0</v>
      </c>
      <c r="R201" s="47">
        <f t="shared" si="93"/>
        <v>0</v>
      </c>
      <c r="S201" s="47">
        <f t="shared" ref="S201:S230" si="109">G201*$N201</f>
        <v>0</v>
      </c>
      <c r="T201" s="47">
        <f t="shared" ref="T201:T230" si="110">H201*$N201</f>
        <v>0</v>
      </c>
      <c r="U201" s="47">
        <f t="shared" ref="U201:U230" si="111">I201*$N201</f>
        <v>0</v>
      </c>
      <c r="V201" s="47">
        <f t="shared" ref="V201:V230" si="112">J201*$N201</f>
        <v>0</v>
      </c>
      <c r="W201" s="47">
        <f t="shared" ref="W201:W230" si="113">K201*$N201</f>
        <v>0</v>
      </c>
      <c r="X201" s="47">
        <f t="shared" ref="X201:X230" si="114">L201*$N201</f>
        <v>0</v>
      </c>
      <c r="Z201" s="41">
        <f>IF(EXACT(A201,LCI!A59),LCI!H59,-1*10^6)</f>
        <v>1000</v>
      </c>
      <c r="AA201" s="71">
        <f t="shared" si="99"/>
        <v>2143632005.9999995</v>
      </c>
      <c r="AB201" s="71">
        <f t="shared" si="100"/>
        <v>3620559.552480001</v>
      </c>
      <c r="AC201" s="71">
        <f t="shared" si="101"/>
        <v>0</v>
      </c>
      <c r="AD201" s="71">
        <f t="shared" si="102"/>
        <v>0</v>
      </c>
      <c r="AE201" s="71">
        <f t="shared" si="103"/>
        <v>0</v>
      </c>
      <c r="AF201" s="71">
        <f t="shared" si="104"/>
        <v>0</v>
      </c>
      <c r="AG201" s="71" t="e">
        <f>#REF!*$Z201</f>
        <v>#REF!</v>
      </c>
      <c r="AH201" s="71">
        <f t="shared" si="105"/>
        <v>0</v>
      </c>
      <c r="AI201" s="71">
        <f t="shared" si="106"/>
        <v>0</v>
      </c>
      <c r="AJ201" s="71">
        <f t="shared" si="107"/>
        <v>0</v>
      </c>
    </row>
    <row r="202" spans="1:36" x14ac:dyDescent="0.25">
      <c r="A202" s="14" t="str">
        <f>LCI!A60</f>
        <v>CO Emissions (kg/yr)</v>
      </c>
      <c r="B202" s="43">
        <f>B125</f>
        <v>0</v>
      </c>
      <c r="C202" s="43">
        <f t="shared" ref="C202:L202" si="115">C125</f>
        <v>0</v>
      </c>
      <c r="D202" s="43">
        <f t="shared" si="115"/>
        <v>0</v>
      </c>
      <c r="E202" s="43">
        <f t="shared" si="115"/>
        <v>0</v>
      </c>
      <c r="F202" s="43"/>
      <c r="G202" s="43">
        <f t="shared" si="115"/>
        <v>0</v>
      </c>
      <c r="H202" s="43">
        <f t="shared" si="115"/>
        <v>0</v>
      </c>
      <c r="I202" s="43">
        <f t="shared" si="115"/>
        <v>0</v>
      </c>
      <c r="J202" s="43">
        <f t="shared" si="115"/>
        <v>0</v>
      </c>
      <c r="K202" s="43">
        <f t="shared" si="115"/>
        <v>0</v>
      </c>
      <c r="L202" s="43">
        <f t="shared" si="115"/>
        <v>0</v>
      </c>
      <c r="N202" s="45">
        <f>IF(EXACT(A202,LCI!A60),LCI!G60,-1*10^6)</f>
        <v>0</v>
      </c>
      <c r="O202" s="47">
        <f t="shared" si="90"/>
        <v>0</v>
      </c>
      <c r="P202" s="47">
        <f t="shared" si="91"/>
        <v>0</v>
      </c>
      <c r="Q202" s="47">
        <f t="shared" si="92"/>
        <v>0</v>
      </c>
      <c r="R202" s="47">
        <f t="shared" si="93"/>
        <v>0</v>
      </c>
      <c r="S202" s="47">
        <f t="shared" si="109"/>
        <v>0</v>
      </c>
      <c r="T202" s="47">
        <f t="shared" si="110"/>
        <v>0</v>
      </c>
      <c r="U202" s="47">
        <f t="shared" si="111"/>
        <v>0</v>
      </c>
      <c r="V202" s="47">
        <f t="shared" si="112"/>
        <v>0</v>
      </c>
      <c r="W202" s="47">
        <f t="shared" si="113"/>
        <v>0</v>
      </c>
      <c r="X202" s="47">
        <f t="shared" si="114"/>
        <v>0</v>
      </c>
      <c r="Z202" s="41">
        <f>IF(EXACT(A202,LCI!A60),LCI!H60,-1*10^6)</f>
        <v>0</v>
      </c>
      <c r="AA202" s="71">
        <f t="shared" si="99"/>
        <v>0</v>
      </c>
      <c r="AB202" s="71">
        <f t="shared" si="100"/>
        <v>0</v>
      </c>
      <c r="AC202" s="71">
        <f t="shared" si="101"/>
        <v>0</v>
      </c>
      <c r="AD202" s="71">
        <f t="shared" si="102"/>
        <v>0</v>
      </c>
      <c r="AE202" s="71">
        <f t="shared" si="103"/>
        <v>0</v>
      </c>
      <c r="AF202" s="71">
        <f t="shared" si="104"/>
        <v>0</v>
      </c>
      <c r="AG202" s="71" t="e">
        <f>#REF!*$Z202</f>
        <v>#REF!</v>
      </c>
      <c r="AH202" s="71">
        <f t="shared" si="105"/>
        <v>0</v>
      </c>
      <c r="AI202" s="71">
        <f t="shared" si="106"/>
        <v>0</v>
      </c>
      <c r="AJ202" s="71">
        <f t="shared" si="107"/>
        <v>0</v>
      </c>
    </row>
    <row r="203" spans="1:36" x14ac:dyDescent="0.25">
      <c r="A203" s="14" t="str">
        <f>LCI!A61</f>
        <v>LUC Emissions (kg CO2e/yr)</v>
      </c>
      <c r="B203" s="43">
        <f>B95</f>
        <v>0</v>
      </c>
      <c r="C203" s="43">
        <f t="shared" ref="C203:L203" si="116">C95</f>
        <v>0</v>
      </c>
      <c r="D203" s="43">
        <f t="shared" si="116"/>
        <v>0</v>
      </c>
      <c r="E203" s="43">
        <f t="shared" si="116"/>
        <v>0</v>
      </c>
      <c r="F203" s="43"/>
      <c r="G203" s="43">
        <f t="shared" si="116"/>
        <v>0</v>
      </c>
      <c r="H203" s="43">
        <f t="shared" si="116"/>
        <v>0</v>
      </c>
      <c r="I203" s="43">
        <f t="shared" si="116"/>
        <v>0</v>
      </c>
      <c r="J203" s="43">
        <f t="shared" si="116"/>
        <v>0</v>
      </c>
      <c r="K203" s="43">
        <f t="shared" si="116"/>
        <v>0</v>
      </c>
      <c r="L203" s="43">
        <f t="shared" si="116"/>
        <v>0</v>
      </c>
      <c r="N203" s="45">
        <f>IF(EXACT(A203,LCI!A61),LCI!G61,-1*10^6)</f>
        <v>0</v>
      </c>
      <c r="O203" s="47">
        <f t="shared" si="90"/>
        <v>0</v>
      </c>
      <c r="P203" s="47">
        <f t="shared" si="91"/>
        <v>0</v>
      </c>
      <c r="Q203" s="47">
        <f t="shared" si="92"/>
        <v>0</v>
      </c>
      <c r="R203" s="47">
        <f t="shared" si="93"/>
        <v>0</v>
      </c>
      <c r="S203" s="47">
        <f t="shared" si="109"/>
        <v>0</v>
      </c>
      <c r="T203" s="47">
        <f t="shared" si="110"/>
        <v>0</v>
      </c>
      <c r="U203" s="47">
        <f t="shared" si="111"/>
        <v>0</v>
      </c>
      <c r="V203" s="47">
        <f t="shared" si="112"/>
        <v>0</v>
      </c>
      <c r="W203" s="47">
        <f t="shared" si="113"/>
        <v>0</v>
      </c>
      <c r="X203" s="47">
        <f t="shared" si="114"/>
        <v>0</v>
      </c>
      <c r="Z203" s="41">
        <f>IF(EXACT(A203,LCI!A61),LCI!H61,-1*10^6)</f>
        <v>1000</v>
      </c>
      <c r="AA203" s="71">
        <f t="shared" si="99"/>
        <v>0</v>
      </c>
      <c r="AB203" s="71">
        <f t="shared" si="100"/>
        <v>0</v>
      </c>
      <c r="AC203" s="71">
        <f t="shared" si="101"/>
        <v>0</v>
      </c>
      <c r="AD203" s="71">
        <f t="shared" si="102"/>
        <v>0</v>
      </c>
      <c r="AE203" s="71">
        <f t="shared" si="103"/>
        <v>0</v>
      </c>
      <c r="AF203" s="71">
        <f t="shared" si="104"/>
        <v>0</v>
      </c>
      <c r="AG203" s="71" t="e">
        <f>#REF!*$Z203</f>
        <v>#REF!</v>
      </c>
      <c r="AH203" s="71">
        <f t="shared" si="105"/>
        <v>0</v>
      </c>
      <c r="AI203" s="71">
        <f t="shared" si="106"/>
        <v>0</v>
      </c>
      <c r="AJ203" s="71">
        <f t="shared" si="107"/>
        <v>0</v>
      </c>
    </row>
    <row r="204" spans="1:36" x14ac:dyDescent="0.25">
      <c r="A204" s="14" t="str">
        <f>LCI!A62</f>
        <v>N2O Emissions (kg/yr)</v>
      </c>
      <c r="B204" s="43">
        <f>B96</f>
        <v>7.9954023450600022</v>
      </c>
      <c r="C204" s="43">
        <f t="shared" ref="C204:L204" si="117">C96</f>
        <v>7.9954023450600022</v>
      </c>
      <c r="D204" s="43">
        <f t="shared" si="117"/>
        <v>0</v>
      </c>
      <c r="E204" s="43">
        <f t="shared" si="117"/>
        <v>0</v>
      </c>
      <c r="F204" s="43"/>
      <c r="G204" s="43">
        <f t="shared" si="117"/>
        <v>0</v>
      </c>
      <c r="H204" s="43">
        <f t="shared" si="117"/>
        <v>0</v>
      </c>
      <c r="I204" s="43">
        <f t="shared" si="117"/>
        <v>0</v>
      </c>
      <c r="J204" s="43">
        <f t="shared" si="117"/>
        <v>0</v>
      </c>
      <c r="K204" s="43">
        <f t="shared" si="117"/>
        <v>0</v>
      </c>
      <c r="L204" s="43">
        <f t="shared" si="117"/>
        <v>0</v>
      </c>
      <c r="N204" s="45">
        <f>IF(EXACT(A204,LCI!A62),LCI!G62,-1*10^6)</f>
        <v>0</v>
      </c>
      <c r="O204" s="47">
        <f t="shared" si="90"/>
        <v>0</v>
      </c>
      <c r="P204" s="47">
        <f t="shared" si="91"/>
        <v>0</v>
      </c>
      <c r="Q204" s="47">
        <f t="shared" si="92"/>
        <v>0</v>
      </c>
      <c r="R204" s="47">
        <f t="shared" si="93"/>
        <v>0</v>
      </c>
      <c r="S204" s="47">
        <f t="shared" si="109"/>
        <v>0</v>
      </c>
      <c r="T204" s="47">
        <f t="shared" si="110"/>
        <v>0</v>
      </c>
      <c r="U204" s="47">
        <f t="shared" si="111"/>
        <v>0</v>
      </c>
      <c r="V204" s="47">
        <f t="shared" si="112"/>
        <v>0</v>
      </c>
      <c r="W204" s="47">
        <f t="shared" si="113"/>
        <v>0</v>
      </c>
      <c r="X204" s="47">
        <f t="shared" si="114"/>
        <v>0</v>
      </c>
      <c r="Z204" s="41">
        <f>IF(EXACT(A204,LCI!A62),LCI!H62,-1*10^6)</f>
        <v>298000</v>
      </c>
      <c r="AA204" s="71">
        <f t="shared" si="99"/>
        <v>0</v>
      </c>
      <c r="AB204" s="71">
        <f t="shared" si="100"/>
        <v>2382629.8988278806</v>
      </c>
      <c r="AC204" s="71">
        <f t="shared" si="101"/>
        <v>0</v>
      </c>
      <c r="AD204" s="71">
        <f t="shared" si="102"/>
        <v>0</v>
      </c>
      <c r="AE204" s="71">
        <f t="shared" si="103"/>
        <v>0</v>
      </c>
      <c r="AF204" s="71">
        <f t="shared" si="104"/>
        <v>0</v>
      </c>
      <c r="AG204" s="71" t="e">
        <f>#REF!*$Z204</f>
        <v>#REF!</v>
      </c>
      <c r="AH204" s="71">
        <f t="shared" si="105"/>
        <v>0</v>
      </c>
      <c r="AI204" s="71">
        <f t="shared" si="106"/>
        <v>0</v>
      </c>
      <c r="AJ204" s="71">
        <f t="shared" si="107"/>
        <v>0</v>
      </c>
    </row>
    <row r="205" spans="1:36" x14ac:dyDescent="0.25">
      <c r="A205" s="14" t="str">
        <f>LCI!A63</f>
        <v>NOx Emissions (kg/yr)</v>
      </c>
      <c r="B205" s="43">
        <f>B127</f>
        <v>0</v>
      </c>
      <c r="C205" s="43">
        <f t="shared" ref="C205:L205" si="118">C127</f>
        <v>0</v>
      </c>
      <c r="D205" s="43">
        <f t="shared" si="118"/>
        <v>0</v>
      </c>
      <c r="E205" s="43">
        <f t="shared" si="118"/>
        <v>0</v>
      </c>
      <c r="F205" s="43"/>
      <c r="G205" s="43">
        <f t="shared" si="118"/>
        <v>0</v>
      </c>
      <c r="H205" s="43">
        <f t="shared" si="118"/>
        <v>0</v>
      </c>
      <c r="I205" s="43">
        <f t="shared" si="118"/>
        <v>0</v>
      </c>
      <c r="J205" s="43">
        <f t="shared" si="118"/>
        <v>0</v>
      </c>
      <c r="K205" s="43">
        <f t="shared" si="118"/>
        <v>0</v>
      </c>
      <c r="L205" s="43">
        <f t="shared" si="118"/>
        <v>0</v>
      </c>
      <c r="N205" s="45">
        <f>IF(EXACT(A205,LCI!A63),LCI!G63,-1*10^6)</f>
        <v>0</v>
      </c>
      <c r="O205" s="47">
        <f t="shared" si="90"/>
        <v>0</v>
      </c>
      <c r="P205" s="47">
        <f t="shared" si="91"/>
        <v>0</v>
      </c>
      <c r="Q205" s="47">
        <f t="shared" si="92"/>
        <v>0</v>
      </c>
      <c r="R205" s="47">
        <f t="shared" si="93"/>
        <v>0</v>
      </c>
      <c r="S205" s="47">
        <f t="shared" si="109"/>
        <v>0</v>
      </c>
      <c r="T205" s="47">
        <f t="shared" si="110"/>
        <v>0</v>
      </c>
      <c r="U205" s="47">
        <f t="shared" si="111"/>
        <v>0</v>
      </c>
      <c r="V205" s="47">
        <f t="shared" si="112"/>
        <v>0</v>
      </c>
      <c r="W205" s="47">
        <f t="shared" si="113"/>
        <v>0</v>
      </c>
      <c r="X205" s="47">
        <f t="shared" si="114"/>
        <v>0</v>
      </c>
      <c r="Z205" s="41">
        <f>IF(EXACT(A205,LCI!A65),LCI!H65,-1*10^6)</f>
        <v>-1000000</v>
      </c>
      <c r="AA205" s="71">
        <f t="shared" si="99"/>
        <v>0</v>
      </c>
      <c r="AB205" s="71">
        <f t="shared" si="100"/>
        <v>0</v>
      </c>
      <c r="AC205" s="71">
        <f t="shared" si="101"/>
        <v>0</v>
      </c>
      <c r="AD205" s="71">
        <f t="shared" si="102"/>
        <v>0</v>
      </c>
      <c r="AE205" s="71">
        <f t="shared" si="103"/>
        <v>0</v>
      </c>
      <c r="AF205" s="71">
        <f t="shared" si="104"/>
        <v>0</v>
      </c>
      <c r="AG205" s="71" t="e">
        <f>#REF!*$Z205</f>
        <v>#REF!</v>
      </c>
      <c r="AH205" s="71">
        <f t="shared" si="105"/>
        <v>0</v>
      </c>
      <c r="AI205" s="71">
        <f t="shared" si="106"/>
        <v>0</v>
      </c>
      <c r="AJ205" s="71">
        <f t="shared" si="107"/>
        <v>0</v>
      </c>
    </row>
    <row r="206" spans="1:36" x14ac:dyDescent="0.25">
      <c r="A206" s="14" t="str">
        <f>LCI!A64</f>
        <v>Algal Biomass, Whole (kg/yr)</v>
      </c>
      <c r="B206" s="43">
        <f>B97-B43</f>
        <v>0</v>
      </c>
      <c r="C206" s="43">
        <f>C97-C43</f>
        <v>0</v>
      </c>
      <c r="D206" s="43">
        <f>D97-D43</f>
        <v>0</v>
      </c>
      <c r="E206" s="43">
        <f>E97-E43</f>
        <v>0</v>
      </c>
      <c r="F206" s="43"/>
      <c r="G206" s="43">
        <f t="shared" ref="G206:L206" si="119">G97-G43</f>
        <v>0</v>
      </c>
      <c r="H206" s="43">
        <f t="shared" si="119"/>
        <v>0</v>
      </c>
      <c r="I206" s="43">
        <f t="shared" si="119"/>
        <v>0</v>
      </c>
      <c r="J206" s="43">
        <f t="shared" si="119"/>
        <v>0</v>
      </c>
      <c r="K206" s="43">
        <f t="shared" si="119"/>
        <v>0</v>
      </c>
      <c r="L206" s="43">
        <f t="shared" si="119"/>
        <v>0</v>
      </c>
      <c r="N206" s="45">
        <f>IF(EXACT(A206,LCI!A64),LCI!G64,-1*10^6)</f>
        <v>0</v>
      </c>
      <c r="O206" s="47">
        <f t="shared" si="90"/>
        <v>0</v>
      </c>
      <c r="P206" s="47">
        <f t="shared" si="91"/>
        <v>0</v>
      </c>
      <c r="Q206" s="47">
        <f t="shared" si="92"/>
        <v>0</v>
      </c>
      <c r="R206" s="47">
        <f t="shared" si="93"/>
        <v>0</v>
      </c>
      <c r="S206" s="47">
        <f t="shared" si="109"/>
        <v>0</v>
      </c>
      <c r="T206" s="47">
        <f t="shared" si="110"/>
        <v>0</v>
      </c>
      <c r="U206" s="47">
        <f t="shared" si="111"/>
        <v>0</v>
      </c>
      <c r="V206" s="47">
        <f t="shared" si="112"/>
        <v>0</v>
      </c>
      <c r="W206" s="47">
        <f t="shared" si="113"/>
        <v>0</v>
      </c>
      <c r="X206" s="47">
        <f t="shared" si="114"/>
        <v>0</v>
      </c>
      <c r="Z206" s="41">
        <f>IF(EXACT(A206,LCI!A69),LCI!H69,-1*10^6)</f>
        <v>-1000000</v>
      </c>
      <c r="AA206" s="71">
        <f t="shared" si="99"/>
        <v>0</v>
      </c>
      <c r="AB206" s="71">
        <f t="shared" si="100"/>
        <v>0</v>
      </c>
      <c r="AC206" s="71">
        <f t="shared" si="101"/>
        <v>0</v>
      </c>
      <c r="AD206" s="71">
        <f t="shared" si="102"/>
        <v>0</v>
      </c>
      <c r="AE206" s="71">
        <f t="shared" si="103"/>
        <v>0</v>
      </c>
      <c r="AF206" s="71">
        <f t="shared" si="104"/>
        <v>0</v>
      </c>
      <c r="AG206" s="71" t="e">
        <f>#REF!*$Z206</f>
        <v>#REF!</v>
      </c>
      <c r="AH206" s="71">
        <f t="shared" si="105"/>
        <v>0</v>
      </c>
      <c r="AI206" s="71">
        <f t="shared" si="106"/>
        <v>0</v>
      </c>
      <c r="AJ206" s="71">
        <f t="shared" si="107"/>
        <v>0</v>
      </c>
    </row>
    <row r="207" spans="1:36" x14ac:dyDescent="0.25">
      <c r="A207" s="14" t="str">
        <f>LCI!A65</f>
        <v>Algal Biomass, LEA Meal (kg/yr)</v>
      </c>
      <c r="B207" s="43">
        <f>B110</f>
        <v>0</v>
      </c>
      <c r="C207" s="43">
        <f t="shared" ref="C207:L207" si="120">C110</f>
        <v>0</v>
      </c>
      <c r="D207" s="43">
        <f t="shared" si="120"/>
        <v>0</v>
      </c>
      <c r="E207" s="43">
        <f t="shared" si="120"/>
        <v>0</v>
      </c>
      <c r="F207" s="43"/>
      <c r="G207" s="43">
        <f t="shared" si="120"/>
        <v>0</v>
      </c>
      <c r="H207" s="43">
        <f t="shared" si="120"/>
        <v>0</v>
      </c>
      <c r="I207" s="43">
        <f t="shared" si="120"/>
        <v>3933130.5</v>
      </c>
      <c r="J207" s="43">
        <f t="shared" si="120"/>
        <v>0</v>
      </c>
      <c r="K207" s="43">
        <f t="shared" si="120"/>
        <v>0</v>
      </c>
      <c r="L207" s="43">
        <f t="shared" si="120"/>
        <v>0</v>
      </c>
      <c r="N207" s="45">
        <f>IF(EXACT(A207,LCI!A65),LCI!G65,-1*10^6)</f>
        <v>0.35</v>
      </c>
      <c r="O207" s="47">
        <f t="shared" si="90"/>
        <v>0</v>
      </c>
      <c r="P207" s="47">
        <f t="shared" si="91"/>
        <v>0</v>
      </c>
      <c r="Q207" s="47">
        <f t="shared" si="92"/>
        <v>0</v>
      </c>
      <c r="R207" s="47">
        <f t="shared" si="93"/>
        <v>0</v>
      </c>
      <c r="S207" s="47">
        <f t="shared" si="109"/>
        <v>0</v>
      </c>
      <c r="T207" s="47">
        <f t="shared" si="110"/>
        <v>0</v>
      </c>
      <c r="U207" s="47">
        <f t="shared" si="111"/>
        <v>1376595.6749999998</v>
      </c>
      <c r="V207" s="47">
        <f t="shared" si="112"/>
        <v>0</v>
      </c>
      <c r="W207" s="47">
        <f t="shared" si="113"/>
        <v>0</v>
      </c>
      <c r="X207" s="47">
        <f t="shared" si="114"/>
        <v>0</v>
      </c>
      <c r="Z207" s="41">
        <f>IF(EXACT(A207,LCI!A71),LCI!H71,-1*10^6)</f>
        <v>-1000000</v>
      </c>
      <c r="AA207" s="71">
        <f t="shared" si="99"/>
        <v>-3933130500000</v>
      </c>
      <c r="AB207" s="71">
        <f t="shared" si="100"/>
        <v>0</v>
      </c>
      <c r="AC207" s="71">
        <f t="shared" si="101"/>
        <v>0</v>
      </c>
      <c r="AD207" s="71">
        <f t="shared" si="102"/>
        <v>0</v>
      </c>
      <c r="AE207" s="71">
        <f t="shared" si="103"/>
        <v>0</v>
      </c>
      <c r="AF207" s="71">
        <f t="shared" si="104"/>
        <v>0</v>
      </c>
      <c r="AG207" s="71" t="e">
        <f>#REF!*$Z207</f>
        <v>#REF!</v>
      </c>
      <c r="AH207" s="71">
        <f t="shared" si="105"/>
        <v>0</v>
      </c>
      <c r="AI207" s="71">
        <f t="shared" si="106"/>
        <v>0</v>
      </c>
      <c r="AJ207" s="71">
        <f t="shared" si="107"/>
        <v>0</v>
      </c>
    </row>
    <row r="208" spans="1:36" x14ac:dyDescent="0.25">
      <c r="A208" s="14" t="str">
        <f>LCI!A66</f>
        <v>Algal Oil (kg/yr)</v>
      </c>
      <c r="B208" s="43">
        <f>B111-B70</f>
        <v>0</v>
      </c>
      <c r="C208" s="43">
        <f t="shared" ref="C208:L208" si="121">C111-C70</f>
        <v>0</v>
      </c>
      <c r="D208" s="43">
        <f t="shared" si="121"/>
        <v>0</v>
      </c>
      <c r="E208" s="43">
        <f t="shared" si="121"/>
        <v>0</v>
      </c>
      <c r="F208" s="43"/>
      <c r="G208" s="43">
        <f t="shared" si="121"/>
        <v>0</v>
      </c>
      <c r="H208" s="43">
        <f t="shared" si="121"/>
        <v>0</v>
      </c>
      <c r="I208" s="43">
        <f t="shared" si="121"/>
        <v>0</v>
      </c>
      <c r="J208" s="43">
        <f t="shared" si="121"/>
        <v>0</v>
      </c>
      <c r="K208" s="43">
        <f t="shared" si="121"/>
        <v>0</v>
      </c>
      <c r="L208" s="43">
        <f t="shared" si="121"/>
        <v>0</v>
      </c>
      <c r="N208" s="45">
        <f>IF(EXACT(A208,LCI!A66),LCI!G66,-1*10^6)</f>
        <v>0</v>
      </c>
      <c r="O208" s="47">
        <f t="shared" si="90"/>
        <v>0</v>
      </c>
      <c r="P208" s="47">
        <f t="shared" si="91"/>
        <v>0</v>
      </c>
      <c r="Q208" s="47">
        <f t="shared" si="92"/>
        <v>0</v>
      </c>
      <c r="R208" s="47">
        <f t="shared" si="93"/>
        <v>0</v>
      </c>
      <c r="S208" s="47">
        <f t="shared" si="109"/>
        <v>0</v>
      </c>
      <c r="T208" s="47">
        <f t="shared" si="110"/>
        <v>0</v>
      </c>
      <c r="U208" s="47">
        <f t="shared" si="111"/>
        <v>0</v>
      </c>
      <c r="V208" s="47">
        <f t="shared" si="112"/>
        <v>0</v>
      </c>
      <c r="W208" s="47">
        <f t="shared" si="113"/>
        <v>0</v>
      </c>
      <c r="X208" s="47">
        <f t="shared" si="114"/>
        <v>0</v>
      </c>
      <c r="Z208" s="41">
        <f>IF(EXACT(A208,LCI!A72),LCI!H72,-1*10^6)</f>
        <v>-1000000</v>
      </c>
      <c r="AA208" s="71">
        <f t="shared" si="99"/>
        <v>0</v>
      </c>
      <c r="AB208" s="71">
        <f t="shared" si="100"/>
        <v>0</v>
      </c>
      <c r="AC208" s="71">
        <f t="shared" si="101"/>
        <v>0</v>
      </c>
      <c r="AD208" s="71">
        <f t="shared" si="102"/>
        <v>0</v>
      </c>
      <c r="AE208" s="71">
        <f t="shared" si="103"/>
        <v>0</v>
      </c>
      <c r="AF208" s="71">
        <f t="shared" si="104"/>
        <v>0</v>
      </c>
      <c r="AG208" s="71" t="e">
        <f>#REF!*$Z208</f>
        <v>#REF!</v>
      </c>
      <c r="AH208" s="71">
        <f t="shared" si="105"/>
        <v>0</v>
      </c>
      <c r="AI208" s="71">
        <f t="shared" si="106"/>
        <v>0</v>
      </c>
      <c r="AJ208" s="71">
        <f t="shared" si="107"/>
        <v>0</v>
      </c>
    </row>
    <row r="209" spans="1:36" x14ac:dyDescent="0.25">
      <c r="A209" s="14" t="str">
        <f>LCI!A69</f>
        <v>Corn Grain (kg/yr)</v>
      </c>
      <c r="B209" s="43">
        <f t="shared" ref="B209:E210" si="122">B98-B46</f>
        <v>0</v>
      </c>
      <c r="C209" s="43">
        <f t="shared" si="122"/>
        <v>0</v>
      </c>
      <c r="D209" s="43">
        <f t="shared" si="122"/>
        <v>-1097400</v>
      </c>
      <c r="E209" s="43">
        <f t="shared" si="122"/>
        <v>0</v>
      </c>
      <c r="F209" s="43"/>
      <c r="G209" s="43">
        <f t="shared" ref="G209:L210" si="123">G98-G46</f>
        <v>0</v>
      </c>
      <c r="H209" s="43">
        <f t="shared" si="123"/>
        <v>0</v>
      </c>
      <c r="I209" s="43">
        <f t="shared" si="123"/>
        <v>0</v>
      </c>
      <c r="J209" s="43">
        <f t="shared" si="123"/>
        <v>0</v>
      </c>
      <c r="K209" s="43">
        <f t="shared" si="123"/>
        <v>0</v>
      </c>
      <c r="L209" s="43">
        <f t="shared" si="123"/>
        <v>0</v>
      </c>
      <c r="N209" s="45">
        <f>IF(EXACT(A209,LCI!A69),LCI!G69,-1*10^6)</f>
        <v>0</v>
      </c>
      <c r="O209" s="47">
        <f t="shared" si="90"/>
        <v>0</v>
      </c>
      <c r="P209" s="47">
        <f t="shared" si="91"/>
        <v>0</v>
      </c>
      <c r="Q209" s="47">
        <f t="shared" si="92"/>
        <v>0</v>
      </c>
      <c r="R209" s="47">
        <f t="shared" si="93"/>
        <v>0</v>
      </c>
      <c r="S209" s="47">
        <f t="shared" si="109"/>
        <v>0</v>
      </c>
      <c r="T209" s="47">
        <f t="shared" si="110"/>
        <v>0</v>
      </c>
      <c r="U209" s="47">
        <f t="shared" si="111"/>
        <v>0</v>
      </c>
      <c r="V209" s="47">
        <f t="shared" si="112"/>
        <v>0</v>
      </c>
      <c r="W209" s="47">
        <f t="shared" si="113"/>
        <v>0</v>
      </c>
      <c r="X209" s="47">
        <f t="shared" si="114"/>
        <v>0</v>
      </c>
      <c r="Z209" s="41">
        <f>IF(EXACT(A209,LCI!A73),LCI!H73,-1*10^6)</f>
        <v>-1000000</v>
      </c>
      <c r="AA209" s="71">
        <f t="shared" si="99"/>
        <v>0</v>
      </c>
      <c r="AB209" s="71">
        <f t="shared" si="100"/>
        <v>0</v>
      </c>
      <c r="AC209" s="71">
        <f t="shared" si="101"/>
        <v>1097400000000</v>
      </c>
      <c r="AD209" s="71">
        <f t="shared" si="102"/>
        <v>0</v>
      </c>
      <c r="AE209" s="71">
        <f t="shared" si="103"/>
        <v>0</v>
      </c>
      <c r="AF209" s="71">
        <f t="shared" si="104"/>
        <v>0</v>
      </c>
      <c r="AG209" s="71" t="e">
        <f>#REF!*$Z209</f>
        <v>#REF!</v>
      </c>
      <c r="AH209" s="71">
        <f t="shared" si="105"/>
        <v>0</v>
      </c>
      <c r="AI209" s="71">
        <f t="shared" si="106"/>
        <v>0</v>
      </c>
      <c r="AJ209" s="71">
        <f t="shared" si="107"/>
        <v>0</v>
      </c>
    </row>
    <row r="210" spans="1:36" x14ac:dyDescent="0.25">
      <c r="A210" s="14" t="str">
        <f>LCI!A70</f>
        <v>Corn Stover, Collected (kg/yr)</v>
      </c>
      <c r="B210" s="43">
        <f t="shared" si="122"/>
        <v>0</v>
      </c>
      <c r="C210" s="43">
        <f t="shared" si="122"/>
        <v>0</v>
      </c>
      <c r="D210" s="43">
        <f t="shared" si="122"/>
        <v>0</v>
      </c>
      <c r="E210" s="43">
        <f t="shared" si="122"/>
        <v>0</v>
      </c>
      <c r="F210" s="43"/>
      <c r="G210" s="43">
        <f t="shared" si="123"/>
        <v>0</v>
      </c>
      <c r="H210" s="43">
        <f t="shared" si="123"/>
        <v>0</v>
      </c>
      <c r="I210" s="43">
        <f t="shared" si="123"/>
        <v>0</v>
      </c>
      <c r="J210" s="43">
        <f t="shared" si="123"/>
        <v>0</v>
      </c>
      <c r="K210" s="43">
        <f t="shared" si="123"/>
        <v>0</v>
      </c>
      <c r="L210" s="43">
        <f t="shared" si="123"/>
        <v>0</v>
      </c>
      <c r="N210" s="45">
        <f>IF(EXACT(A210,LCI!A70),LCI!G70,-1*10^6)</f>
        <v>0</v>
      </c>
      <c r="O210" s="47">
        <f t="shared" si="90"/>
        <v>0</v>
      </c>
      <c r="P210" s="47">
        <f t="shared" si="91"/>
        <v>0</v>
      </c>
      <c r="Q210" s="47">
        <f t="shared" si="92"/>
        <v>0</v>
      </c>
      <c r="R210" s="47">
        <f t="shared" si="93"/>
        <v>0</v>
      </c>
      <c r="S210" s="47">
        <f t="shared" si="109"/>
        <v>0</v>
      </c>
      <c r="T210" s="47">
        <f t="shared" si="110"/>
        <v>0</v>
      </c>
      <c r="U210" s="47">
        <f t="shared" si="111"/>
        <v>0</v>
      </c>
      <c r="V210" s="47">
        <f t="shared" si="112"/>
        <v>0</v>
      </c>
      <c r="W210" s="47">
        <f t="shared" si="113"/>
        <v>0</v>
      </c>
      <c r="X210" s="47">
        <f t="shared" si="114"/>
        <v>0</v>
      </c>
      <c r="Z210" s="41">
        <f>IF(EXACT(A210,LCI!A74),LCI!H74,-1*10^6)</f>
        <v>-1000000</v>
      </c>
      <c r="AA210" s="71">
        <f t="shared" si="99"/>
        <v>0</v>
      </c>
      <c r="AB210" s="71">
        <f t="shared" si="100"/>
        <v>0</v>
      </c>
      <c r="AC210" s="71">
        <f t="shared" si="101"/>
        <v>0</v>
      </c>
      <c r="AD210" s="71">
        <f t="shared" si="102"/>
        <v>0</v>
      </c>
      <c r="AE210" s="71">
        <f t="shared" si="103"/>
        <v>0</v>
      </c>
      <c r="AF210" s="71">
        <f t="shared" si="104"/>
        <v>0</v>
      </c>
      <c r="AG210" s="71" t="e">
        <f>#REF!*$Z210</f>
        <v>#REF!</v>
      </c>
      <c r="AH210" s="71">
        <f t="shared" si="105"/>
        <v>0</v>
      </c>
      <c r="AI210" s="71">
        <f t="shared" si="106"/>
        <v>0</v>
      </c>
      <c r="AJ210" s="71">
        <f t="shared" si="107"/>
        <v>0</v>
      </c>
    </row>
    <row r="211" spans="1:36" x14ac:dyDescent="0.25">
      <c r="A211" s="14" t="str">
        <f>LCI!A71</f>
        <v>Corn Stover, Left (kg/yr)</v>
      </c>
      <c r="B211" s="43">
        <f>B100</f>
        <v>0</v>
      </c>
      <c r="C211" s="43">
        <f t="shared" ref="C211:L211" si="124">C100</f>
        <v>0</v>
      </c>
      <c r="D211" s="43">
        <f t="shared" si="124"/>
        <v>0</v>
      </c>
      <c r="E211" s="43">
        <f t="shared" si="124"/>
        <v>0</v>
      </c>
      <c r="F211" s="43"/>
      <c r="G211" s="43">
        <f t="shared" si="124"/>
        <v>0</v>
      </c>
      <c r="H211" s="43">
        <f t="shared" si="124"/>
        <v>0</v>
      </c>
      <c r="I211" s="43">
        <f t="shared" si="124"/>
        <v>0</v>
      </c>
      <c r="J211" s="43">
        <f t="shared" si="124"/>
        <v>0</v>
      </c>
      <c r="K211" s="43">
        <f t="shared" si="124"/>
        <v>0</v>
      </c>
      <c r="L211" s="43">
        <f t="shared" si="124"/>
        <v>0</v>
      </c>
      <c r="N211" s="45">
        <f>IF(EXACT(A211,LCI!A71),LCI!G71,-1*10^6)</f>
        <v>0</v>
      </c>
      <c r="O211" s="47">
        <f t="shared" si="90"/>
        <v>0</v>
      </c>
      <c r="P211" s="47">
        <f t="shared" si="91"/>
        <v>0</v>
      </c>
      <c r="Q211" s="47">
        <f t="shared" si="92"/>
        <v>0</v>
      </c>
      <c r="R211" s="47">
        <f t="shared" si="93"/>
        <v>0</v>
      </c>
      <c r="S211" s="47">
        <f t="shared" si="109"/>
        <v>0</v>
      </c>
      <c r="T211" s="47">
        <f t="shared" si="110"/>
        <v>0</v>
      </c>
      <c r="U211" s="47">
        <f t="shared" si="111"/>
        <v>0</v>
      </c>
      <c r="V211" s="47">
        <f t="shared" si="112"/>
        <v>0</v>
      </c>
      <c r="W211" s="47">
        <f t="shared" si="113"/>
        <v>0</v>
      </c>
      <c r="X211" s="47">
        <f t="shared" si="114"/>
        <v>0</v>
      </c>
      <c r="Z211" s="41">
        <f>IF(EXACT(A211,LCI!A75),LCI!H75,-1*10^6)</f>
        <v>-1000000</v>
      </c>
      <c r="AA211" s="71">
        <f t="shared" si="99"/>
        <v>0</v>
      </c>
      <c r="AB211" s="71">
        <f t="shared" si="100"/>
        <v>0</v>
      </c>
      <c r="AC211" s="71">
        <f t="shared" si="101"/>
        <v>0</v>
      </c>
      <c r="AD211" s="71">
        <f t="shared" si="102"/>
        <v>0</v>
      </c>
      <c r="AE211" s="71">
        <f t="shared" si="103"/>
        <v>0</v>
      </c>
      <c r="AF211" s="71">
        <f t="shared" si="104"/>
        <v>0</v>
      </c>
      <c r="AG211" s="71" t="e">
        <f>#REF!*$Z211</f>
        <v>#REF!</v>
      </c>
      <c r="AH211" s="71">
        <f t="shared" si="105"/>
        <v>0</v>
      </c>
      <c r="AI211" s="71">
        <f t="shared" si="106"/>
        <v>0</v>
      </c>
      <c r="AJ211" s="71">
        <f t="shared" si="107"/>
        <v>0</v>
      </c>
    </row>
    <row r="212" spans="1:36" x14ac:dyDescent="0.25">
      <c r="A212" s="14" t="str">
        <f>LCI!A72</f>
        <v>DDGS (kg/yr)</v>
      </c>
      <c r="B212" s="43">
        <f>B112</f>
        <v>0</v>
      </c>
      <c r="C212" s="43">
        <f t="shared" ref="C212:L212" si="125">C112</f>
        <v>0</v>
      </c>
      <c r="D212" s="43">
        <f t="shared" si="125"/>
        <v>0</v>
      </c>
      <c r="E212" s="43">
        <f t="shared" si="125"/>
        <v>0</v>
      </c>
      <c r="F212" s="43"/>
      <c r="G212" s="43">
        <f t="shared" si="125"/>
        <v>0</v>
      </c>
      <c r="H212" s="43">
        <f t="shared" si="125"/>
        <v>0</v>
      </c>
      <c r="I212" s="43">
        <f t="shared" si="125"/>
        <v>0</v>
      </c>
      <c r="J212" s="43">
        <f t="shared" si="125"/>
        <v>0</v>
      </c>
      <c r="K212" s="43">
        <f t="shared" si="125"/>
        <v>0</v>
      </c>
      <c r="L212" s="43">
        <f t="shared" si="125"/>
        <v>0</v>
      </c>
      <c r="N212" s="45">
        <f>IF(EXACT(A212,LCI!A72),LCI!G72,-1*10^6)</f>
        <v>0.15435501700000001</v>
      </c>
      <c r="O212" s="47">
        <f t="shared" si="90"/>
        <v>0</v>
      </c>
      <c r="P212" s="47">
        <f t="shared" si="91"/>
        <v>0</v>
      </c>
      <c r="Q212" s="47">
        <f t="shared" si="92"/>
        <v>0</v>
      </c>
      <c r="R212" s="47">
        <f t="shared" si="93"/>
        <v>0</v>
      </c>
      <c r="S212" s="47">
        <f t="shared" si="109"/>
        <v>0</v>
      </c>
      <c r="T212" s="47">
        <f t="shared" si="110"/>
        <v>0</v>
      </c>
      <c r="U212" s="47">
        <f t="shared" si="111"/>
        <v>0</v>
      </c>
      <c r="V212" s="47">
        <f t="shared" si="112"/>
        <v>0</v>
      </c>
      <c r="W212" s="47">
        <f t="shared" si="113"/>
        <v>0</v>
      </c>
      <c r="X212" s="47">
        <f t="shared" si="114"/>
        <v>0</v>
      </c>
      <c r="Z212" s="41">
        <f>IF(EXACT(A212,LCI!A77),LCI!H77,-1*10^6)</f>
        <v>-1000000</v>
      </c>
      <c r="AA212" s="71">
        <f t="shared" si="99"/>
        <v>0</v>
      </c>
      <c r="AB212" s="71">
        <f t="shared" si="100"/>
        <v>0</v>
      </c>
      <c r="AC212" s="71">
        <f t="shared" si="101"/>
        <v>0</v>
      </c>
      <c r="AD212" s="71">
        <f t="shared" si="102"/>
        <v>0</v>
      </c>
      <c r="AE212" s="71">
        <f t="shared" si="103"/>
        <v>0</v>
      </c>
      <c r="AF212" s="71">
        <f t="shared" si="104"/>
        <v>0</v>
      </c>
      <c r="AG212" s="71" t="e">
        <f>#REF!*$Z212</f>
        <v>#REF!</v>
      </c>
      <c r="AH212" s="71">
        <f t="shared" si="105"/>
        <v>0</v>
      </c>
      <c r="AI212" s="71">
        <f t="shared" si="106"/>
        <v>0</v>
      </c>
      <c r="AJ212" s="71">
        <f t="shared" si="107"/>
        <v>0</v>
      </c>
    </row>
    <row r="213" spans="1:36" x14ac:dyDescent="0.25">
      <c r="A213" s="14" t="str">
        <f>LCI!A73</f>
        <v>Glycerin (kg/yr)</v>
      </c>
      <c r="B213" s="43">
        <f>B131</f>
        <v>5928.5302777028282</v>
      </c>
      <c r="C213" s="43">
        <f t="shared" ref="C213:L213" si="126">C131</f>
        <v>0</v>
      </c>
      <c r="D213" s="43">
        <f t="shared" si="126"/>
        <v>0</v>
      </c>
      <c r="E213" s="43">
        <f t="shared" si="126"/>
        <v>0</v>
      </c>
      <c r="F213" s="43"/>
      <c r="G213" s="43">
        <f t="shared" si="126"/>
        <v>0</v>
      </c>
      <c r="H213" s="43">
        <f t="shared" si="126"/>
        <v>0</v>
      </c>
      <c r="I213" s="43">
        <f t="shared" si="126"/>
        <v>0</v>
      </c>
      <c r="J213" s="43">
        <f t="shared" si="126"/>
        <v>0</v>
      </c>
      <c r="K213" s="43">
        <f t="shared" si="126"/>
        <v>0</v>
      </c>
      <c r="L213" s="43">
        <f t="shared" si="126"/>
        <v>0</v>
      </c>
      <c r="N213" s="45">
        <f>IF(EXACT(A213,LCI!A73),LCI!G73,-1*10^6)</f>
        <v>0.13200000000000001</v>
      </c>
      <c r="O213" s="47">
        <f t="shared" si="90"/>
        <v>782.56599665677334</v>
      </c>
      <c r="P213" s="47">
        <f t="shared" si="91"/>
        <v>0</v>
      </c>
      <c r="Q213" s="47">
        <f t="shared" si="92"/>
        <v>0</v>
      </c>
      <c r="R213" s="47">
        <f t="shared" si="93"/>
        <v>0</v>
      </c>
      <c r="S213" s="47">
        <f t="shared" si="109"/>
        <v>0</v>
      </c>
      <c r="T213" s="47">
        <f t="shared" si="110"/>
        <v>0</v>
      </c>
      <c r="U213" s="47">
        <f t="shared" si="111"/>
        <v>0</v>
      </c>
      <c r="V213" s="47">
        <f t="shared" si="112"/>
        <v>0</v>
      </c>
      <c r="W213" s="47">
        <f t="shared" si="113"/>
        <v>0</v>
      </c>
      <c r="X213" s="47">
        <f t="shared" si="114"/>
        <v>0</v>
      </c>
      <c r="Z213" s="41">
        <f>IF(EXACT(A213,LCI!A78),LCI!H78,-1*10^6)</f>
        <v>-1000000</v>
      </c>
      <c r="AA213" s="71">
        <f t="shared" si="99"/>
        <v>0</v>
      </c>
      <c r="AB213" s="71">
        <f t="shared" si="100"/>
        <v>0</v>
      </c>
      <c r="AC213" s="71">
        <f t="shared" si="101"/>
        <v>0</v>
      </c>
      <c r="AD213" s="71">
        <f t="shared" si="102"/>
        <v>0</v>
      </c>
      <c r="AE213" s="71">
        <f t="shared" si="103"/>
        <v>0</v>
      </c>
      <c r="AF213" s="71">
        <f t="shared" si="104"/>
        <v>0</v>
      </c>
      <c r="AG213" s="71" t="e">
        <f>#REF!*$Z213</f>
        <v>#REF!</v>
      </c>
      <c r="AH213" s="71">
        <f t="shared" si="105"/>
        <v>0</v>
      </c>
      <c r="AI213" s="71">
        <f t="shared" si="106"/>
        <v>0</v>
      </c>
      <c r="AJ213" s="71">
        <f t="shared" si="107"/>
        <v>0</v>
      </c>
    </row>
    <row r="214" spans="1:36" x14ac:dyDescent="0.25">
      <c r="A214" s="14" t="str">
        <f>LCI!A74</f>
        <v>MSW Co-Products (kg/yr)</v>
      </c>
      <c r="B214" s="43">
        <f>B101</f>
        <v>0</v>
      </c>
      <c r="C214" s="43">
        <f t="shared" ref="C214:L214" si="127">C101</f>
        <v>0</v>
      </c>
      <c r="D214" s="43">
        <f t="shared" si="127"/>
        <v>0</v>
      </c>
      <c r="E214" s="43">
        <f t="shared" si="127"/>
        <v>0</v>
      </c>
      <c r="F214" s="43"/>
      <c r="G214" s="43">
        <f t="shared" si="127"/>
        <v>0</v>
      </c>
      <c r="H214" s="43">
        <f t="shared" si="127"/>
        <v>0</v>
      </c>
      <c r="I214" s="43">
        <f t="shared" si="127"/>
        <v>0</v>
      </c>
      <c r="J214" s="43">
        <f t="shared" si="127"/>
        <v>0</v>
      </c>
      <c r="K214" s="43">
        <f t="shared" si="127"/>
        <v>0</v>
      </c>
      <c r="L214" s="43">
        <f t="shared" si="127"/>
        <v>0</v>
      </c>
      <c r="N214" s="45">
        <f>IF(EXACT(A214,LCI!A74),LCI!G74,-1*10^6)</f>
        <v>0.33</v>
      </c>
      <c r="O214" s="47">
        <f t="shared" si="90"/>
        <v>0</v>
      </c>
      <c r="P214" s="47">
        <f t="shared" si="91"/>
        <v>0</v>
      </c>
      <c r="Q214" s="47">
        <f t="shared" si="92"/>
        <v>0</v>
      </c>
      <c r="R214" s="47">
        <f t="shared" si="93"/>
        <v>0</v>
      </c>
      <c r="S214" s="47">
        <f t="shared" si="109"/>
        <v>0</v>
      </c>
      <c r="T214" s="47">
        <f t="shared" si="110"/>
        <v>0</v>
      </c>
      <c r="U214" s="47">
        <f t="shared" si="111"/>
        <v>0</v>
      </c>
      <c r="V214" s="47">
        <f t="shared" si="112"/>
        <v>0</v>
      </c>
      <c r="W214" s="47">
        <f t="shared" si="113"/>
        <v>0</v>
      </c>
      <c r="X214" s="47">
        <f t="shared" si="114"/>
        <v>0</v>
      </c>
      <c r="Z214" s="41">
        <f>IF(EXACT(A214,LCI!A80),LCI!H80,-1*10^6)</f>
        <v>-1000000</v>
      </c>
      <c r="AA214" s="71">
        <f t="shared" si="99"/>
        <v>0</v>
      </c>
      <c r="AB214" s="71">
        <f t="shared" si="100"/>
        <v>0</v>
      </c>
      <c r="AC214" s="71">
        <f t="shared" si="101"/>
        <v>0</v>
      </c>
      <c r="AD214" s="71">
        <f t="shared" si="102"/>
        <v>0</v>
      </c>
      <c r="AE214" s="71">
        <f t="shared" si="103"/>
        <v>0</v>
      </c>
      <c r="AF214" s="71">
        <f t="shared" si="104"/>
        <v>0</v>
      </c>
      <c r="AG214" s="71" t="e">
        <f>#REF!*$Z214</f>
        <v>#REF!</v>
      </c>
      <c r="AH214" s="71">
        <f t="shared" si="105"/>
        <v>0</v>
      </c>
      <c r="AI214" s="71">
        <f t="shared" si="106"/>
        <v>0</v>
      </c>
      <c r="AJ214" s="71">
        <f t="shared" si="107"/>
        <v>0</v>
      </c>
    </row>
    <row r="215" spans="1:36" x14ac:dyDescent="0.25">
      <c r="A215" s="14" t="str">
        <f>LCI!A75</f>
        <v>Nitrogen Gas (kg/yr)</v>
      </c>
      <c r="B215" s="43">
        <f>B116</f>
        <v>0</v>
      </c>
      <c r="C215" s="43">
        <f t="shared" ref="C215:L215" si="128">C116</f>
        <v>0</v>
      </c>
      <c r="D215" s="43">
        <f t="shared" si="128"/>
        <v>0</v>
      </c>
      <c r="E215" s="43">
        <f t="shared" si="128"/>
        <v>0</v>
      </c>
      <c r="F215" s="43"/>
      <c r="G215" s="43">
        <f t="shared" si="128"/>
        <v>0</v>
      </c>
      <c r="H215" s="43">
        <f t="shared" si="128"/>
        <v>0</v>
      </c>
      <c r="I215" s="43">
        <f t="shared" si="128"/>
        <v>0</v>
      </c>
      <c r="J215" s="43">
        <f t="shared" si="128"/>
        <v>0</v>
      </c>
      <c r="K215" s="43">
        <f t="shared" si="128"/>
        <v>0</v>
      </c>
      <c r="L215" s="43">
        <f t="shared" si="128"/>
        <v>0</v>
      </c>
      <c r="N215" s="45">
        <f>IF(EXACT(A215,LCI!A75),LCI!G75,-1*10^6)</f>
        <v>0</v>
      </c>
      <c r="O215" s="47">
        <f t="shared" si="90"/>
        <v>0</v>
      </c>
      <c r="P215" s="47">
        <f t="shared" si="91"/>
        <v>0</v>
      </c>
      <c r="Q215" s="47">
        <f t="shared" si="92"/>
        <v>0</v>
      </c>
      <c r="R215" s="47">
        <f t="shared" si="93"/>
        <v>0</v>
      </c>
      <c r="S215" s="47">
        <f t="shared" si="109"/>
        <v>0</v>
      </c>
      <c r="T215" s="47">
        <f t="shared" si="110"/>
        <v>0</v>
      </c>
      <c r="U215" s="47">
        <f t="shared" si="111"/>
        <v>0</v>
      </c>
      <c r="V215" s="47">
        <f t="shared" si="112"/>
        <v>0</v>
      </c>
      <c r="W215" s="47">
        <f t="shared" si="113"/>
        <v>0</v>
      </c>
      <c r="X215" s="47">
        <f t="shared" si="114"/>
        <v>0</v>
      </c>
      <c r="Z215" s="41">
        <f>IF(EXACT(A215,LCI!A82),LCI!H82,-1*10^6)</f>
        <v>-1000000</v>
      </c>
      <c r="AA215" s="71">
        <f t="shared" si="99"/>
        <v>0</v>
      </c>
      <c r="AB215" s="71">
        <f t="shared" si="100"/>
        <v>0</v>
      </c>
      <c r="AC215" s="71">
        <f t="shared" si="101"/>
        <v>0</v>
      </c>
      <c r="AD215" s="71">
        <f t="shared" si="102"/>
        <v>0</v>
      </c>
      <c r="AE215" s="71">
        <f t="shared" si="103"/>
        <v>0</v>
      </c>
      <c r="AF215" s="71">
        <f t="shared" si="104"/>
        <v>0</v>
      </c>
      <c r="AG215" s="71" t="e">
        <f>#REF!*$Z215</f>
        <v>#REF!</v>
      </c>
      <c r="AH215" s="71">
        <f t="shared" si="105"/>
        <v>0</v>
      </c>
      <c r="AI215" s="71">
        <f t="shared" si="106"/>
        <v>0</v>
      </c>
      <c r="AJ215" s="71">
        <f t="shared" si="107"/>
        <v>0</v>
      </c>
    </row>
    <row r="216" spans="1:36" x14ac:dyDescent="0.25">
      <c r="A216" s="14" t="str">
        <f>LCI!A76</f>
        <v>Refused Derived Fuel (kg/yr)</v>
      </c>
      <c r="B216" s="43">
        <f>B102-B53</f>
        <v>0</v>
      </c>
      <c r="C216" s="43">
        <f t="shared" ref="C216:L216" si="129">C102-C53</f>
        <v>0</v>
      </c>
      <c r="D216" s="43">
        <f t="shared" si="129"/>
        <v>0</v>
      </c>
      <c r="E216" s="43">
        <f t="shared" si="129"/>
        <v>0</v>
      </c>
      <c r="F216" s="43"/>
      <c r="G216" s="43">
        <f t="shared" si="129"/>
        <v>0</v>
      </c>
      <c r="H216" s="43">
        <f t="shared" si="129"/>
        <v>0</v>
      </c>
      <c r="I216" s="43">
        <f t="shared" si="129"/>
        <v>0</v>
      </c>
      <c r="J216" s="43">
        <f t="shared" si="129"/>
        <v>0</v>
      </c>
      <c r="K216" s="43">
        <f t="shared" si="129"/>
        <v>0</v>
      </c>
      <c r="L216" s="43">
        <f t="shared" si="129"/>
        <v>0</v>
      </c>
      <c r="N216" s="45">
        <f>IF(EXACT(A216,LCI!A76),LCI!G76,-1*10^6)</f>
        <v>0</v>
      </c>
      <c r="O216" s="47">
        <f t="shared" si="90"/>
        <v>0</v>
      </c>
      <c r="P216" s="47">
        <f t="shared" si="91"/>
        <v>0</v>
      </c>
      <c r="Q216" s="47">
        <f t="shared" si="92"/>
        <v>0</v>
      </c>
      <c r="R216" s="47">
        <f t="shared" si="93"/>
        <v>0</v>
      </c>
      <c r="S216" s="47">
        <f t="shared" si="109"/>
        <v>0</v>
      </c>
      <c r="T216" s="47">
        <f t="shared" si="110"/>
        <v>0</v>
      </c>
      <c r="U216" s="47">
        <f t="shared" si="111"/>
        <v>0</v>
      </c>
      <c r="V216" s="47">
        <f t="shared" si="112"/>
        <v>0</v>
      </c>
      <c r="W216" s="47">
        <f t="shared" si="113"/>
        <v>0</v>
      </c>
      <c r="X216" s="47">
        <f t="shared" si="114"/>
        <v>0</v>
      </c>
      <c r="Z216" s="41">
        <f>IF(EXACT(A216,LCI!A83),LCI!H83,-1*10^6)</f>
        <v>-1000000</v>
      </c>
      <c r="AA216" s="71">
        <f t="shared" si="99"/>
        <v>0</v>
      </c>
      <c r="AB216" s="71">
        <f t="shared" ref="AB216:AB230" si="130">C216*$Z216</f>
        <v>0</v>
      </c>
      <c r="AC216" s="71">
        <f t="shared" ref="AC216:AC230" si="131">D216*$Z216</f>
        <v>0</v>
      </c>
      <c r="AD216" s="71">
        <f t="shared" ref="AD216:AD230" si="132">E216*$Z216</f>
        <v>0</v>
      </c>
      <c r="AE216" s="71">
        <f t="shared" ref="AE216:AE230" si="133">G216*$Z216</f>
        <v>0</v>
      </c>
      <c r="AF216" s="71">
        <f t="shared" ref="AF216:AF230" si="134">H216*$Z216</f>
        <v>0</v>
      </c>
      <c r="AG216" s="71" t="e">
        <f>#REF!*$Z216</f>
        <v>#REF!</v>
      </c>
      <c r="AH216" s="71">
        <f t="shared" ref="AH216:AH230" si="135">J216*$Z216</f>
        <v>0</v>
      </c>
      <c r="AI216" s="71">
        <f t="shared" ref="AI216:AI230" si="136">K216*$Z216</f>
        <v>0</v>
      </c>
      <c r="AJ216" s="71">
        <f t="shared" ref="AJ216:AJ230" si="137">L216*$Z216</f>
        <v>0</v>
      </c>
    </row>
    <row r="217" spans="1:36" x14ac:dyDescent="0.25">
      <c r="A217" s="14" t="str">
        <f>LCI!A77</f>
        <v>Slag (kg/yr)</v>
      </c>
      <c r="B217" s="43">
        <f>B117</f>
        <v>0</v>
      </c>
      <c r="C217" s="43">
        <f t="shared" ref="C217:L217" si="138">C117</f>
        <v>0</v>
      </c>
      <c r="D217" s="43">
        <f t="shared" si="138"/>
        <v>0</v>
      </c>
      <c r="E217" s="43">
        <f t="shared" si="138"/>
        <v>0</v>
      </c>
      <c r="F217" s="43"/>
      <c r="G217" s="43">
        <f t="shared" si="138"/>
        <v>0</v>
      </c>
      <c r="H217" s="43">
        <f t="shared" si="138"/>
        <v>0</v>
      </c>
      <c r="I217" s="43">
        <f t="shared" si="138"/>
        <v>0</v>
      </c>
      <c r="J217" s="43">
        <f t="shared" si="138"/>
        <v>0</v>
      </c>
      <c r="K217" s="43">
        <f t="shared" si="138"/>
        <v>0</v>
      </c>
      <c r="L217" s="43">
        <f t="shared" si="138"/>
        <v>0</v>
      </c>
      <c r="N217" s="45">
        <f>IF(EXACT(A217,LCI!A77),LCI!G77,-1*10^6)</f>
        <v>-2.5899999999999999E-2</v>
      </c>
      <c r="O217" s="47">
        <f t="shared" si="90"/>
        <v>0</v>
      </c>
      <c r="P217" s="47">
        <f t="shared" si="91"/>
        <v>0</v>
      </c>
      <c r="Q217" s="47">
        <f t="shared" si="92"/>
        <v>0</v>
      </c>
      <c r="R217" s="47">
        <f t="shared" si="93"/>
        <v>0</v>
      </c>
      <c r="S217" s="47">
        <f t="shared" si="109"/>
        <v>0</v>
      </c>
      <c r="T217" s="47">
        <f t="shared" si="110"/>
        <v>0</v>
      </c>
      <c r="U217" s="47">
        <f t="shared" si="111"/>
        <v>0</v>
      </c>
      <c r="V217" s="47">
        <f t="shared" si="112"/>
        <v>0</v>
      </c>
      <c r="W217" s="47">
        <f t="shared" si="113"/>
        <v>0</v>
      </c>
      <c r="X217" s="47">
        <f t="shared" si="114"/>
        <v>0</v>
      </c>
      <c r="Z217" s="41">
        <f>IF(EXACT(A217,LCI!A84),LCI!H84,-1*10^6)</f>
        <v>-1000000</v>
      </c>
      <c r="AA217" s="71">
        <f t="shared" si="99"/>
        <v>0</v>
      </c>
      <c r="AB217" s="71">
        <f t="shared" si="130"/>
        <v>0</v>
      </c>
      <c r="AC217" s="71">
        <f t="shared" si="131"/>
        <v>0</v>
      </c>
      <c r="AD217" s="71">
        <f t="shared" si="132"/>
        <v>0</v>
      </c>
      <c r="AE217" s="71">
        <f t="shared" si="133"/>
        <v>0</v>
      </c>
      <c r="AF217" s="71">
        <f t="shared" si="134"/>
        <v>0</v>
      </c>
      <c r="AG217" s="71" t="e">
        <f>#REF!*$Z217</f>
        <v>#REF!</v>
      </c>
      <c r="AH217" s="71">
        <f t="shared" si="135"/>
        <v>0</v>
      </c>
      <c r="AI217" s="71">
        <f t="shared" si="136"/>
        <v>0</v>
      </c>
      <c r="AJ217" s="71">
        <f t="shared" si="137"/>
        <v>0</v>
      </c>
    </row>
    <row r="218" spans="1:36" x14ac:dyDescent="0.25">
      <c r="A218" s="14" t="str">
        <f>LCI!A78</f>
        <v>Soybean Meal (kg/yr)</v>
      </c>
      <c r="B218" s="43">
        <f>B118</f>
        <v>234665.89692000009</v>
      </c>
      <c r="C218" s="43">
        <f t="shared" ref="C218:L218" si="139">C118</f>
        <v>234665.89692000009</v>
      </c>
      <c r="D218" s="43">
        <f t="shared" si="139"/>
        <v>0</v>
      </c>
      <c r="E218" s="43">
        <f t="shared" si="139"/>
        <v>0</v>
      </c>
      <c r="F218" s="43"/>
      <c r="G218" s="43">
        <f t="shared" si="139"/>
        <v>0</v>
      </c>
      <c r="H218" s="43">
        <f t="shared" si="139"/>
        <v>0</v>
      </c>
      <c r="I218" s="43">
        <f t="shared" si="139"/>
        <v>0</v>
      </c>
      <c r="J218" s="43">
        <f t="shared" si="139"/>
        <v>0</v>
      </c>
      <c r="K218" s="43">
        <f t="shared" si="139"/>
        <v>0</v>
      </c>
      <c r="L218" s="43">
        <f t="shared" si="139"/>
        <v>0</v>
      </c>
      <c r="N218" s="45">
        <f>IF(EXACT(A218,LCI!A78),LCI!G78,-1*10^6)</f>
        <v>0.35</v>
      </c>
      <c r="O218" s="47">
        <f t="shared" si="90"/>
        <v>82133.06392200003</v>
      </c>
      <c r="P218" s="47">
        <f t="shared" si="91"/>
        <v>82133.06392200003</v>
      </c>
      <c r="Q218" s="47">
        <f t="shared" si="92"/>
        <v>0</v>
      </c>
      <c r="R218" s="47">
        <f t="shared" si="93"/>
        <v>0</v>
      </c>
      <c r="S218" s="47">
        <f t="shared" si="109"/>
        <v>0</v>
      </c>
      <c r="T218" s="47">
        <f t="shared" si="110"/>
        <v>0</v>
      </c>
      <c r="U218" s="47">
        <f t="shared" si="111"/>
        <v>0</v>
      </c>
      <c r="V218" s="47">
        <f t="shared" si="112"/>
        <v>0</v>
      </c>
      <c r="W218" s="47">
        <f t="shared" si="113"/>
        <v>0</v>
      </c>
      <c r="X218" s="47">
        <f t="shared" si="114"/>
        <v>0</v>
      </c>
      <c r="Z218" s="41">
        <f>IF(EXACT(A218,LCI!A87),LCI!H87,-1*10^6)</f>
        <v>-1000000</v>
      </c>
      <c r="AA218" s="71">
        <f t="shared" si="99"/>
        <v>0</v>
      </c>
      <c r="AB218" s="71">
        <f t="shared" si="130"/>
        <v>-234665896920.00009</v>
      </c>
      <c r="AC218" s="71">
        <f t="shared" si="131"/>
        <v>0</v>
      </c>
      <c r="AD218" s="71">
        <f t="shared" si="132"/>
        <v>0</v>
      </c>
      <c r="AE218" s="71">
        <f t="shared" si="133"/>
        <v>0</v>
      </c>
      <c r="AF218" s="71">
        <f t="shared" si="134"/>
        <v>0</v>
      </c>
      <c r="AG218" s="71" t="e">
        <f>#REF!*$Z218</f>
        <v>#REF!</v>
      </c>
      <c r="AH218" s="71">
        <f t="shared" si="135"/>
        <v>0</v>
      </c>
      <c r="AI218" s="71">
        <f t="shared" si="136"/>
        <v>0</v>
      </c>
      <c r="AJ218" s="71">
        <f t="shared" si="137"/>
        <v>0</v>
      </c>
    </row>
    <row r="219" spans="1:36" x14ac:dyDescent="0.25">
      <c r="A219" s="14" t="str">
        <f>LCI!A79</f>
        <v>Soybean Oil (kg/yr)</v>
      </c>
      <c r="B219" s="43">
        <f>B119-B73</f>
        <v>0</v>
      </c>
      <c r="C219" s="43">
        <f t="shared" ref="C219:L219" si="140">C119-C73</f>
        <v>0</v>
      </c>
      <c r="D219" s="43">
        <f t="shared" si="140"/>
        <v>0</v>
      </c>
      <c r="E219" s="43">
        <f t="shared" si="140"/>
        <v>0</v>
      </c>
      <c r="F219" s="43"/>
      <c r="G219" s="43">
        <f t="shared" si="140"/>
        <v>0</v>
      </c>
      <c r="H219" s="43">
        <f t="shared" si="140"/>
        <v>0</v>
      </c>
      <c r="I219" s="43">
        <f t="shared" si="140"/>
        <v>0</v>
      </c>
      <c r="J219" s="43">
        <f t="shared" si="140"/>
        <v>0</v>
      </c>
      <c r="K219" s="43">
        <f t="shared" si="140"/>
        <v>0</v>
      </c>
      <c r="L219" s="43">
        <f t="shared" si="140"/>
        <v>0</v>
      </c>
      <c r="N219" s="45">
        <f>IF(EXACT(A219,LCI!A79),LCI!G79,-1*10^6)</f>
        <v>0</v>
      </c>
      <c r="O219" s="47">
        <f t="shared" si="90"/>
        <v>0</v>
      </c>
      <c r="P219" s="47">
        <f t="shared" si="91"/>
        <v>0</v>
      </c>
      <c r="Q219" s="47">
        <f t="shared" si="92"/>
        <v>0</v>
      </c>
      <c r="R219" s="47">
        <f t="shared" si="93"/>
        <v>0</v>
      </c>
      <c r="S219" s="47">
        <f t="shared" si="109"/>
        <v>0</v>
      </c>
      <c r="T219" s="47">
        <f t="shared" si="110"/>
        <v>0</v>
      </c>
      <c r="U219" s="47">
        <f t="shared" si="111"/>
        <v>0</v>
      </c>
      <c r="V219" s="47">
        <f t="shared" si="112"/>
        <v>0</v>
      </c>
      <c r="W219" s="47">
        <f t="shared" si="113"/>
        <v>0</v>
      </c>
      <c r="X219" s="47">
        <f t="shared" si="114"/>
        <v>0</v>
      </c>
      <c r="Z219" s="41">
        <f>IF(EXACT(A219,LCI!A88),LCI!H88,-1*10^6)</f>
        <v>-1000000</v>
      </c>
      <c r="AA219" s="71">
        <f t="shared" si="99"/>
        <v>0</v>
      </c>
      <c r="AB219" s="71">
        <f t="shared" si="130"/>
        <v>0</v>
      </c>
      <c r="AC219" s="71">
        <f t="shared" si="131"/>
        <v>0</v>
      </c>
      <c r="AD219" s="71">
        <f t="shared" si="132"/>
        <v>0</v>
      </c>
      <c r="AE219" s="71">
        <f t="shared" si="133"/>
        <v>0</v>
      </c>
      <c r="AF219" s="71">
        <f t="shared" si="134"/>
        <v>0</v>
      </c>
      <c r="AG219" s="71" t="e">
        <f>#REF!*$Z219</f>
        <v>#REF!</v>
      </c>
      <c r="AH219" s="71">
        <f t="shared" si="135"/>
        <v>0</v>
      </c>
      <c r="AI219" s="71">
        <f t="shared" si="136"/>
        <v>0</v>
      </c>
      <c r="AJ219" s="71">
        <f t="shared" si="137"/>
        <v>0</v>
      </c>
    </row>
    <row r="220" spans="1:36" x14ac:dyDescent="0.25">
      <c r="A220" s="14" t="str">
        <f>LCI!A80</f>
        <v>Soybeans (kg/yr)</v>
      </c>
      <c r="B220" s="43">
        <f>B103-B55</f>
        <v>0</v>
      </c>
      <c r="C220" s="43">
        <f t="shared" ref="C220:L220" si="141">C103-C55</f>
        <v>0</v>
      </c>
      <c r="D220" s="43">
        <f t="shared" si="141"/>
        <v>0</v>
      </c>
      <c r="E220" s="43">
        <f t="shared" si="141"/>
        <v>0</v>
      </c>
      <c r="F220" s="43"/>
      <c r="G220" s="43">
        <f t="shared" si="141"/>
        <v>0</v>
      </c>
      <c r="H220" s="43">
        <f t="shared" si="141"/>
        <v>0</v>
      </c>
      <c r="I220" s="43">
        <f t="shared" si="141"/>
        <v>0</v>
      </c>
      <c r="J220" s="43">
        <f t="shared" si="141"/>
        <v>0</v>
      </c>
      <c r="K220" s="43">
        <f t="shared" si="141"/>
        <v>0</v>
      </c>
      <c r="L220" s="43">
        <f t="shared" si="141"/>
        <v>0</v>
      </c>
      <c r="N220" s="45">
        <f>IF(EXACT(A220,LCI!A80),LCI!G80,-1*10^6)</f>
        <v>0.55000000000000004</v>
      </c>
      <c r="O220" s="47">
        <f t="shared" si="90"/>
        <v>0</v>
      </c>
      <c r="P220" s="47">
        <f t="shared" si="91"/>
        <v>0</v>
      </c>
      <c r="Q220" s="47">
        <f t="shared" si="92"/>
        <v>0</v>
      </c>
      <c r="R220" s="47">
        <f t="shared" si="93"/>
        <v>0</v>
      </c>
      <c r="S220" s="47">
        <f t="shared" si="109"/>
        <v>0</v>
      </c>
      <c r="T220" s="47">
        <f t="shared" si="110"/>
        <v>0</v>
      </c>
      <c r="U220" s="47">
        <f t="shared" si="111"/>
        <v>0</v>
      </c>
      <c r="V220" s="47">
        <f t="shared" si="112"/>
        <v>0</v>
      </c>
      <c r="W220" s="47">
        <f t="shared" si="113"/>
        <v>0</v>
      </c>
      <c r="X220" s="47">
        <f t="shared" si="114"/>
        <v>0</v>
      </c>
      <c r="Z220" s="41">
        <f>IF(EXACT(A220,LCI!A89),LCI!H89,-1*10^6)</f>
        <v>-1000000</v>
      </c>
      <c r="AA220" s="71">
        <f t="shared" si="99"/>
        <v>0</v>
      </c>
      <c r="AB220" s="71">
        <f t="shared" si="130"/>
        <v>0</v>
      </c>
      <c r="AC220" s="71">
        <f t="shared" si="131"/>
        <v>0</v>
      </c>
      <c r="AD220" s="71">
        <f t="shared" si="132"/>
        <v>0</v>
      </c>
      <c r="AE220" s="71">
        <f t="shared" si="133"/>
        <v>0</v>
      </c>
      <c r="AF220" s="71">
        <f t="shared" si="134"/>
        <v>0</v>
      </c>
      <c r="AG220" s="71" t="e">
        <f>#REF!*$Z220</f>
        <v>#REF!</v>
      </c>
      <c r="AH220" s="71">
        <f t="shared" si="135"/>
        <v>0</v>
      </c>
      <c r="AI220" s="71">
        <f t="shared" si="136"/>
        <v>0</v>
      </c>
      <c r="AJ220" s="71">
        <f t="shared" si="137"/>
        <v>0</v>
      </c>
    </row>
    <row r="221" spans="1:36" x14ac:dyDescent="0.25">
      <c r="A221" s="14" t="str">
        <f>LCI!A81</f>
        <v>Syncrude (kg/yr)</v>
      </c>
      <c r="B221" s="43">
        <f>B120-B74</f>
        <v>0</v>
      </c>
      <c r="C221" s="43">
        <f t="shared" ref="C221:L221" si="142">C120-C74</f>
        <v>0</v>
      </c>
      <c r="D221" s="43">
        <f t="shared" si="142"/>
        <v>0</v>
      </c>
      <c r="E221" s="43">
        <f t="shared" si="142"/>
        <v>0</v>
      </c>
      <c r="F221" s="43"/>
      <c r="G221" s="43">
        <f t="shared" si="142"/>
        <v>0</v>
      </c>
      <c r="H221" s="43">
        <f t="shared" si="142"/>
        <v>0</v>
      </c>
      <c r="I221" s="43">
        <f t="shared" si="142"/>
        <v>0</v>
      </c>
      <c r="J221" s="43">
        <f t="shared" si="142"/>
        <v>0</v>
      </c>
      <c r="K221" s="43">
        <f t="shared" si="142"/>
        <v>0</v>
      </c>
      <c r="L221" s="43">
        <f t="shared" si="142"/>
        <v>0</v>
      </c>
      <c r="N221" s="45">
        <f>IF(EXACT(A221,LCI!A81),LCI!G81,-1*10^6)</f>
        <v>0</v>
      </c>
      <c r="O221" s="47">
        <f t="shared" si="90"/>
        <v>0</v>
      </c>
      <c r="P221" s="47">
        <f t="shared" si="91"/>
        <v>0</v>
      </c>
      <c r="Q221" s="47">
        <f t="shared" si="92"/>
        <v>0</v>
      </c>
      <c r="R221" s="47">
        <f t="shared" si="93"/>
        <v>0</v>
      </c>
      <c r="S221" s="47">
        <f t="shared" si="109"/>
        <v>0</v>
      </c>
      <c r="T221" s="47">
        <f t="shared" si="110"/>
        <v>0</v>
      </c>
      <c r="U221" s="47">
        <f t="shared" si="111"/>
        <v>0</v>
      </c>
      <c r="V221" s="47">
        <f t="shared" si="112"/>
        <v>0</v>
      </c>
      <c r="W221" s="47">
        <f t="shared" si="113"/>
        <v>0</v>
      </c>
      <c r="X221" s="47">
        <f t="shared" si="114"/>
        <v>0</v>
      </c>
      <c r="Z221" s="41">
        <f>IF(EXACT(A221,LCI!A90),LCI!H90,-1*10^6)</f>
        <v>-1000000</v>
      </c>
      <c r="AA221" s="71">
        <f t="shared" si="99"/>
        <v>0</v>
      </c>
      <c r="AB221" s="71">
        <f t="shared" si="130"/>
        <v>0</v>
      </c>
      <c r="AC221" s="71">
        <f t="shared" si="131"/>
        <v>0</v>
      </c>
      <c r="AD221" s="71">
        <f t="shared" si="132"/>
        <v>0</v>
      </c>
      <c r="AE221" s="71">
        <f t="shared" si="133"/>
        <v>0</v>
      </c>
      <c r="AF221" s="71">
        <f t="shared" si="134"/>
        <v>0</v>
      </c>
      <c r="AG221" s="71" t="e">
        <f>#REF!*$Z221</f>
        <v>#REF!</v>
      </c>
      <c r="AH221" s="71">
        <f t="shared" si="135"/>
        <v>0</v>
      </c>
      <c r="AI221" s="71">
        <f t="shared" si="136"/>
        <v>0</v>
      </c>
      <c r="AJ221" s="71">
        <f t="shared" si="137"/>
        <v>0</v>
      </c>
    </row>
    <row r="222" spans="1:36" x14ac:dyDescent="0.25">
      <c r="A222" s="14" t="str">
        <f>LCI!A82</f>
        <v>Wastewater, Gasification (kg/yr)</v>
      </c>
      <c r="B222" s="43">
        <f>B121</f>
        <v>0</v>
      </c>
      <c r="C222" s="43">
        <f t="shared" ref="C222:L222" si="143">C121</f>
        <v>0</v>
      </c>
      <c r="D222" s="43">
        <f t="shared" si="143"/>
        <v>0</v>
      </c>
      <c r="E222" s="43">
        <f t="shared" si="143"/>
        <v>0</v>
      </c>
      <c r="F222" s="43"/>
      <c r="G222" s="43">
        <f t="shared" si="143"/>
        <v>0</v>
      </c>
      <c r="H222" s="43">
        <f t="shared" si="143"/>
        <v>0</v>
      </c>
      <c r="I222" s="43">
        <f t="shared" si="143"/>
        <v>0</v>
      </c>
      <c r="J222" s="43">
        <f t="shared" si="143"/>
        <v>0</v>
      </c>
      <c r="K222" s="43">
        <f t="shared" si="143"/>
        <v>0</v>
      </c>
      <c r="L222" s="43">
        <f t="shared" si="143"/>
        <v>0</v>
      </c>
      <c r="N222" s="45">
        <f>IF(EXACT(A222,LCI!A82),LCI!G82,-1*10^6)</f>
        <v>-1.17E-3</v>
      </c>
      <c r="O222" s="47">
        <f t="shared" si="90"/>
        <v>0</v>
      </c>
      <c r="P222" s="47">
        <f t="shared" si="91"/>
        <v>0</v>
      </c>
      <c r="Q222" s="47">
        <f t="shared" si="92"/>
        <v>0</v>
      </c>
      <c r="R222" s="47">
        <f t="shared" si="93"/>
        <v>0</v>
      </c>
      <c r="S222" s="47">
        <f t="shared" si="109"/>
        <v>0</v>
      </c>
      <c r="T222" s="47">
        <f t="shared" si="110"/>
        <v>0</v>
      </c>
      <c r="U222" s="47">
        <f t="shared" si="111"/>
        <v>0</v>
      </c>
      <c r="V222" s="47">
        <f t="shared" si="112"/>
        <v>0</v>
      </c>
      <c r="W222" s="47">
        <f t="shared" si="113"/>
        <v>0</v>
      </c>
      <c r="X222" s="47">
        <f t="shared" si="114"/>
        <v>0</v>
      </c>
      <c r="Z222" s="41" t="e">
        <f>IF(EXACT(A222,LCI!#REF!),LCI!#REF!,-1*10^6)</f>
        <v>#REF!</v>
      </c>
      <c r="AA222" s="71" t="e">
        <f t="shared" si="99"/>
        <v>#REF!</v>
      </c>
      <c r="AB222" s="71" t="e">
        <f t="shared" si="130"/>
        <v>#REF!</v>
      </c>
      <c r="AC222" s="71" t="e">
        <f t="shared" si="131"/>
        <v>#REF!</v>
      </c>
      <c r="AD222" s="71" t="e">
        <f t="shared" si="132"/>
        <v>#REF!</v>
      </c>
      <c r="AE222" s="71" t="e">
        <f t="shared" si="133"/>
        <v>#REF!</v>
      </c>
      <c r="AF222" s="71" t="e">
        <f t="shared" si="134"/>
        <v>#REF!</v>
      </c>
      <c r="AG222" s="71" t="e">
        <f>#REF!*$Z222</f>
        <v>#REF!</v>
      </c>
      <c r="AH222" s="71" t="e">
        <f t="shared" si="135"/>
        <v>#REF!</v>
      </c>
      <c r="AI222" s="71" t="e">
        <f t="shared" si="136"/>
        <v>#REF!</v>
      </c>
      <c r="AJ222" s="71" t="e">
        <f t="shared" si="137"/>
        <v>#REF!</v>
      </c>
    </row>
    <row r="223" spans="1:36" x14ac:dyDescent="0.25">
      <c r="A223" s="14" t="str">
        <f>LCI!A83</f>
        <v>Water, Output (kg/yr)</v>
      </c>
      <c r="B223" s="43">
        <f>B136</f>
        <v>0</v>
      </c>
      <c r="C223" s="43">
        <f t="shared" ref="C223:L223" si="144">C136</f>
        <v>5833.1237234400014</v>
      </c>
      <c r="D223" s="43">
        <f t="shared" si="144"/>
        <v>0</v>
      </c>
      <c r="E223" s="43">
        <f t="shared" si="144"/>
        <v>0</v>
      </c>
      <c r="F223" s="43"/>
      <c r="G223" s="43">
        <f t="shared" si="144"/>
        <v>0</v>
      </c>
      <c r="H223" s="43">
        <f t="shared" si="144"/>
        <v>0</v>
      </c>
      <c r="I223" s="43">
        <f t="shared" si="144"/>
        <v>86567.305499999988</v>
      </c>
      <c r="J223" s="43">
        <f t="shared" si="144"/>
        <v>0</v>
      </c>
      <c r="K223" s="43">
        <f t="shared" si="144"/>
        <v>0</v>
      </c>
      <c r="L223" s="43">
        <f t="shared" si="144"/>
        <v>0</v>
      </c>
      <c r="N223" s="45">
        <f>IF(EXACT(A223,LCI!A83),LCI!G83,-1*10^6)</f>
        <v>0</v>
      </c>
      <c r="O223" s="47">
        <f t="shared" si="90"/>
        <v>0</v>
      </c>
      <c r="P223" s="47">
        <f t="shared" si="91"/>
        <v>0</v>
      </c>
      <c r="Q223" s="47">
        <f t="shared" si="92"/>
        <v>0</v>
      </c>
      <c r="R223" s="47">
        <f t="shared" si="93"/>
        <v>0</v>
      </c>
      <c r="S223" s="47">
        <f t="shared" si="109"/>
        <v>0</v>
      </c>
      <c r="T223" s="47">
        <f t="shared" si="110"/>
        <v>0</v>
      </c>
      <c r="U223" s="47">
        <f t="shared" si="111"/>
        <v>0</v>
      </c>
      <c r="V223" s="47">
        <f t="shared" si="112"/>
        <v>0</v>
      </c>
      <c r="W223" s="47">
        <f t="shared" si="113"/>
        <v>0</v>
      </c>
      <c r="X223" s="47">
        <f t="shared" si="114"/>
        <v>0</v>
      </c>
      <c r="Z223" s="41">
        <f>IF(EXACT(A223,LCI!A91),LCI!H91,-1*10^6)</f>
        <v>-1000000</v>
      </c>
      <c r="AA223" s="71">
        <f t="shared" si="99"/>
        <v>-86567305499.999985</v>
      </c>
      <c r="AB223" s="71">
        <f t="shared" si="130"/>
        <v>-5833123723.4400015</v>
      </c>
      <c r="AC223" s="71">
        <f t="shared" si="131"/>
        <v>0</v>
      </c>
      <c r="AD223" s="71">
        <f t="shared" si="132"/>
        <v>0</v>
      </c>
      <c r="AE223" s="71">
        <f t="shared" si="133"/>
        <v>0</v>
      </c>
      <c r="AF223" s="71">
        <f t="shared" si="134"/>
        <v>0</v>
      </c>
      <c r="AG223" s="71" t="e">
        <f>#REF!*$Z223</f>
        <v>#REF!</v>
      </c>
      <c r="AH223" s="71">
        <f t="shared" si="135"/>
        <v>0</v>
      </c>
      <c r="AI223" s="71">
        <f t="shared" si="136"/>
        <v>0</v>
      </c>
      <c r="AJ223" s="71">
        <f t="shared" si="137"/>
        <v>0</v>
      </c>
    </row>
    <row r="224" spans="1:36" x14ac:dyDescent="0.25">
      <c r="A224" s="14" t="str">
        <f>LCI!A84</f>
        <v>WDGS (kg/yr)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N224" s="45">
        <f>IF(EXACT(A224,LCI!A84),LCI!G84,-1*10^6)</f>
        <v>0</v>
      </c>
      <c r="O224" s="47">
        <f t="shared" si="90"/>
        <v>0</v>
      </c>
      <c r="P224" s="47">
        <f t="shared" si="91"/>
        <v>0</v>
      </c>
      <c r="Q224" s="47">
        <f t="shared" si="92"/>
        <v>0</v>
      </c>
      <c r="R224" s="47">
        <f t="shared" si="93"/>
        <v>0</v>
      </c>
      <c r="S224" s="47">
        <f t="shared" si="109"/>
        <v>0</v>
      </c>
      <c r="T224" s="47">
        <f t="shared" si="110"/>
        <v>0</v>
      </c>
      <c r="U224" s="47">
        <f t="shared" si="111"/>
        <v>0</v>
      </c>
      <c r="V224" s="47">
        <f t="shared" si="112"/>
        <v>0</v>
      </c>
      <c r="W224" s="47">
        <f t="shared" si="113"/>
        <v>0</v>
      </c>
      <c r="X224" s="47">
        <f t="shared" si="114"/>
        <v>0</v>
      </c>
      <c r="Z224" s="41">
        <f>IF(EXACT(A224,LCI!A92),LCI!H92,-1*10^6)</f>
        <v>-1000000</v>
      </c>
      <c r="AA224" s="71">
        <f t="shared" si="99"/>
        <v>0</v>
      </c>
      <c r="AB224" s="71">
        <f t="shared" si="130"/>
        <v>0</v>
      </c>
      <c r="AC224" s="71">
        <f t="shared" si="131"/>
        <v>0</v>
      </c>
      <c r="AD224" s="71">
        <f t="shared" si="132"/>
        <v>0</v>
      </c>
      <c r="AE224" s="71">
        <f t="shared" si="133"/>
        <v>0</v>
      </c>
      <c r="AF224" s="71">
        <f t="shared" si="134"/>
        <v>0</v>
      </c>
      <c r="AG224" s="71" t="e">
        <f>#REF!*$Z224</f>
        <v>#REF!</v>
      </c>
      <c r="AH224" s="71">
        <f t="shared" si="135"/>
        <v>0</v>
      </c>
      <c r="AI224" s="71">
        <f t="shared" si="136"/>
        <v>0</v>
      </c>
      <c r="AJ224" s="71">
        <f t="shared" si="137"/>
        <v>0</v>
      </c>
    </row>
    <row r="225" spans="1:36" x14ac:dyDescent="0.25">
      <c r="A225" s="14" t="str">
        <f>LCI!A85</f>
        <v>WOG, Delivered (kg/yr)</v>
      </c>
      <c r="B225" s="43">
        <f>B104-B76</f>
        <v>0</v>
      </c>
      <c r="C225" s="43">
        <f t="shared" ref="C225:L225" si="145">C104-C76</f>
        <v>0</v>
      </c>
      <c r="D225" s="43">
        <f t="shared" si="145"/>
        <v>0</v>
      </c>
      <c r="E225" s="43">
        <f t="shared" si="145"/>
        <v>0</v>
      </c>
      <c r="F225" s="43"/>
      <c r="G225" s="43">
        <f t="shared" si="145"/>
        <v>0</v>
      </c>
      <c r="H225" s="43">
        <f t="shared" si="145"/>
        <v>0</v>
      </c>
      <c r="I225" s="43">
        <f t="shared" si="145"/>
        <v>0</v>
      </c>
      <c r="J225" s="43">
        <f t="shared" si="145"/>
        <v>0</v>
      </c>
      <c r="K225" s="43">
        <f t="shared" si="145"/>
        <v>0</v>
      </c>
      <c r="L225" s="43">
        <f t="shared" si="145"/>
        <v>0</v>
      </c>
      <c r="N225" s="45">
        <f>IF(EXACT(A225,LCI!A85),LCI!G85,-1*10^6)</f>
        <v>0</v>
      </c>
      <c r="O225" s="47">
        <f t="shared" si="90"/>
        <v>0</v>
      </c>
      <c r="P225" s="47">
        <f t="shared" si="91"/>
        <v>0</v>
      </c>
      <c r="Q225" s="47">
        <f t="shared" si="92"/>
        <v>0</v>
      </c>
      <c r="R225" s="47">
        <f t="shared" si="93"/>
        <v>0</v>
      </c>
      <c r="S225" s="47">
        <f t="shared" si="109"/>
        <v>0</v>
      </c>
      <c r="T225" s="47">
        <f t="shared" si="110"/>
        <v>0</v>
      </c>
      <c r="U225" s="47">
        <f t="shared" si="111"/>
        <v>0</v>
      </c>
      <c r="V225" s="47">
        <f t="shared" si="112"/>
        <v>0</v>
      </c>
      <c r="W225" s="47">
        <f t="shared" si="113"/>
        <v>0</v>
      </c>
      <c r="X225" s="47">
        <f t="shared" si="114"/>
        <v>0</v>
      </c>
      <c r="Z225" s="41">
        <f>IF(EXACT(A225,LCI!A93),LCI!H93,-1*10^6)</f>
        <v>-1000000</v>
      </c>
      <c r="AA225" s="71">
        <f t="shared" si="99"/>
        <v>0</v>
      </c>
      <c r="AB225" s="71">
        <f t="shared" si="130"/>
        <v>0</v>
      </c>
      <c r="AC225" s="71">
        <f t="shared" si="131"/>
        <v>0</v>
      </c>
      <c r="AD225" s="71">
        <f t="shared" si="132"/>
        <v>0</v>
      </c>
      <c r="AE225" s="71">
        <f t="shared" si="133"/>
        <v>0</v>
      </c>
      <c r="AF225" s="71">
        <f t="shared" si="134"/>
        <v>0</v>
      </c>
      <c r="AG225" s="71" t="e">
        <f>#REF!*$Z225</f>
        <v>#REF!</v>
      </c>
      <c r="AH225" s="71">
        <f t="shared" si="135"/>
        <v>0</v>
      </c>
      <c r="AI225" s="71">
        <f t="shared" si="136"/>
        <v>0</v>
      </c>
      <c r="AJ225" s="71">
        <f t="shared" si="137"/>
        <v>0</v>
      </c>
    </row>
    <row r="226" spans="1:36" x14ac:dyDescent="0.25">
      <c r="A226" s="14" t="str">
        <f>LCI!A86</f>
        <v>Woody Biomass (kg/yr)</v>
      </c>
      <c r="B226" s="43">
        <f>B105-B59</f>
        <v>0</v>
      </c>
      <c r="C226" s="43">
        <f t="shared" ref="C226:L226" si="146">C105-C59</f>
        <v>0</v>
      </c>
      <c r="D226" s="43">
        <f t="shared" si="146"/>
        <v>0</v>
      </c>
      <c r="E226" s="43">
        <f t="shared" si="146"/>
        <v>0</v>
      </c>
      <c r="F226" s="43"/>
      <c r="G226" s="43">
        <f t="shared" si="146"/>
        <v>0</v>
      </c>
      <c r="H226" s="43">
        <f t="shared" si="146"/>
        <v>0</v>
      </c>
      <c r="I226" s="43">
        <f t="shared" si="146"/>
        <v>0</v>
      </c>
      <c r="J226" s="43">
        <f t="shared" si="146"/>
        <v>0</v>
      </c>
      <c r="K226" s="43">
        <f t="shared" si="146"/>
        <v>0</v>
      </c>
      <c r="L226" s="43">
        <f t="shared" si="146"/>
        <v>0</v>
      </c>
      <c r="N226" s="45">
        <f>IF(EXACT(A226,LCI!A86),LCI!G86,-1*10^6)</f>
        <v>0</v>
      </c>
      <c r="O226" s="47">
        <f t="shared" si="90"/>
        <v>0</v>
      </c>
      <c r="P226" s="47">
        <f t="shared" si="91"/>
        <v>0</v>
      </c>
      <c r="Q226" s="47">
        <f t="shared" si="92"/>
        <v>0</v>
      </c>
      <c r="R226" s="47">
        <f t="shared" si="93"/>
        <v>0</v>
      </c>
      <c r="S226" s="47">
        <f t="shared" si="109"/>
        <v>0</v>
      </c>
      <c r="T226" s="47">
        <f t="shared" si="110"/>
        <v>0</v>
      </c>
      <c r="U226" s="47">
        <f t="shared" si="111"/>
        <v>0</v>
      </c>
      <c r="V226" s="47">
        <f t="shared" si="112"/>
        <v>0</v>
      </c>
      <c r="W226" s="47">
        <f t="shared" si="113"/>
        <v>0</v>
      </c>
      <c r="X226" s="47">
        <f t="shared" si="114"/>
        <v>0</v>
      </c>
      <c r="Z226" s="41">
        <f>IF(EXACT(A226,LCI!A94),LCI!H94,-1*10^6)</f>
        <v>-1000000</v>
      </c>
      <c r="AA226" s="71">
        <f t="shared" si="99"/>
        <v>0</v>
      </c>
      <c r="AB226" s="71">
        <f t="shared" si="130"/>
        <v>0</v>
      </c>
      <c r="AC226" s="71">
        <f t="shared" si="131"/>
        <v>0</v>
      </c>
      <c r="AD226" s="71">
        <f t="shared" si="132"/>
        <v>0</v>
      </c>
      <c r="AE226" s="71">
        <f t="shared" si="133"/>
        <v>0</v>
      </c>
      <c r="AF226" s="71">
        <f t="shared" si="134"/>
        <v>0</v>
      </c>
      <c r="AG226" s="71" t="e">
        <f>#REF!*$Z226</f>
        <v>#REF!</v>
      </c>
      <c r="AH226" s="71">
        <f t="shared" si="135"/>
        <v>0</v>
      </c>
      <c r="AI226" s="71">
        <f t="shared" si="136"/>
        <v>0</v>
      </c>
      <c r="AJ226" s="71">
        <f t="shared" si="137"/>
        <v>0</v>
      </c>
    </row>
    <row r="227" spans="1:36" x14ac:dyDescent="0.25">
      <c r="A227" s="14" t="str">
        <f>LCI!A87</f>
        <v>Biodiesel, Produced (kg/yr)</v>
      </c>
      <c r="B227" s="43">
        <f>B128</f>
        <v>61118.86884229719</v>
      </c>
      <c r="C227" s="43">
        <f t="shared" ref="C227:L227" si="147">C128</f>
        <v>0</v>
      </c>
      <c r="D227" s="43">
        <f t="shared" si="147"/>
        <v>0</v>
      </c>
      <c r="E227" s="43">
        <f t="shared" si="147"/>
        <v>0</v>
      </c>
      <c r="F227" s="43"/>
      <c r="G227" s="43">
        <f t="shared" si="147"/>
        <v>0</v>
      </c>
      <c r="H227" s="43">
        <f t="shared" si="147"/>
        <v>0</v>
      </c>
      <c r="I227" s="43">
        <f t="shared" si="147"/>
        <v>0</v>
      </c>
      <c r="J227" s="43">
        <f t="shared" si="147"/>
        <v>0</v>
      </c>
      <c r="K227" s="43">
        <f t="shared" si="147"/>
        <v>0</v>
      </c>
      <c r="L227" s="43">
        <f t="shared" si="147"/>
        <v>0</v>
      </c>
      <c r="N227" s="45">
        <f>IF(EXACT(A227,LCI!A87),LCI!G87,-1*10^6)</f>
        <v>0.5</v>
      </c>
      <c r="O227" s="47">
        <f t="shared" si="90"/>
        <v>30559.434421148595</v>
      </c>
      <c r="P227" s="47">
        <f t="shared" si="91"/>
        <v>0</v>
      </c>
      <c r="Q227" s="47">
        <f t="shared" si="92"/>
        <v>0</v>
      </c>
      <c r="R227" s="47">
        <f t="shared" si="93"/>
        <v>0</v>
      </c>
      <c r="S227" s="47">
        <f t="shared" si="109"/>
        <v>0</v>
      </c>
      <c r="T227" s="47">
        <f t="shared" si="110"/>
        <v>0</v>
      </c>
      <c r="U227" s="47">
        <f t="shared" si="111"/>
        <v>0</v>
      </c>
      <c r="V227" s="47">
        <f t="shared" si="112"/>
        <v>0</v>
      </c>
      <c r="W227" s="47">
        <f t="shared" si="113"/>
        <v>0</v>
      </c>
      <c r="X227" s="47">
        <f t="shared" si="114"/>
        <v>0</v>
      </c>
      <c r="Z227" s="41">
        <f>IF(EXACT(A227,LCI!A95),LCI!H95,-1*10^6)</f>
        <v>-1000000</v>
      </c>
      <c r="AA227" s="71">
        <f t="shared" si="99"/>
        <v>0</v>
      </c>
      <c r="AB227" s="71">
        <f t="shared" si="130"/>
        <v>0</v>
      </c>
      <c r="AC227" s="71">
        <f t="shared" si="131"/>
        <v>0</v>
      </c>
      <c r="AD227" s="71">
        <f t="shared" si="132"/>
        <v>0</v>
      </c>
      <c r="AE227" s="71">
        <f t="shared" si="133"/>
        <v>0</v>
      </c>
      <c r="AF227" s="71">
        <f t="shared" si="134"/>
        <v>0</v>
      </c>
      <c r="AG227" s="71" t="e">
        <f>#REF!*$Z227</f>
        <v>#REF!</v>
      </c>
      <c r="AH227" s="71">
        <f t="shared" si="135"/>
        <v>0</v>
      </c>
      <c r="AI227" s="71">
        <f t="shared" si="136"/>
        <v>0</v>
      </c>
      <c r="AJ227" s="71">
        <f t="shared" si="137"/>
        <v>0</v>
      </c>
    </row>
    <row r="228" spans="1:36" x14ac:dyDescent="0.25">
      <c r="A228" s="14" t="str">
        <f>LCI!A88</f>
        <v>Diesel, Produced (kg/yr)</v>
      </c>
      <c r="B228" s="43">
        <f>B129</f>
        <v>0</v>
      </c>
      <c r="C228" s="43">
        <f t="shared" ref="C228:L228" si="148">C129</f>
        <v>15622.043994960004</v>
      </c>
      <c r="D228" s="43">
        <f t="shared" si="148"/>
        <v>0</v>
      </c>
      <c r="E228" s="43">
        <f t="shared" si="148"/>
        <v>0</v>
      </c>
      <c r="F228" s="43"/>
      <c r="G228" s="43">
        <f t="shared" si="148"/>
        <v>0</v>
      </c>
      <c r="H228" s="43">
        <f t="shared" si="148"/>
        <v>0</v>
      </c>
      <c r="I228" s="43">
        <f t="shared" si="148"/>
        <v>231841.17450000002</v>
      </c>
      <c r="J228" s="43">
        <f t="shared" si="148"/>
        <v>0</v>
      </c>
      <c r="K228" s="43">
        <f t="shared" si="148"/>
        <v>0</v>
      </c>
      <c r="L228" s="43">
        <f t="shared" si="148"/>
        <v>0</v>
      </c>
      <c r="N228" s="45">
        <f>IF(EXACT(A228,LCI!A88),LCI!G88,-1*10^6)</f>
        <v>0.58711287199999995</v>
      </c>
      <c r="O228" s="47">
        <f t="shared" si="90"/>
        <v>0</v>
      </c>
      <c r="P228" s="47">
        <f t="shared" si="91"/>
        <v>9171.9031163913205</v>
      </c>
      <c r="Q228" s="47">
        <f t="shared" si="92"/>
        <v>0</v>
      </c>
      <c r="R228" s="47">
        <f t="shared" si="93"/>
        <v>0</v>
      </c>
      <c r="S228" s="47">
        <f t="shared" si="109"/>
        <v>0</v>
      </c>
      <c r="T228" s="47">
        <f t="shared" si="110"/>
        <v>0</v>
      </c>
      <c r="U228" s="47">
        <f t="shared" si="111"/>
        <v>136116.93780854816</v>
      </c>
      <c r="V228" s="47">
        <f t="shared" si="112"/>
        <v>0</v>
      </c>
      <c r="W228" s="47">
        <f t="shared" si="113"/>
        <v>0</v>
      </c>
      <c r="X228" s="47">
        <f t="shared" si="114"/>
        <v>0</v>
      </c>
      <c r="Z228" s="41">
        <f>IF(EXACT(A228,LCI!A96),LCI!H96,-1*10^6)</f>
        <v>-1000000</v>
      </c>
      <c r="AA228" s="71">
        <f t="shared" si="99"/>
        <v>-231841174500.00003</v>
      </c>
      <c r="AB228" s="71">
        <f t="shared" si="130"/>
        <v>-15622043994.960005</v>
      </c>
      <c r="AC228" s="71">
        <f t="shared" si="131"/>
        <v>0</v>
      </c>
      <c r="AD228" s="71">
        <f t="shared" si="132"/>
        <v>0</v>
      </c>
      <c r="AE228" s="71">
        <f t="shared" si="133"/>
        <v>0</v>
      </c>
      <c r="AF228" s="71">
        <f t="shared" si="134"/>
        <v>0</v>
      </c>
      <c r="AG228" s="71" t="e">
        <f>#REF!*$Z228</f>
        <v>#REF!</v>
      </c>
      <c r="AH228" s="71">
        <f t="shared" si="135"/>
        <v>0</v>
      </c>
      <c r="AI228" s="71">
        <f t="shared" si="136"/>
        <v>0</v>
      </c>
      <c r="AJ228" s="71">
        <f t="shared" si="137"/>
        <v>0</v>
      </c>
    </row>
    <row r="229" spans="1:36" x14ac:dyDescent="0.25">
      <c r="A229" s="14" t="str">
        <f>LCI!A89</f>
        <v>Electricity, Generated (MJ/yr)</v>
      </c>
      <c r="B229" s="43">
        <f>B113</f>
        <v>0</v>
      </c>
      <c r="C229" s="43">
        <f t="shared" ref="C229:L229" si="149">C113</f>
        <v>0</v>
      </c>
      <c r="D229" s="43">
        <f t="shared" si="149"/>
        <v>0</v>
      </c>
      <c r="E229" s="43">
        <f t="shared" si="149"/>
        <v>0</v>
      </c>
      <c r="F229" s="43"/>
      <c r="G229" s="43">
        <f t="shared" si="149"/>
        <v>0</v>
      </c>
      <c r="H229" s="43">
        <f t="shared" si="149"/>
        <v>0</v>
      </c>
      <c r="I229" s="43">
        <f t="shared" si="149"/>
        <v>0</v>
      </c>
      <c r="J229" s="43">
        <f t="shared" si="149"/>
        <v>0</v>
      </c>
      <c r="K229" s="43">
        <f t="shared" si="149"/>
        <v>0</v>
      </c>
      <c r="L229" s="43">
        <f t="shared" si="149"/>
        <v>0</v>
      </c>
      <c r="N229" s="45">
        <f>IF(EXACT(A229,LCI!A89),LCI!G89,-1*10^6)</f>
        <v>1.8722222E-2</v>
      </c>
      <c r="O229" s="47">
        <f t="shared" si="90"/>
        <v>0</v>
      </c>
      <c r="P229" s="47">
        <f t="shared" si="91"/>
        <v>0</v>
      </c>
      <c r="Q229" s="47">
        <f t="shared" si="92"/>
        <v>0</v>
      </c>
      <c r="R229" s="47">
        <f t="shared" si="93"/>
        <v>0</v>
      </c>
      <c r="S229" s="47">
        <f t="shared" si="109"/>
        <v>0</v>
      </c>
      <c r="T229" s="47">
        <f t="shared" si="110"/>
        <v>0</v>
      </c>
      <c r="U229" s="47">
        <f t="shared" si="111"/>
        <v>0</v>
      </c>
      <c r="V229" s="47">
        <f t="shared" si="112"/>
        <v>0</v>
      </c>
      <c r="W229" s="47">
        <f t="shared" si="113"/>
        <v>0</v>
      </c>
      <c r="X229" s="47">
        <f t="shared" si="114"/>
        <v>0</v>
      </c>
      <c r="Z229" s="41">
        <f>IF(EXACT(A229,LCI!A97),LCI!H97,-1*10^6)</f>
        <v>-1000000</v>
      </c>
      <c r="AA229" s="71">
        <f t="shared" si="99"/>
        <v>0</v>
      </c>
      <c r="AB229" s="71">
        <f t="shared" si="130"/>
        <v>0</v>
      </c>
      <c r="AC229" s="71">
        <f t="shared" si="131"/>
        <v>0</v>
      </c>
      <c r="AD229" s="71">
        <f t="shared" si="132"/>
        <v>0</v>
      </c>
      <c r="AE229" s="71">
        <f t="shared" si="133"/>
        <v>0</v>
      </c>
      <c r="AF229" s="71">
        <f t="shared" si="134"/>
        <v>0</v>
      </c>
      <c r="AG229" s="71" t="e">
        <f>#REF!*$Z229</f>
        <v>#REF!</v>
      </c>
      <c r="AH229" s="71">
        <f t="shared" si="135"/>
        <v>0</v>
      </c>
      <c r="AI229" s="71">
        <f t="shared" si="136"/>
        <v>0</v>
      </c>
      <c r="AJ229" s="71">
        <f t="shared" si="137"/>
        <v>0</v>
      </c>
    </row>
    <row r="230" spans="1:36" x14ac:dyDescent="0.25">
      <c r="A230" s="14" t="str">
        <f>LCI!A90</f>
        <v>Ethanol (kg/yr)</v>
      </c>
      <c r="B230" s="43">
        <f>B114-B78</f>
        <v>0</v>
      </c>
      <c r="C230" s="43">
        <f t="shared" ref="C230:L230" si="150">C114-C78</f>
        <v>0</v>
      </c>
      <c r="D230" s="43">
        <f t="shared" si="150"/>
        <v>0</v>
      </c>
      <c r="E230" s="43">
        <f t="shared" si="150"/>
        <v>0</v>
      </c>
      <c r="F230" s="43"/>
      <c r="G230" s="43">
        <f t="shared" si="150"/>
        <v>0</v>
      </c>
      <c r="H230" s="43">
        <f t="shared" si="150"/>
        <v>0</v>
      </c>
      <c r="I230" s="43">
        <f t="shared" si="150"/>
        <v>0</v>
      </c>
      <c r="J230" s="43">
        <f t="shared" si="150"/>
        <v>0</v>
      </c>
      <c r="K230" s="43">
        <f t="shared" si="150"/>
        <v>0</v>
      </c>
      <c r="L230" s="43">
        <f t="shared" si="150"/>
        <v>0</v>
      </c>
      <c r="N230" s="45">
        <f>IF(EXACT(A230,LCI!A90),LCI!G90,-1*10^6)</f>
        <v>0.42</v>
      </c>
      <c r="O230" s="47">
        <f t="shared" si="90"/>
        <v>0</v>
      </c>
      <c r="P230" s="47">
        <f t="shared" si="91"/>
        <v>0</v>
      </c>
      <c r="Q230" s="47">
        <f t="shared" si="92"/>
        <v>0</v>
      </c>
      <c r="R230" s="47">
        <f t="shared" si="93"/>
        <v>0</v>
      </c>
      <c r="S230" s="47">
        <f t="shared" si="109"/>
        <v>0</v>
      </c>
      <c r="T230" s="47">
        <f t="shared" si="110"/>
        <v>0</v>
      </c>
      <c r="U230" s="47">
        <f t="shared" si="111"/>
        <v>0</v>
      </c>
      <c r="V230" s="47">
        <f t="shared" si="112"/>
        <v>0</v>
      </c>
      <c r="W230" s="47">
        <f t="shared" si="113"/>
        <v>0</v>
      </c>
      <c r="X230" s="47">
        <f t="shared" si="114"/>
        <v>0</v>
      </c>
      <c r="Z230" s="41">
        <f>IF(EXACT(A230,LCI!A98),LCI!H98,-1*10^6)</f>
        <v>-1000000</v>
      </c>
      <c r="AA230" s="71">
        <f t="shared" si="99"/>
        <v>0</v>
      </c>
      <c r="AB230" s="71">
        <f t="shared" si="130"/>
        <v>0</v>
      </c>
      <c r="AC230" s="71">
        <f t="shared" si="131"/>
        <v>0</v>
      </c>
      <c r="AD230" s="71">
        <f t="shared" si="132"/>
        <v>0</v>
      </c>
      <c r="AE230" s="71">
        <f t="shared" si="133"/>
        <v>0</v>
      </c>
      <c r="AF230" s="71">
        <f t="shared" si="134"/>
        <v>0</v>
      </c>
      <c r="AG230" s="71" t="e">
        <f>#REF!*$Z230</f>
        <v>#REF!</v>
      </c>
      <c r="AH230" s="71">
        <f t="shared" si="135"/>
        <v>0</v>
      </c>
      <c r="AI230" s="71">
        <f t="shared" si="136"/>
        <v>0</v>
      </c>
      <c r="AJ230" s="71">
        <f t="shared" si="137"/>
        <v>0</v>
      </c>
    </row>
    <row r="231" spans="1:36" x14ac:dyDescent="0.25">
      <c r="A231" s="14" t="str">
        <f>LCI!A91</f>
        <v>Gasoline, Produced (kg/yr)</v>
      </c>
      <c r="B231" s="43">
        <f>B130</f>
        <v>0</v>
      </c>
      <c r="C231" s="43">
        <f t="shared" ref="C231:L231" si="151">C130</f>
        <v>4693.3179384000014</v>
      </c>
      <c r="D231" s="43">
        <f t="shared" si="151"/>
        <v>0</v>
      </c>
      <c r="E231" s="43">
        <f t="shared" si="151"/>
        <v>0</v>
      </c>
      <c r="F231" s="43"/>
      <c r="G231" s="43">
        <f t="shared" si="151"/>
        <v>0</v>
      </c>
      <c r="H231" s="43">
        <f t="shared" si="151"/>
        <v>0</v>
      </c>
      <c r="I231" s="43">
        <f t="shared" si="151"/>
        <v>57114.521100000005</v>
      </c>
      <c r="J231" s="43">
        <f t="shared" si="151"/>
        <v>0</v>
      </c>
      <c r="K231" s="43">
        <f t="shared" si="151"/>
        <v>0</v>
      </c>
      <c r="L231" s="43">
        <f t="shared" si="151"/>
        <v>0</v>
      </c>
      <c r="N231" s="45">
        <f>IF(EXACT(A231,LCI!A91),LCI!G91,-1*10^6)</f>
        <v>0.58711287199999995</v>
      </c>
      <c r="O231" s="47">
        <f t="shared" ref="O231:O239" si="152">B231*$N231</f>
        <v>0</v>
      </c>
      <c r="P231" s="47">
        <f t="shared" ref="P231:P239" si="153">C231*$N231</f>
        <v>2755.5073740231437</v>
      </c>
      <c r="Q231" s="47">
        <f t="shared" ref="Q231:Q239" si="154">D231*$N231</f>
        <v>0</v>
      </c>
      <c r="R231" s="47">
        <f t="shared" ref="R231:R239" si="155">E231*$N231</f>
        <v>0</v>
      </c>
      <c r="S231" s="47">
        <f t="shared" ref="S231:S239" si="156">G231*$N231</f>
        <v>0</v>
      </c>
      <c r="T231" s="47">
        <f t="shared" ref="T231:T239" si="157">H231*$N231</f>
        <v>0</v>
      </c>
      <c r="U231" s="47">
        <f t="shared" ref="U231:U239" si="158">I231*$N231</f>
        <v>33532.670515925602</v>
      </c>
      <c r="V231" s="47">
        <f t="shared" ref="V231:V239" si="159">J231*$N231</f>
        <v>0</v>
      </c>
      <c r="W231" s="47">
        <f t="shared" ref="W231:W239" si="160">K231*$N231</f>
        <v>0</v>
      </c>
      <c r="X231" s="47">
        <f t="shared" ref="X231:X239" si="161">L231*$N231</f>
        <v>0</v>
      </c>
    </row>
    <row r="232" spans="1:36" x14ac:dyDescent="0.25">
      <c r="A232" s="14" t="str">
        <f>LCI!A92</f>
        <v>Hydrogen, Produced (kg/yr)</v>
      </c>
      <c r="B232" s="43">
        <f>B115</f>
        <v>0</v>
      </c>
      <c r="C232" s="43">
        <f t="shared" ref="C232:L232" si="162">C115</f>
        <v>0</v>
      </c>
      <c r="D232" s="43">
        <f t="shared" si="162"/>
        <v>0</v>
      </c>
      <c r="E232" s="43">
        <f t="shared" si="162"/>
        <v>0</v>
      </c>
      <c r="F232" s="43"/>
      <c r="G232" s="43">
        <f t="shared" si="162"/>
        <v>0</v>
      </c>
      <c r="H232" s="43">
        <f t="shared" si="162"/>
        <v>0</v>
      </c>
      <c r="I232" s="43">
        <f t="shared" si="162"/>
        <v>0</v>
      </c>
      <c r="J232" s="43">
        <f t="shared" si="162"/>
        <v>0</v>
      </c>
      <c r="K232" s="43">
        <f t="shared" si="162"/>
        <v>0</v>
      </c>
      <c r="L232" s="43">
        <f t="shared" si="162"/>
        <v>0</v>
      </c>
      <c r="N232" s="45">
        <f>IF(EXACT(A232,LCI!A92),LCI!G92,-1*10^6)</f>
        <v>3.2160000000000002</v>
      </c>
      <c r="O232" s="47">
        <f t="shared" si="152"/>
        <v>0</v>
      </c>
      <c r="P232" s="47">
        <f t="shared" si="153"/>
        <v>0</v>
      </c>
      <c r="Q232" s="47">
        <f t="shared" si="154"/>
        <v>0</v>
      </c>
      <c r="R232" s="47">
        <f t="shared" si="155"/>
        <v>0</v>
      </c>
      <c r="S232" s="47">
        <f t="shared" si="156"/>
        <v>0</v>
      </c>
      <c r="T232" s="47">
        <f t="shared" si="157"/>
        <v>0</v>
      </c>
      <c r="U232" s="47">
        <f t="shared" si="158"/>
        <v>0</v>
      </c>
      <c r="V232" s="47">
        <f t="shared" si="159"/>
        <v>0</v>
      </c>
      <c r="W232" s="47">
        <f t="shared" si="160"/>
        <v>0</v>
      </c>
      <c r="X232" s="47">
        <f t="shared" si="161"/>
        <v>0</v>
      </c>
    </row>
    <row r="233" spans="1:36" x14ac:dyDescent="0.25">
      <c r="A233" s="14" t="str">
        <f>LCI!A93</f>
        <v>Jet A-1 (kg/yr)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N233" s="45">
        <f>IF(EXACT(A233,LCI!A93),LCI!G93,-1*10^6)</f>
        <v>0.60735814391351217</v>
      </c>
      <c r="O233" s="47">
        <f t="shared" si="152"/>
        <v>0</v>
      </c>
      <c r="P233" s="47">
        <f t="shared" si="153"/>
        <v>0</v>
      </c>
      <c r="Q233" s="47">
        <f t="shared" si="154"/>
        <v>0</v>
      </c>
      <c r="R233" s="47">
        <f t="shared" si="155"/>
        <v>0</v>
      </c>
      <c r="S233" s="47">
        <f t="shared" si="156"/>
        <v>0</v>
      </c>
      <c r="T233" s="47">
        <f t="shared" si="157"/>
        <v>0</v>
      </c>
      <c r="U233" s="47">
        <f t="shared" si="158"/>
        <v>0</v>
      </c>
      <c r="V233" s="47">
        <f t="shared" si="159"/>
        <v>0</v>
      </c>
      <c r="W233" s="47">
        <f t="shared" si="160"/>
        <v>0</v>
      </c>
      <c r="X233" s="47">
        <f t="shared" si="161"/>
        <v>0</v>
      </c>
    </row>
    <row r="234" spans="1:36" x14ac:dyDescent="0.25">
      <c r="A234" s="14" t="str">
        <f>LCI!A94</f>
        <v>Jet-A (kg/yr)</v>
      </c>
      <c r="B234" s="43">
        <f>B132</f>
        <v>0</v>
      </c>
      <c r="C234" s="43">
        <f t="shared" ref="C234:L234" si="163">C132</f>
        <v>33121.415165280006</v>
      </c>
      <c r="D234" s="43">
        <f t="shared" si="163"/>
        <v>0</v>
      </c>
      <c r="E234" s="43">
        <f t="shared" si="163"/>
        <v>0</v>
      </c>
      <c r="F234" s="43"/>
      <c r="G234" s="43">
        <f t="shared" si="163"/>
        <v>0</v>
      </c>
      <c r="H234" s="43">
        <f t="shared" si="163"/>
        <v>0</v>
      </c>
      <c r="I234" s="43">
        <f t="shared" si="163"/>
        <v>491543.09100000001</v>
      </c>
      <c r="J234" s="43">
        <f t="shared" si="163"/>
        <v>0</v>
      </c>
      <c r="K234" s="43">
        <f t="shared" si="163"/>
        <v>0</v>
      </c>
      <c r="L234" s="43">
        <f t="shared" si="163"/>
        <v>0</v>
      </c>
      <c r="N234" s="45">
        <f>IF(EXACT(A234,LCI!A94),LCI!G94,-1*10^6)</f>
        <v>0.60735814391351217</v>
      </c>
      <c r="O234" s="47">
        <f t="shared" si="152"/>
        <v>0</v>
      </c>
      <c r="P234" s="47">
        <f t="shared" si="153"/>
        <v>20116.561238573318</v>
      </c>
      <c r="Q234" s="47">
        <f t="shared" si="154"/>
        <v>0</v>
      </c>
      <c r="R234" s="47">
        <f t="shared" si="155"/>
        <v>0</v>
      </c>
      <c r="S234" s="47">
        <f t="shared" si="156"/>
        <v>0</v>
      </c>
      <c r="T234" s="47">
        <f t="shared" si="157"/>
        <v>0</v>
      </c>
      <c r="U234" s="47">
        <f t="shared" si="158"/>
        <v>298542.69940327061</v>
      </c>
      <c r="V234" s="47">
        <f t="shared" si="159"/>
        <v>0</v>
      </c>
      <c r="W234" s="47">
        <f t="shared" si="160"/>
        <v>0</v>
      </c>
      <c r="X234" s="47">
        <f t="shared" si="161"/>
        <v>0</v>
      </c>
    </row>
    <row r="235" spans="1:36" x14ac:dyDescent="0.25">
      <c r="A235" s="14" t="str">
        <f>LCI!A95</f>
        <v>JP-5 (kg/yr)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N235" s="45">
        <f>IF(EXACT(A235,LCI!A95),LCI!G95,-1*10^6)</f>
        <v>0.60735814391351217</v>
      </c>
      <c r="O235" s="47">
        <f t="shared" si="152"/>
        <v>0</v>
      </c>
      <c r="P235" s="47">
        <f t="shared" si="153"/>
        <v>0</v>
      </c>
      <c r="Q235" s="47">
        <f t="shared" si="154"/>
        <v>0</v>
      </c>
      <c r="R235" s="47">
        <f t="shared" si="155"/>
        <v>0</v>
      </c>
      <c r="S235" s="47">
        <f t="shared" si="156"/>
        <v>0</v>
      </c>
      <c r="T235" s="47">
        <f t="shared" si="157"/>
        <v>0</v>
      </c>
      <c r="U235" s="47">
        <f t="shared" si="158"/>
        <v>0</v>
      </c>
      <c r="V235" s="47">
        <f t="shared" si="159"/>
        <v>0</v>
      </c>
      <c r="W235" s="47">
        <f t="shared" si="160"/>
        <v>0</v>
      </c>
      <c r="X235" s="47">
        <f t="shared" si="161"/>
        <v>0</v>
      </c>
    </row>
    <row r="236" spans="1:36" x14ac:dyDescent="0.25">
      <c r="A236" s="14" t="str">
        <f>LCI!A96</f>
        <v>JP-8 (kg/yr)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N236" s="45">
        <f>IF(EXACT(A236,LCI!A96),LCI!G96,-1*10^6)</f>
        <v>0.60735814391351217</v>
      </c>
      <c r="O236" s="47">
        <f t="shared" si="152"/>
        <v>0</v>
      </c>
      <c r="P236" s="47">
        <f t="shared" si="153"/>
        <v>0</v>
      </c>
      <c r="Q236" s="47">
        <f t="shared" si="154"/>
        <v>0</v>
      </c>
      <c r="R236" s="47">
        <f t="shared" si="155"/>
        <v>0</v>
      </c>
      <c r="S236" s="47">
        <f t="shared" si="156"/>
        <v>0</v>
      </c>
      <c r="T236" s="47">
        <f t="shared" si="157"/>
        <v>0</v>
      </c>
      <c r="U236" s="47">
        <f t="shared" si="158"/>
        <v>0</v>
      </c>
      <c r="V236" s="47">
        <f t="shared" si="159"/>
        <v>0</v>
      </c>
      <c r="W236" s="47">
        <f t="shared" si="160"/>
        <v>0</v>
      </c>
      <c r="X236" s="47">
        <f t="shared" si="161"/>
        <v>0</v>
      </c>
    </row>
    <row r="237" spans="1:36" x14ac:dyDescent="0.25">
      <c r="A237" s="14" t="str">
        <f>LCI!A97</f>
        <v>LPG, Produced (kg/yr)</v>
      </c>
      <c r="B237" s="43">
        <f>B133</f>
        <v>0</v>
      </c>
      <c r="C237" s="43">
        <f t="shared" ref="C237:L237" si="164">C133</f>
        <v>4022.8439472000009</v>
      </c>
      <c r="D237" s="43">
        <f t="shared" si="164"/>
        <v>0</v>
      </c>
      <c r="E237" s="43">
        <f t="shared" si="164"/>
        <v>0</v>
      </c>
      <c r="F237" s="43"/>
      <c r="G237" s="43">
        <f t="shared" si="164"/>
        <v>0</v>
      </c>
      <c r="H237" s="43">
        <f t="shared" si="164"/>
        <v>0</v>
      </c>
      <c r="I237" s="43">
        <f t="shared" si="164"/>
        <v>59701.59</v>
      </c>
      <c r="J237" s="43">
        <f t="shared" si="164"/>
        <v>0</v>
      </c>
      <c r="K237" s="43">
        <f t="shared" si="164"/>
        <v>0</v>
      </c>
      <c r="L237" s="43">
        <f t="shared" si="164"/>
        <v>0</v>
      </c>
      <c r="N237" s="45">
        <f>IF(EXACT(A237,LCI!A97),LCI!G97,-1*10^6)</f>
        <v>0.64400000000000002</v>
      </c>
      <c r="O237" s="47">
        <f t="shared" si="152"/>
        <v>0</v>
      </c>
      <c r="P237" s="47">
        <f t="shared" si="153"/>
        <v>2590.7115019968005</v>
      </c>
      <c r="Q237" s="47">
        <f t="shared" si="154"/>
        <v>0</v>
      </c>
      <c r="R237" s="47">
        <f t="shared" si="155"/>
        <v>0</v>
      </c>
      <c r="S237" s="47">
        <f t="shared" si="156"/>
        <v>0</v>
      </c>
      <c r="T237" s="47">
        <f t="shared" si="157"/>
        <v>0</v>
      </c>
      <c r="U237" s="47">
        <f t="shared" si="158"/>
        <v>38447.823960000002</v>
      </c>
      <c r="V237" s="47">
        <f t="shared" si="159"/>
        <v>0</v>
      </c>
      <c r="W237" s="47">
        <f t="shared" si="160"/>
        <v>0</v>
      </c>
      <c r="X237" s="47">
        <f t="shared" si="161"/>
        <v>0</v>
      </c>
    </row>
    <row r="238" spans="1:36" x14ac:dyDescent="0.25">
      <c r="A238" s="14" t="str">
        <f>LCI!A98</f>
        <v>Naptha (kg/yr)</v>
      </c>
      <c r="B238" s="43">
        <f>B134</f>
        <v>0</v>
      </c>
      <c r="C238" s="43">
        <f t="shared" ref="C238:L238" si="165">C134</f>
        <v>0</v>
      </c>
      <c r="D238" s="43">
        <f t="shared" si="165"/>
        <v>0</v>
      </c>
      <c r="E238" s="43">
        <f t="shared" si="165"/>
        <v>0</v>
      </c>
      <c r="F238" s="43"/>
      <c r="G238" s="43">
        <f t="shared" si="165"/>
        <v>0</v>
      </c>
      <c r="H238" s="43">
        <f t="shared" si="165"/>
        <v>0</v>
      </c>
      <c r="I238" s="43">
        <f t="shared" si="165"/>
        <v>0</v>
      </c>
      <c r="J238" s="43">
        <f t="shared" si="165"/>
        <v>0</v>
      </c>
      <c r="K238" s="43">
        <f t="shared" si="165"/>
        <v>0</v>
      </c>
      <c r="L238" s="43">
        <f t="shared" si="165"/>
        <v>0</v>
      </c>
      <c r="N238" s="45">
        <f>IF(EXACT(A238,LCI!A98),LCI!G98,-1*10^6)</f>
        <v>0.55000000000000004</v>
      </c>
      <c r="O238" s="47">
        <f t="shared" si="152"/>
        <v>0</v>
      </c>
      <c r="P238" s="47">
        <f t="shared" si="153"/>
        <v>0</v>
      </c>
      <c r="Q238" s="47">
        <f t="shared" si="154"/>
        <v>0</v>
      </c>
      <c r="R238" s="47">
        <f t="shared" si="155"/>
        <v>0</v>
      </c>
      <c r="S238" s="47">
        <f t="shared" si="156"/>
        <v>0</v>
      </c>
      <c r="T238" s="47">
        <f t="shared" si="157"/>
        <v>0</v>
      </c>
      <c r="U238" s="47">
        <f t="shared" si="158"/>
        <v>0</v>
      </c>
      <c r="V238" s="47">
        <f t="shared" si="159"/>
        <v>0</v>
      </c>
      <c r="W238" s="47">
        <f t="shared" si="160"/>
        <v>0</v>
      </c>
      <c r="X238" s="47">
        <f t="shared" si="161"/>
        <v>0</v>
      </c>
    </row>
    <row r="239" spans="1:36" x14ac:dyDescent="0.25">
      <c r="A239" s="14" t="str">
        <f>LCI!A99</f>
        <v>Propane, Produced (kg/yr)</v>
      </c>
      <c r="B239" s="43">
        <f>B135</f>
        <v>0</v>
      </c>
      <c r="C239" s="43">
        <f t="shared" ref="C239:L239" si="166">C135</f>
        <v>2815.9907630400007</v>
      </c>
      <c r="D239" s="43">
        <f t="shared" si="166"/>
        <v>0</v>
      </c>
      <c r="E239" s="43">
        <f t="shared" si="166"/>
        <v>0</v>
      </c>
      <c r="F239" s="43"/>
      <c r="G239" s="43">
        <f t="shared" si="166"/>
        <v>0</v>
      </c>
      <c r="H239" s="43">
        <f t="shared" si="166"/>
        <v>0</v>
      </c>
      <c r="I239" s="43">
        <f t="shared" si="166"/>
        <v>41791.113000000005</v>
      </c>
      <c r="J239" s="43">
        <f t="shared" si="166"/>
        <v>0</v>
      </c>
      <c r="K239" s="43">
        <f t="shared" si="166"/>
        <v>0</v>
      </c>
      <c r="L239" s="43">
        <f t="shared" si="166"/>
        <v>0</v>
      </c>
      <c r="N239" s="45">
        <f>IF(EXACT(A239,LCI!A99),LCI!G99,-1*10^6)</f>
        <v>0.19768720400000001</v>
      </c>
      <c r="O239" s="47">
        <f t="shared" si="152"/>
        <v>0</v>
      </c>
      <c r="P239" s="47">
        <f t="shared" si="153"/>
        <v>556.68534043520435</v>
      </c>
      <c r="Q239" s="47">
        <f t="shared" si="154"/>
        <v>0</v>
      </c>
      <c r="R239" s="47">
        <f t="shared" si="155"/>
        <v>0</v>
      </c>
      <c r="S239" s="47">
        <f t="shared" si="156"/>
        <v>0</v>
      </c>
      <c r="T239" s="47">
        <f t="shared" si="157"/>
        <v>0</v>
      </c>
      <c r="U239" s="47">
        <f t="shared" si="158"/>
        <v>8261.5682810180533</v>
      </c>
      <c r="V239" s="47">
        <f t="shared" si="159"/>
        <v>0</v>
      </c>
      <c r="W239" s="47">
        <f t="shared" si="160"/>
        <v>0</v>
      </c>
      <c r="X239" s="47">
        <f t="shared" si="161"/>
        <v>0</v>
      </c>
    </row>
    <row r="242" spans="14:36" x14ac:dyDescent="0.25">
      <c r="N242" s="48" t="str">
        <f>A148</f>
        <v>Land Cost ($)</v>
      </c>
      <c r="O242" s="49">
        <f t="shared" ref="O242:X242" si="167">O148</f>
        <v>1654900</v>
      </c>
      <c r="P242" s="49">
        <f t="shared" si="167"/>
        <v>1654900</v>
      </c>
      <c r="Q242" s="49">
        <f t="shared" si="167"/>
        <v>1654900</v>
      </c>
      <c r="R242" s="49">
        <f t="shared" si="167"/>
        <v>1654900</v>
      </c>
      <c r="S242" s="49">
        <f t="shared" si="167"/>
        <v>0</v>
      </c>
      <c r="T242" s="49">
        <f t="shared" si="167"/>
        <v>0</v>
      </c>
      <c r="U242" s="49">
        <f t="shared" si="167"/>
        <v>508079</v>
      </c>
      <c r="V242" s="49">
        <f t="shared" si="167"/>
        <v>0</v>
      </c>
      <c r="W242" s="49">
        <f t="shared" si="167"/>
        <v>0</v>
      </c>
      <c r="X242" s="49">
        <f t="shared" si="167"/>
        <v>0</v>
      </c>
      <c r="Z242" s="73" t="s">
        <v>2371</v>
      </c>
      <c r="AA242" s="72">
        <f t="shared" ref="AA242:AJ242" si="168">SUM(AA148:AA195,AA200:AA204)</f>
        <v>-6052379224349.1992</v>
      </c>
      <c r="AB242" s="72">
        <f t="shared" si="168"/>
        <v>-3221426266.6454334</v>
      </c>
      <c r="AC242" s="72" t="e">
        <f t="shared" si="168"/>
        <v>#VALUE!</v>
      </c>
      <c r="AD242" s="72">
        <f t="shared" si="168"/>
        <v>-1259374109.321584</v>
      </c>
      <c r="AE242" s="72">
        <f t="shared" si="168"/>
        <v>0</v>
      </c>
      <c r="AF242" s="72">
        <f t="shared" si="168"/>
        <v>0</v>
      </c>
      <c r="AG242" s="72" t="e">
        <f t="shared" si="168"/>
        <v>#REF!</v>
      </c>
      <c r="AH242" s="72">
        <f t="shared" si="168"/>
        <v>0</v>
      </c>
      <c r="AI242" s="72">
        <f t="shared" si="168"/>
        <v>0</v>
      </c>
      <c r="AJ242" s="72">
        <f t="shared" si="168"/>
        <v>0</v>
      </c>
    </row>
    <row r="243" spans="14:36" x14ac:dyDescent="0.25">
      <c r="N243" s="48" t="str">
        <f>A149</f>
        <v>Capital Cost ($)</v>
      </c>
      <c r="O243" s="49">
        <f t="shared" ref="O243:X243" si="169">O149</f>
        <v>892360.31424937642</v>
      </c>
      <c r="P243" s="49">
        <f t="shared" si="169"/>
        <v>867930.2880618216</v>
      </c>
      <c r="Q243" s="49">
        <f t="shared" si="169"/>
        <v>3526700.6</v>
      </c>
      <c r="R243" s="49">
        <f t="shared" si="169"/>
        <v>597740</v>
      </c>
      <c r="S243" s="49">
        <f t="shared" si="169"/>
        <v>0</v>
      </c>
      <c r="T243" s="49">
        <f t="shared" si="169"/>
        <v>0</v>
      </c>
      <c r="U243" s="49">
        <f t="shared" si="169"/>
        <v>43796587.548854999</v>
      </c>
      <c r="V243" s="49">
        <f t="shared" si="169"/>
        <v>0</v>
      </c>
      <c r="W243" s="49">
        <f t="shared" si="169"/>
        <v>0</v>
      </c>
      <c r="X243" s="49">
        <f t="shared" si="169"/>
        <v>0</v>
      </c>
      <c r="Z243" s="73" t="s">
        <v>2372</v>
      </c>
      <c r="AA243" s="72" t="e">
        <f>SUM(AA205:AA217,AA220,AA224,#REF!)</f>
        <v>#REF!</v>
      </c>
      <c r="AB243" s="72" t="e">
        <f>SUM(AB205:AB217,AB220,AB224,#REF!)</f>
        <v>#REF!</v>
      </c>
      <c r="AC243" s="72" t="e">
        <f>SUM(AC205:AC217,AC220,AC224,#REF!)</f>
        <v>#REF!</v>
      </c>
      <c r="AD243" s="72" t="e">
        <f>SUM(AD205:AD217,AD220,AD224,#REF!)</f>
        <v>#REF!</v>
      </c>
      <c r="AE243" s="72" t="e">
        <f>SUM(AE205:AE217,AE220,AE224,#REF!)</f>
        <v>#REF!</v>
      </c>
      <c r="AF243" s="72" t="e">
        <f>SUM(AF205:AF217,AF220,AF224,#REF!)</f>
        <v>#REF!</v>
      </c>
      <c r="AG243" s="72" t="e">
        <f>SUM(AG205:AG217,AG220,AG224,#REF!)</f>
        <v>#REF!</v>
      </c>
      <c r="AH243" s="72" t="e">
        <f>SUM(AH205:AH217,AH220,AH224,#REF!)</f>
        <v>#REF!</v>
      </c>
      <c r="AI243" s="72" t="e">
        <f>SUM(AI205:AI217,AI220,AI224,#REF!)</f>
        <v>#REF!</v>
      </c>
      <c r="AJ243" s="72" t="e">
        <f>SUM(AJ205:AJ217,AJ220,AJ224,#REF!)</f>
        <v>#REF!</v>
      </c>
    </row>
    <row r="244" spans="14:36" x14ac:dyDescent="0.25">
      <c r="N244" s="48" t="str">
        <f>A150</f>
        <v>Labor ($/yr)</v>
      </c>
      <c r="O244" s="49">
        <f t="shared" ref="O244:X244" si="170">O150</f>
        <v>7760.0671445288344</v>
      </c>
      <c r="P244" s="49">
        <f t="shared" si="170"/>
        <v>7760.0671445288344</v>
      </c>
      <c r="Q244" s="49">
        <f t="shared" si="170"/>
        <v>36296.839999999997</v>
      </c>
      <c r="R244" s="49">
        <f t="shared" si="170"/>
        <v>8148.5300000000007</v>
      </c>
      <c r="S244" s="49">
        <f t="shared" si="170"/>
        <v>0</v>
      </c>
      <c r="T244" s="49">
        <f t="shared" si="170"/>
        <v>0</v>
      </c>
      <c r="U244" s="49">
        <f t="shared" si="170"/>
        <v>1374828.5328768231</v>
      </c>
      <c r="V244" s="49">
        <f t="shared" si="170"/>
        <v>0</v>
      </c>
      <c r="W244" s="49">
        <f t="shared" si="170"/>
        <v>0</v>
      </c>
      <c r="X244" s="49">
        <f t="shared" si="170"/>
        <v>0</v>
      </c>
    </row>
    <row r="245" spans="14:36" x14ac:dyDescent="0.25">
      <c r="N245" s="48" t="s">
        <v>2373</v>
      </c>
      <c r="O245" s="49">
        <f>SUM(O153:O197)</f>
        <v>21777.423459186804</v>
      </c>
      <c r="P245" s="49">
        <f t="shared" ref="P245:X245" si="171">SUM(P153:P197)</f>
        <v>30441.528697789232</v>
      </c>
      <c r="Q245" s="49" t="e">
        <f t="shared" si="171"/>
        <v>#VALUE!</v>
      </c>
      <c r="R245" s="49" t="e">
        <f t="shared" si="171"/>
        <v>#VALUE!</v>
      </c>
      <c r="S245" s="49">
        <f t="shared" si="171"/>
        <v>0</v>
      </c>
      <c r="T245" s="49">
        <f t="shared" si="171"/>
        <v>0</v>
      </c>
      <c r="U245" s="49">
        <f t="shared" si="171"/>
        <v>2531580.1635603141</v>
      </c>
      <c r="V245" s="49">
        <f t="shared" si="171"/>
        <v>0</v>
      </c>
      <c r="W245" s="49">
        <f t="shared" si="171"/>
        <v>0</v>
      </c>
      <c r="X245" s="49">
        <f t="shared" si="171"/>
        <v>0</v>
      </c>
    </row>
    <row r="246" spans="14:36" x14ac:dyDescent="0.25">
      <c r="N246" s="48" t="s">
        <v>2374</v>
      </c>
      <c r="O246" s="49">
        <f t="shared" ref="O246:X246" si="172">SUM(O201:O204)</f>
        <v>0</v>
      </c>
      <c r="P246" s="49">
        <f t="shared" si="172"/>
        <v>0</v>
      </c>
      <c r="Q246" s="49">
        <f t="shared" si="172"/>
        <v>0</v>
      </c>
      <c r="R246" s="49">
        <f t="shared" si="172"/>
        <v>0</v>
      </c>
      <c r="S246" s="49">
        <f t="shared" si="172"/>
        <v>0</v>
      </c>
      <c r="T246" s="49">
        <f t="shared" si="172"/>
        <v>0</v>
      </c>
      <c r="U246" s="49">
        <f t="shared" si="172"/>
        <v>0</v>
      </c>
      <c r="V246" s="49">
        <f t="shared" si="172"/>
        <v>0</v>
      </c>
      <c r="W246" s="49">
        <f t="shared" si="172"/>
        <v>0</v>
      </c>
      <c r="X246" s="49">
        <f t="shared" si="172"/>
        <v>0</v>
      </c>
    </row>
    <row r="247" spans="14:36" x14ac:dyDescent="0.25">
      <c r="N247" s="48" t="s">
        <v>2375</v>
      </c>
      <c r="O247" s="49">
        <f>SUM(O200:O239)</f>
        <v>113475.06433980539</v>
      </c>
      <c r="P247" s="49">
        <f>SUM(P200:P239)</f>
        <v>117324.43249341982</v>
      </c>
      <c r="Q247" s="49">
        <f t="shared" ref="Q247:X247" si="173">SUM(Q200:Q239)</f>
        <v>0</v>
      </c>
      <c r="R247" s="49">
        <f t="shared" si="173"/>
        <v>0</v>
      </c>
      <c r="S247" s="49">
        <f t="shared" si="173"/>
        <v>0</v>
      </c>
      <c r="T247" s="49">
        <f t="shared" si="173"/>
        <v>0</v>
      </c>
      <c r="U247" s="49">
        <f t="shared" si="173"/>
        <v>1891497.374968762</v>
      </c>
      <c r="V247" s="49">
        <f t="shared" si="173"/>
        <v>0</v>
      </c>
      <c r="W247" s="49">
        <f t="shared" si="173"/>
        <v>0</v>
      </c>
      <c r="X247" s="49">
        <f t="shared" si="173"/>
        <v>0</v>
      </c>
    </row>
  </sheetData>
  <sortState xmlns:xlrd2="http://schemas.microsoft.com/office/spreadsheetml/2017/richdata2" ref="A110:AJ121">
    <sortCondition ref="A110:A1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zoomScale="140" zoomScaleNormal="140" workbookViewId="0">
      <selection activeCell="C6" sqref="C6"/>
    </sheetView>
  </sheetViews>
  <sheetFormatPr defaultColWidth="8.875" defaultRowHeight="15" x14ac:dyDescent="0.25"/>
  <cols>
    <col min="1" max="1" width="27.5" style="89" customWidth="1"/>
    <col min="2" max="2" width="17.375" style="88" customWidth="1"/>
    <col min="3" max="3" width="21.125" style="88" customWidth="1"/>
    <col min="4" max="4" width="62.5" style="88" customWidth="1"/>
    <col min="5" max="13" width="8.875" style="88"/>
    <col min="14" max="14" width="27.5" style="88" customWidth="1"/>
    <col min="15" max="15" width="17.375" style="88" customWidth="1"/>
    <col min="16" max="16" width="21.125" style="88" customWidth="1"/>
    <col min="17" max="17" width="62.5" style="88" customWidth="1"/>
    <col min="18" max="16384" width="8.875" style="88"/>
  </cols>
  <sheetData>
    <row r="1" spans="1:17" ht="18" customHeight="1" x14ac:dyDescent="0.25">
      <c r="A1" s="104" t="s">
        <v>2376</v>
      </c>
      <c r="B1" s="105" t="s">
        <v>2377</v>
      </c>
      <c r="C1" s="106" t="s">
        <v>2378</v>
      </c>
      <c r="D1" s="107" t="s">
        <v>2379</v>
      </c>
      <c r="E1" s="107" t="s">
        <v>2380</v>
      </c>
      <c r="F1" s="85" t="s">
        <v>35</v>
      </c>
      <c r="G1" s="85" t="s">
        <v>36</v>
      </c>
      <c r="H1" s="85" t="s">
        <v>37</v>
      </c>
      <c r="I1" s="85" t="s">
        <v>38</v>
      </c>
      <c r="J1" s="85" t="s">
        <v>39</v>
      </c>
      <c r="L1" s="88" t="s">
        <v>2381</v>
      </c>
      <c r="N1" s="122" t="s">
        <v>2382</v>
      </c>
      <c r="O1" s="122"/>
      <c r="P1" s="122"/>
      <c r="Q1" s="122"/>
    </row>
    <row r="2" spans="1:17" x14ac:dyDescent="0.25">
      <c r="A2" s="225" t="s">
        <v>2296</v>
      </c>
      <c r="B2" s="119">
        <v>100</v>
      </c>
      <c r="C2" s="226" t="s">
        <v>2383</v>
      </c>
      <c r="D2" s="107"/>
      <c r="E2" s="227"/>
      <c r="N2" s="268" t="s">
        <v>2384</v>
      </c>
      <c r="O2" s="268"/>
      <c r="P2" s="268"/>
      <c r="Q2" s="268"/>
    </row>
    <row r="3" spans="1:17" x14ac:dyDescent="0.25">
      <c r="A3" s="289" t="s">
        <v>2011</v>
      </c>
      <c r="B3" s="109">
        <v>16549</v>
      </c>
      <c r="C3" s="227" t="s">
        <v>2386</v>
      </c>
      <c r="D3" s="131" t="s">
        <v>2387</v>
      </c>
      <c r="E3" s="227" t="s">
        <v>2388</v>
      </c>
      <c r="N3" s="104" t="s">
        <v>2389</v>
      </c>
      <c r="O3" s="104" t="s">
        <v>2390</v>
      </c>
      <c r="P3" s="106" t="s">
        <v>2378</v>
      </c>
      <c r="Q3" s="107" t="s">
        <v>2379</v>
      </c>
    </row>
    <row r="4" spans="1:17" x14ac:dyDescent="0.25">
      <c r="A4" s="228" t="s">
        <v>2015</v>
      </c>
      <c r="B4" s="109">
        <v>6817</v>
      </c>
      <c r="C4" s="227" t="s">
        <v>2386</v>
      </c>
      <c r="D4" s="110" t="s">
        <v>2391</v>
      </c>
      <c r="E4" s="227" t="s">
        <v>2388</v>
      </c>
      <c r="N4" s="197" t="s">
        <v>2392</v>
      </c>
      <c r="O4" s="223">
        <f>O24*B7*(44/12)/100</f>
        <v>508889.75932080013</v>
      </c>
      <c r="P4" s="198" t="s">
        <v>2393</v>
      </c>
      <c r="Q4" s="110"/>
    </row>
    <row r="5" spans="1:17" x14ac:dyDescent="0.25">
      <c r="A5" s="228" t="s">
        <v>2017</v>
      </c>
      <c r="B5" s="109">
        <f>25*2.47</f>
        <v>61.750000000000007</v>
      </c>
      <c r="C5" s="227" t="s">
        <v>2394</v>
      </c>
      <c r="D5" s="110" t="s">
        <v>2391</v>
      </c>
      <c r="E5" s="227" t="s">
        <v>2388</v>
      </c>
      <c r="N5" s="115" t="s">
        <v>2100</v>
      </c>
      <c r="O5" s="110">
        <f>0.00194595*B6*B2</f>
        <v>23351.399999999998</v>
      </c>
      <c r="P5" s="110" t="s">
        <v>2393</v>
      </c>
      <c r="Q5" s="110"/>
    </row>
    <row r="6" spans="1:17" x14ac:dyDescent="0.25">
      <c r="A6" s="108" t="s">
        <v>2100</v>
      </c>
      <c r="B6" s="109">
        <v>120000</v>
      </c>
      <c r="C6" s="227" t="s">
        <v>2395</v>
      </c>
      <c r="D6" s="110" t="s">
        <v>2396</v>
      </c>
      <c r="E6" s="227" t="s">
        <v>2388</v>
      </c>
      <c r="N6" s="115" t="s">
        <v>2083</v>
      </c>
      <c r="O6" s="120">
        <f>B8*$O$24</f>
        <v>603.4265920800002</v>
      </c>
      <c r="P6" s="110" t="s">
        <v>2393</v>
      </c>
      <c r="Q6" s="110"/>
    </row>
    <row r="7" spans="1:17" x14ac:dyDescent="0.25">
      <c r="A7" s="108" t="s">
        <v>2397</v>
      </c>
      <c r="B7" s="109">
        <v>46</v>
      </c>
      <c r="C7" s="227" t="s">
        <v>2398</v>
      </c>
      <c r="D7" s="110"/>
      <c r="E7" s="227" t="s">
        <v>2388</v>
      </c>
      <c r="N7" s="115" t="s">
        <v>2089</v>
      </c>
      <c r="O7" s="120">
        <f t="shared" ref="O7:O8" si="0">B9*$O$24</f>
        <v>1074.2693132241131</v>
      </c>
      <c r="P7" s="110" t="s">
        <v>2393</v>
      </c>
      <c r="Q7" s="110"/>
    </row>
    <row r="8" spans="1:17" x14ac:dyDescent="0.25">
      <c r="A8" s="108" t="s">
        <v>2083</v>
      </c>
      <c r="B8" s="109">
        <v>2E-3</v>
      </c>
      <c r="C8" s="227" t="s">
        <v>2399</v>
      </c>
      <c r="D8" s="110" t="s">
        <v>2400</v>
      </c>
      <c r="E8" s="227" t="s">
        <v>2388</v>
      </c>
      <c r="N8" s="115" t="s">
        <v>2095</v>
      </c>
      <c r="O8" s="120">
        <f t="shared" si="0"/>
        <v>3379.8308588310647</v>
      </c>
      <c r="P8" s="110" t="s">
        <v>2393</v>
      </c>
      <c r="Q8" s="110"/>
    </row>
    <row r="9" spans="1:17" x14ac:dyDescent="0.25">
      <c r="A9" s="108" t="s">
        <v>2089</v>
      </c>
      <c r="B9" s="109">
        <f>0.0079*(64/142)</f>
        <v>3.5605633802816908E-3</v>
      </c>
      <c r="C9" s="227" t="s">
        <v>2399</v>
      </c>
      <c r="D9" s="110" t="s">
        <v>2400</v>
      </c>
      <c r="E9" s="227" t="s">
        <v>2388</v>
      </c>
      <c r="N9" s="115" t="s">
        <v>2401</v>
      </c>
      <c r="O9" s="120">
        <f>B11*B$2</f>
        <v>0</v>
      </c>
      <c r="P9" s="110" t="s">
        <v>2393</v>
      </c>
      <c r="Q9" s="110"/>
    </row>
    <row r="10" spans="1:17" x14ac:dyDescent="0.25">
      <c r="A10" s="108" t="s">
        <v>2095</v>
      </c>
      <c r="B10" s="109">
        <f>0.0135*(78/94)</f>
        <v>1.1202127659574467E-2</v>
      </c>
      <c r="C10" s="227" t="s">
        <v>2399</v>
      </c>
      <c r="D10" s="110" t="s">
        <v>2402</v>
      </c>
      <c r="E10" s="227" t="s">
        <v>2388</v>
      </c>
      <c r="N10" s="115" t="s">
        <v>2061</v>
      </c>
      <c r="O10" s="120">
        <f>B12*O24</f>
        <v>241.37063683200009</v>
      </c>
      <c r="P10" s="110" t="s">
        <v>2393</v>
      </c>
      <c r="Q10" s="110"/>
    </row>
    <row r="11" spans="1:17" x14ac:dyDescent="0.25">
      <c r="A11" s="228" t="s">
        <v>2074</v>
      </c>
      <c r="B11" s="127">
        <v>0</v>
      </c>
      <c r="C11" s="227" t="s">
        <v>2403</v>
      </c>
      <c r="D11" s="128" t="s">
        <v>2404</v>
      </c>
      <c r="E11" s="110" t="s">
        <v>2388</v>
      </c>
      <c r="N11" s="115" t="s">
        <v>2072</v>
      </c>
      <c r="O11" s="120">
        <f>B13*O24</f>
        <v>6.0342659208000029</v>
      </c>
      <c r="P11" s="110" t="s">
        <v>2393</v>
      </c>
      <c r="Q11" s="110"/>
    </row>
    <row r="12" spans="1:17" x14ac:dyDescent="0.25">
      <c r="A12" s="108" t="s">
        <v>2061</v>
      </c>
      <c r="B12" s="127">
        <v>8.0000000000000004E-4</v>
      </c>
      <c r="C12" s="227" t="s">
        <v>2399</v>
      </c>
      <c r="D12" s="128" t="s">
        <v>2405</v>
      </c>
      <c r="E12" s="227" t="s">
        <v>2388</v>
      </c>
      <c r="N12" s="115" t="s">
        <v>2406</v>
      </c>
      <c r="O12" s="110">
        <f>B16*B2</f>
        <v>575000</v>
      </c>
      <c r="P12" s="110" t="s">
        <v>2407</v>
      </c>
      <c r="Q12" s="110"/>
    </row>
    <row r="13" spans="1:17" x14ac:dyDescent="0.25">
      <c r="A13" s="108" t="s">
        <v>2072</v>
      </c>
      <c r="B13" s="129">
        <v>2.0000000000000002E-5</v>
      </c>
      <c r="C13" s="227" t="s">
        <v>2399</v>
      </c>
      <c r="D13" s="130" t="s">
        <v>2381</v>
      </c>
      <c r="E13" s="227" t="s">
        <v>2388</v>
      </c>
      <c r="N13" s="115" t="s">
        <v>2125</v>
      </c>
      <c r="O13" s="120">
        <f>B17*O$24</f>
        <v>4676.5560886200019</v>
      </c>
      <c r="P13" s="110" t="s">
        <v>2393</v>
      </c>
      <c r="Q13" s="110"/>
    </row>
    <row r="14" spans="1:17" x14ac:dyDescent="0.25">
      <c r="A14" s="108" t="s">
        <v>2192</v>
      </c>
      <c r="B14" s="127">
        <f>((51.6*52.2)/2000)*0.907*2.47*1000</f>
        <v>3017.1329604000011</v>
      </c>
      <c r="C14" s="227" t="s">
        <v>2403</v>
      </c>
      <c r="D14" s="128" t="s">
        <v>2408</v>
      </c>
      <c r="E14" s="110" t="s">
        <v>2409</v>
      </c>
      <c r="N14" s="115" t="s">
        <v>2133</v>
      </c>
      <c r="O14" s="120">
        <f>B18*O$24</f>
        <v>1055.9965361400004</v>
      </c>
      <c r="P14" s="110" t="s">
        <v>2393</v>
      </c>
      <c r="Q14" s="110"/>
    </row>
    <row r="15" spans="1:17" x14ac:dyDescent="0.25">
      <c r="A15" s="108" t="s">
        <v>2410</v>
      </c>
      <c r="B15" s="109">
        <v>1.325E-2</v>
      </c>
      <c r="C15" s="110" t="s">
        <v>2411</v>
      </c>
      <c r="D15" s="110" t="s">
        <v>2412</v>
      </c>
      <c r="E15" s="227"/>
      <c r="N15" s="115" t="s">
        <v>2138</v>
      </c>
      <c r="O15" s="120">
        <f>B19*O$24</f>
        <v>205.76846789928007</v>
      </c>
      <c r="P15" s="110" t="s">
        <v>2393</v>
      </c>
      <c r="Q15" s="110"/>
    </row>
    <row r="16" spans="1:17" x14ac:dyDescent="0.25">
      <c r="A16" s="228" t="s">
        <v>2322</v>
      </c>
      <c r="B16" s="121">
        <v>5750</v>
      </c>
      <c r="C16" s="229" t="s">
        <v>2413</v>
      </c>
      <c r="D16" s="110"/>
      <c r="E16" s="227" t="s">
        <v>2388</v>
      </c>
      <c r="N16" s="115" t="s">
        <v>2145</v>
      </c>
      <c r="O16" s="120">
        <f>B20*O$24</f>
        <v>264.90427392312006</v>
      </c>
      <c r="P16" s="110" t="s">
        <v>2393</v>
      </c>
      <c r="Q16" s="110"/>
    </row>
    <row r="17" spans="1:17" x14ac:dyDescent="0.25">
      <c r="A17" s="108" t="s">
        <v>2125</v>
      </c>
      <c r="B17" s="109">
        <v>1.55E-2</v>
      </c>
      <c r="C17" s="230" t="s">
        <v>2399</v>
      </c>
      <c r="D17" s="110" t="s">
        <v>2414</v>
      </c>
      <c r="E17" s="227" t="s">
        <v>2388</v>
      </c>
      <c r="N17" s="115" t="s">
        <v>2415</v>
      </c>
      <c r="O17" s="120">
        <f>B21*O$24</f>
        <v>10740.993339024004</v>
      </c>
      <c r="P17" s="110" t="s">
        <v>2416</v>
      </c>
      <c r="Q17" s="110"/>
    </row>
    <row r="18" spans="1:17" x14ac:dyDescent="0.25">
      <c r="A18" s="108" t="s">
        <v>2133</v>
      </c>
      <c r="B18" s="109">
        <v>3.5000000000000001E-3</v>
      </c>
      <c r="C18" s="230" t="s">
        <v>2399</v>
      </c>
      <c r="D18" s="110" t="s">
        <v>2414</v>
      </c>
      <c r="E18" s="227" t="s">
        <v>2388</v>
      </c>
      <c r="N18" s="115" t="s">
        <v>2015</v>
      </c>
      <c r="O18" s="120">
        <f>B4*B$2</f>
        <v>681700</v>
      </c>
      <c r="P18" s="110" t="s">
        <v>2417</v>
      </c>
      <c r="Q18" s="110"/>
    </row>
    <row r="19" spans="1:17" x14ac:dyDescent="0.25">
      <c r="A19" s="108" t="s">
        <v>2138</v>
      </c>
      <c r="B19" s="109">
        <f>0.0341/LCI!E53</f>
        <v>6.8199999999999999E-4</v>
      </c>
      <c r="C19" s="230" t="s">
        <v>2399</v>
      </c>
      <c r="D19" s="110" t="s">
        <v>2381</v>
      </c>
      <c r="E19" s="227" t="s">
        <v>2388</v>
      </c>
      <c r="N19" s="115" t="s">
        <v>2385</v>
      </c>
      <c r="O19" s="120">
        <f>B3*B$2</f>
        <v>1654900</v>
      </c>
      <c r="P19" s="110" t="s">
        <v>2417</v>
      </c>
      <c r="Q19" s="110"/>
    </row>
    <row r="20" spans="1:17" x14ac:dyDescent="0.25">
      <c r="A20" s="228" t="s">
        <v>2145</v>
      </c>
      <c r="B20" s="109">
        <f>(0.0439)/LCI!E56</f>
        <v>8.7799999999999998E-4</v>
      </c>
      <c r="C20" s="230" t="s">
        <v>2399</v>
      </c>
      <c r="D20" s="110" t="s">
        <v>2381</v>
      </c>
      <c r="E20" s="227" t="s">
        <v>2388</v>
      </c>
      <c r="N20" s="115" t="s">
        <v>2017</v>
      </c>
      <c r="O20" s="120">
        <f>B5*B$2</f>
        <v>6175.0000000000009</v>
      </c>
      <c r="P20" s="110" t="s">
        <v>2418</v>
      </c>
      <c r="Q20" s="110"/>
    </row>
    <row r="21" spans="1:17" x14ac:dyDescent="0.25">
      <c r="A21" s="108" t="s">
        <v>2127</v>
      </c>
      <c r="B21" s="109">
        <v>3.56E-2</v>
      </c>
      <c r="C21" s="230" t="s">
        <v>2419</v>
      </c>
      <c r="D21" s="110" t="s">
        <v>2414</v>
      </c>
      <c r="E21" s="227" t="s">
        <v>2388</v>
      </c>
      <c r="N21" s="89"/>
    </row>
    <row r="22" spans="1:17" x14ac:dyDescent="0.25">
      <c r="A22" s="113" t="s">
        <v>2420</v>
      </c>
      <c r="B22" s="115" t="s">
        <v>2421</v>
      </c>
      <c r="C22" s="110" t="s">
        <v>2422</v>
      </c>
      <c r="D22" s="226">
        <v>0.38</v>
      </c>
      <c r="E22" s="227" t="s">
        <v>20</v>
      </c>
      <c r="N22" s="268" t="s">
        <v>2423</v>
      </c>
      <c r="O22" s="268"/>
      <c r="P22" s="268"/>
      <c r="Q22" s="268"/>
    </row>
    <row r="23" spans="1:17" x14ac:dyDescent="0.25">
      <c r="A23" s="113" t="s">
        <v>2424</v>
      </c>
      <c r="B23" s="115" t="s">
        <v>2421</v>
      </c>
      <c r="C23" s="110" t="s">
        <v>2422</v>
      </c>
      <c r="D23" s="226">
        <v>1.5</v>
      </c>
      <c r="E23" s="110" t="s">
        <v>20</v>
      </c>
      <c r="N23" s="104" t="s">
        <v>2389</v>
      </c>
      <c r="O23" s="104" t="s">
        <v>2390</v>
      </c>
      <c r="P23" s="106" t="s">
        <v>2378</v>
      </c>
      <c r="Q23" s="107" t="s">
        <v>2379</v>
      </c>
    </row>
    <row r="24" spans="1:17" x14ac:dyDescent="0.25">
      <c r="A24" s="113" t="s">
        <v>2425</v>
      </c>
      <c r="B24" s="115" t="s">
        <v>2421</v>
      </c>
      <c r="C24" s="110" t="s">
        <v>2422</v>
      </c>
      <c r="D24" s="226">
        <v>0.12</v>
      </c>
      <c r="E24" s="110" t="s">
        <v>20</v>
      </c>
      <c r="N24" s="115" t="s">
        <v>2192</v>
      </c>
      <c r="O24" s="110">
        <f>B14*B2</f>
        <v>301713.2960400001</v>
      </c>
      <c r="P24" s="110" t="s">
        <v>2393</v>
      </c>
      <c r="Q24" s="110" t="s">
        <v>2426</v>
      </c>
    </row>
    <row r="25" spans="1:17" x14ac:dyDescent="0.25">
      <c r="A25" s="113" t="s">
        <v>2427</v>
      </c>
      <c r="B25" s="115" t="s">
        <v>2421</v>
      </c>
      <c r="C25" s="110" t="s">
        <v>2422</v>
      </c>
      <c r="D25" s="226">
        <v>0.37</v>
      </c>
      <c r="E25" s="110" t="s">
        <v>20</v>
      </c>
      <c r="N25" s="115" t="s">
        <v>2273</v>
      </c>
      <c r="O25" s="120">
        <f>O6*B15</f>
        <v>7.9954023450600022</v>
      </c>
      <c r="P25" s="110" t="s">
        <v>2393</v>
      </c>
      <c r="Q25" s="110" t="s">
        <v>2428</v>
      </c>
    </row>
    <row r="26" spans="1:17" x14ac:dyDescent="0.25">
      <c r="A26" s="113" t="s">
        <v>2429</v>
      </c>
      <c r="B26" s="115" t="s">
        <v>2421</v>
      </c>
      <c r="C26" s="110" t="s">
        <v>2422</v>
      </c>
      <c r="D26" s="226">
        <v>0.34</v>
      </c>
      <c r="E26" s="110" t="s">
        <v>20</v>
      </c>
      <c r="N26" s="115"/>
      <c r="O26" s="120"/>
      <c r="P26" s="110"/>
      <c r="Q26" s="110"/>
    </row>
    <row r="27" spans="1:17" x14ac:dyDescent="0.25">
      <c r="A27" s="113" t="s">
        <v>2430</v>
      </c>
      <c r="B27" s="115" t="s">
        <v>2421</v>
      </c>
      <c r="C27" s="110" t="s">
        <v>2422</v>
      </c>
      <c r="D27" s="226">
        <v>1.7000000000000001E-2</v>
      </c>
      <c r="E27" s="110" t="s">
        <v>20</v>
      </c>
    </row>
    <row r="28" spans="1:17" x14ac:dyDescent="0.25">
      <c r="A28" s="113" t="s">
        <v>2431</v>
      </c>
      <c r="B28" s="115" t="s">
        <v>2421</v>
      </c>
      <c r="C28" s="110" t="s">
        <v>2432</v>
      </c>
      <c r="D28" s="226">
        <v>9.4786000000000002E-4</v>
      </c>
      <c r="E28" s="110" t="s">
        <v>20</v>
      </c>
    </row>
    <row r="29" spans="1:17" x14ac:dyDescent="0.25">
      <c r="A29" s="113" t="s">
        <v>2433</v>
      </c>
      <c r="B29" s="115" t="s">
        <v>2421</v>
      </c>
      <c r="C29" s="110" t="s">
        <v>2432</v>
      </c>
      <c r="D29" s="226">
        <v>6.7400000000000002E-2</v>
      </c>
      <c r="E29" s="110" t="s">
        <v>20</v>
      </c>
    </row>
    <row r="30" spans="1:17" x14ac:dyDescent="0.25">
      <c r="B30" s="123"/>
      <c r="C30" s="231"/>
      <c r="D30" s="123"/>
    </row>
    <row r="38" ht="15" customHeight="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M48"/>
  <sheetViews>
    <sheetView zoomScale="180" zoomScaleNormal="180" workbookViewId="0">
      <selection activeCell="A4" sqref="A4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  <col min="10" max="10" width="21.25" customWidth="1"/>
  </cols>
  <sheetData>
    <row r="1" spans="1:13" ht="18.75" x14ac:dyDescent="0.3">
      <c r="A1" s="104" t="s">
        <v>2376</v>
      </c>
      <c r="B1" s="150" t="s">
        <v>2377</v>
      </c>
      <c r="C1" s="151" t="s">
        <v>2378</v>
      </c>
      <c r="D1" s="151" t="s">
        <v>2379</v>
      </c>
      <c r="E1" s="151" t="s">
        <v>2380</v>
      </c>
      <c r="G1" s="90" t="s">
        <v>73</v>
      </c>
      <c r="H1" s="90" t="s">
        <v>2434</v>
      </c>
      <c r="J1" s="199"/>
      <c r="K1" s="199"/>
      <c r="L1" s="199" t="s">
        <v>2382</v>
      </c>
      <c r="M1" s="199"/>
    </row>
    <row r="2" spans="1:13" x14ac:dyDescent="0.25">
      <c r="A2" s="225" t="s">
        <v>2296</v>
      </c>
      <c r="B2" s="148">
        <v>100</v>
      </c>
      <c r="C2" s="232" t="s">
        <v>2383</v>
      </c>
      <c r="D2" s="232"/>
      <c r="E2" s="232"/>
      <c r="J2" s="268" t="s">
        <v>2384</v>
      </c>
      <c r="K2" s="268"/>
      <c r="L2" s="268"/>
      <c r="M2" s="268"/>
    </row>
    <row r="3" spans="1:13" x14ac:dyDescent="0.25">
      <c r="A3" s="289" t="s">
        <v>2011</v>
      </c>
      <c r="B3" s="148">
        <v>16549</v>
      </c>
      <c r="C3" s="232" t="s">
        <v>2386</v>
      </c>
      <c r="D3" s="232" t="s">
        <v>2435</v>
      </c>
      <c r="E3" s="232" t="s">
        <v>2388</v>
      </c>
      <c r="J3" s="114" t="s">
        <v>2389</v>
      </c>
      <c r="K3" s="104" t="s">
        <v>2390</v>
      </c>
      <c r="L3" s="106" t="s">
        <v>2378</v>
      </c>
      <c r="M3" s="107" t="s">
        <v>2379</v>
      </c>
    </row>
    <row r="4" spans="1:13" x14ac:dyDescent="0.25">
      <c r="A4" s="228" t="s">
        <v>2015</v>
      </c>
      <c r="B4" s="148">
        <v>5977.4</v>
      </c>
      <c r="C4" s="232" t="s">
        <v>2386</v>
      </c>
      <c r="D4" s="232" t="s">
        <v>2436</v>
      </c>
      <c r="E4" s="232" t="s">
        <v>2388</v>
      </c>
      <c r="J4" s="233" t="s">
        <v>2392</v>
      </c>
      <c r="K4" s="234">
        <f>(44/12)*(B7/100)*(K24+K25)</f>
        <v>2456328.71</v>
      </c>
      <c r="L4" s="232" t="s">
        <v>2393</v>
      </c>
      <c r="M4" s="232"/>
    </row>
    <row r="5" spans="1:13" x14ac:dyDescent="0.25">
      <c r="A5" s="228" t="s">
        <v>2017</v>
      </c>
      <c r="B5" s="149">
        <f>32.99*2.47</f>
        <v>81.485300000000009</v>
      </c>
      <c r="C5" s="232" t="s">
        <v>2394</v>
      </c>
      <c r="D5" s="232" t="s">
        <v>2437</v>
      </c>
      <c r="E5" s="232" t="s">
        <v>2388</v>
      </c>
      <c r="J5" s="233" t="s">
        <v>2039</v>
      </c>
      <c r="K5" s="235">
        <f>B6/1695.433*B2</f>
        <v>1769.4594832116632</v>
      </c>
      <c r="L5" s="232" t="s">
        <v>2393</v>
      </c>
      <c r="M5" s="232"/>
    </row>
    <row r="6" spans="1:13" x14ac:dyDescent="0.25">
      <c r="A6" s="228" t="s">
        <v>2039</v>
      </c>
      <c r="B6" s="148">
        <v>30000</v>
      </c>
      <c r="C6" s="232" t="s">
        <v>2395</v>
      </c>
      <c r="D6" s="232" t="s">
        <v>2438</v>
      </c>
      <c r="E6" s="232" t="s">
        <v>2388</v>
      </c>
      <c r="J6" s="233" t="s">
        <v>2083</v>
      </c>
      <c r="K6" s="232">
        <f t="shared" ref="K6:K11" si="0">B8*$B$2</f>
        <v>18460</v>
      </c>
      <c r="L6" s="232" t="s">
        <v>2393</v>
      </c>
      <c r="M6" s="232"/>
    </row>
    <row r="7" spans="1:13" x14ac:dyDescent="0.25">
      <c r="A7" s="228" t="s">
        <v>2397</v>
      </c>
      <c r="B7" s="148">
        <v>42.1</v>
      </c>
      <c r="C7" s="232" t="s">
        <v>2398</v>
      </c>
      <c r="D7" s="232" t="s">
        <v>2439</v>
      </c>
      <c r="E7" s="232"/>
      <c r="J7" s="233" t="s">
        <v>2089</v>
      </c>
      <c r="K7" s="232">
        <f t="shared" si="0"/>
        <v>6300</v>
      </c>
      <c r="L7" s="232" t="s">
        <v>2393</v>
      </c>
      <c r="M7" s="232"/>
    </row>
    <row r="8" spans="1:13" x14ac:dyDescent="0.25">
      <c r="A8" s="228" t="s">
        <v>2083</v>
      </c>
      <c r="B8" s="148">
        <v>184.6</v>
      </c>
      <c r="C8" s="232" t="s">
        <v>2403</v>
      </c>
      <c r="D8" s="232" t="s">
        <v>2440</v>
      </c>
      <c r="E8" s="232" t="s">
        <v>2388</v>
      </c>
      <c r="J8" s="233" t="s">
        <v>2095</v>
      </c>
      <c r="K8" s="232">
        <f t="shared" si="0"/>
        <v>9550</v>
      </c>
      <c r="L8" s="232" t="s">
        <v>2393</v>
      </c>
      <c r="M8" s="232"/>
    </row>
    <row r="9" spans="1:13" x14ac:dyDescent="0.25">
      <c r="A9" s="228" t="s">
        <v>2089</v>
      </c>
      <c r="B9" s="148">
        <v>63</v>
      </c>
      <c r="C9" s="232" t="s">
        <v>2403</v>
      </c>
      <c r="D9" s="232" t="s">
        <v>2440</v>
      </c>
      <c r="E9" s="232" t="s">
        <v>2388</v>
      </c>
      <c r="J9" s="233" t="s">
        <v>2401</v>
      </c>
      <c r="K9" s="232">
        <f t="shared" si="0"/>
        <v>52900</v>
      </c>
      <c r="L9" s="232" t="s">
        <v>2393</v>
      </c>
      <c r="M9" s="232"/>
    </row>
    <row r="10" spans="1:13" x14ac:dyDescent="0.25">
      <c r="A10" s="228" t="s">
        <v>2095</v>
      </c>
      <c r="B10" s="148">
        <v>95.5</v>
      </c>
      <c r="C10" s="232" t="s">
        <v>2403</v>
      </c>
      <c r="D10" s="232" t="s">
        <v>2440</v>
      </c>
      <c r="E10" s="232" t="s">
        <v>2388</v>
      </c>
      <c r="J10" s="233" t="s">
        <v>2441</v>
      </c>
      <c r="K10" s="232">
        <f t="shared" si="0"/>
        <v>121.30000000000001</v>
      </c>
      <c r="L10" s="232" t="s">
        <v>2393</v>
      </c>
      <c r="M10" s="232"/>
    </row>
    <row r="11" spans="1:13" x14ac:dyDescent="0.25">
      <c r="A11" s="228" t="s">
        <v>2401</v>
      </c>
      <c r="B11" s="148">
        <v>529</v>
      </c>
      <c r="C11" s="232" t="s">
        <v>2403</v>
      </c>
      <c r="D11" s="232" t="s">
        <v>2440</v>
      </c>
      <c r="E11" s="232" t="s">
        <v>2388</v>
      </c>
      <c r="J11" s="233" t="s">
        <v>2072</v>
      </c>
      <c r="K11" s="232">
        <f t="shared" si="0"/>
        <v>0</v>
      </c>
      <c r="L11" s="232" t="s">
        <v>2393</v>
      </c>
      <c r="M11" s="232"/>
    </row>
    <row r="12" spans="1:13" x14ac:dyDescent="0.25">
      <c r="A12" s="228" t="s">
        <v>2066</v>
      </c>
      <c r="B12" s="148">
        <v>1.2130000000000001</v>
      </c>
      <c r="C12" s="232" t="s">
        <v>2403</v>
      </c>
      <c r="D12" s="232" t="s">
        <v>2442</v>
      </c>
      <c r="E12" s="232" t="s">
        <v>2388</v>
      </c>
      <c r="J12" s="233" t="s">
        <v>2406</v>
      </c>
      <c r="K12" s="232">
        <f t="shared" ref="K12:K17" si="1">B16*$B$2</f>
        <v>650000</v>
      </c>
      <c r="L12" s="232" t="s">
        <v>2407</v>
      </c>
      <c r="M12" s="232"/>
    </row>
    <row r="13" spans="1:13" x14ac:dyDescent="0.25">
      <c r="A13" s="228" t="s">
        <v>2072</v>
      </c>
      <c r="B13" s="148">
        <v>0</v>
      </c>
      <c r="C13" s="232" t="s">
        <v>2403</v>
      </c>
      <c r="D13" s="232" t="s">
        <v>2443</v>
      </c>
      <c r="E13" s="232" t="s">
        <v>2388</v>
      </c>
      <c r="J13" s="233" t="s">
        <v>2125</v>
      </c>
      <c r="K13" s="232">
        <f t="shared" si="1"/>
        <v>128108.6</v>
      </c>
      <c r="L13" s="232" t="s">
        <v>2393</v>
      </c>
      <c r="M13" s="232"/>
    </row>
    <row r="14" spans="1:13" x14ac:dyDescent="0.25">
      <c r="A14" s="228" t="s">
        <v>2037</v>
      </c>
      <c r="B14" s="148">
        <v>10974</v>
      </c>
      <c r="C14" s="232" t="s">
        <v>2403</v>
      </c>
      <c r="D14" s="232" t="s">
        <v>2444</v>
      </c>
      <c r="E14" s="232" t="s">
        <v>2409</v>
      </c>
      <c r="J14" s="233" t="s">
        <v>2133</v>
      </c>
      <c r="K14" s="232">
        <f t="shared" si="1"/>
        <v>0</v>
      </c>
      <c r="L14" s="232" t="s">
        <v>2393</v>
      </c>
      <c r="M14" s="232"/>
    </row>
    <row r="15" spans="1:13" x14ac:dyDescent="0.25">
      <c r="A15" s="228" t="s">
        <v>2042</v>
      </c>
      <c r="B15" s="148">
        <v>9876.6</v>
      </c>
      <c r="C15" s="232" t="s">
        <v>2403</v>
      </c>
      <c r="D15" s="232" t="s">
        <v>2445</v>
      </c>
      <c r="E15" s="232" t="s">
        <v>2409</v>
      </c>
      <c r="J15" s="233" t="s">
        <v>2138</v>
      </c>
      <c r="K15" s="232">
        <f t="shared" si="1"/>
        <v>0</v>
      </c>
      <c r="L15" s="232" t="s">
        <v>2393</v>
      </c>
      <c r="M15" s="232"/>
    </row>
    <row r="16" spans="1:13" x14ac:dyDescent="0.25">
      <c r="A16" s="228" t="s">
        <v>2322</v>
      </c>
      <c r="B16" s="148">
        <v>6500</v>
      </c>
      <c r="C16" s="232" t="s">
        <v>2413</v>
      </c>
      <c r="D16" s="232" t="s">
        <v>2446</v>
      </c>
      <c r="E16" s="232" t="s">
        <v>2388</v>
      </c>
      <c r="J16" s="233" t="s">
        <v>2145</v>
      </c>
      <c r="K16" s="232">
        <f t="shared" si="1"/>
        <v>996189.89999999991</v>
      </c>
      <c r="L16" s="232" t="s">
        <v>2416</v>
      </c>
      <c r="M16" s="232"/>
    </row>
    <row r="17" spans="1:13" x14ac:dyDescent="0.25">
      <c r="A17" s="228" t="s">
        <v>2125</v>
      </c>
      <c r="B17" s="148">
        <v>1281.086</v>
      </c>
      <c r="C17" s="232" t="s">
        <v>2403</v>
      </c>
      <c r="D17" s="232" t="s">
        <v>2446</v>
      </c>
      <c r="E17" s="232" t="s">
        <v>2388</v>
      </c>
      <c r="J17" s="233" t="s">
        <v>2415</v>
      </c>
      <c r="K17" s="232">
        <f t="shared" si="1"/>
        <v>145379.79999999999</v>
      </c>
      <c r="L17" s="232" t="s">
        <v>2416</v>
      </c>
      <c r="M17" s="232"/>
    </row>
    <row r="18" spans="1:13" x14ac:dyDescent="0.25">
      <c r="A18" s="228" t="s">
        <v>2133</v>
      </c>
      <c r="B18" s="146">
        <v>0</v>
      </c>
      <c r="C18" s="232" t="s">
        <v>2403</v>
      </c>
      <c r="D18" s="232" t="s">
        <v>2446</v>
      </c>
      <c r="E18" s="232" t="s">
        <v>2388</v>
      </c>
      <c r="J18" s="233" t="s">
        <v>2015</v>
      </c>
      <c r="K18" s="232">
        <f>B4*B2</f>
        <v>597740</v>
      </c>
      <c r="L18" s="232" t="s">
        <v>2417</v>
      </c>
      <c r="M18" s="232"/>
    </row>
    <row r="19" spans="1:13" x14ac:dyDescent="0.25">
      <c r="A19" s="228" t="s">
        <v>2138</v>
      </c>
      <c r="B19" s="146">
        <v>0</v>
      </c>
      <c r="C19" s="232" t="s">
        <v>2403</v>
      </c>
      <c r="D19" s="232" t="s">
        <v>2446</v>
      </c>
      <c r="E19" s="232" t="s">
        <v>2388</v>
      </c>
      <c r="J19" s="233" t="s">
        <v>2385</v>
      </c>
      <c r="K19" s="232">
        <f>B2*B3</f>
        <v>1654900</v>
      </c>
      <c r="L19" s="232" t="s">
        <v>2417</v>
      </c>
      <c r="M19" s="232"/>
    </row>
    <row r="20" spans="1:13" x14ac:dyDescent="0.25">
      <c r="A20" s="228" t="s">
        <v>2135</v>
      </c>
      <c r="B20" s="148">
        <v>9961.8989999999994</v>
      </c>
      <c r="C20" s="232" t="s">
        <v>2447</v>
      </c>
      <c r="D20" s="232" t="s">
        <v>2446</v>
      </c>
      <c r="E20" s="232" t="s">
        <v>2388</v>
      </c>
      <c r="J20" s="233" t="s">
        <v>2017</v>
      </c>
      <c r="K20" s="232">
        <f>B2*B5</f>
        <v>8148.5300000000007</v>
      </c>
      <c r="L20" s="232" t="s">
        <v>2418</v>
      </c>
      <c r="M20" s="232"/>
    </row>
    <row r="21" spans="1:13" x14ac:dyDescent="0.25">
      <c r="A21" s="228" t="s">
        <v>2415</v>
      </c>
      <c r="B21" s="148">
        <v>1453.798</v>
      </c>
      <c r="C21" s="232" t="s">
        <v>2447</v>
      </c>
      <c r="D21" s="232" t="s">
        <v>2446</v>
      </c>
      <c r="E21" s="232" t="s">
        <v>2388</v>
      </c>
      <c r="J21" s="236"/>
      <c r="K21" s="237"/>
      <c r="L21" s="237"/>
      <c r="M21" s="237"/>
    </row>
    <row r="22" spans="1:13" x14ac:dyDescent="0.25">
      <c r="A22" s="228" t="s">
        <v>2448</v>
      </c>
      <c r="B22" s="148">
        <v>50</v>
      </c>
      <c r="C22" s="232" t="s">
        <v>2398</v>
      </c>
      <c r="D22" s="232"/>
      <c r="E22" s="232"/>
      <c r="J22" s="268" t="s">
        <v>2423</v>
      </c>
      <c r="K22" s="268"/>
      <c r="L22" s="268"/>
      <c r="M22" s="268"/>
    </row>
    <row r="23" spans="1:13" x14ac:dyDescent="0.25">
      <c r="A23" s="236"/>
      <c r="B23" s="237"/>
      <c r="C23" s="237"/>
      <c r="D23" s="237"/>
      <c r="E23" s="237"/>
      <c r="J23" s="114" t="s">
        <v>2389</v>
      </c>
      <c r="K23" s="104" t="s">
        <v>2390</v>
      </c>
      <c r="L23" s="106" t="s">
        <v>2378</v>
      </c>
      <c r="M23" s="107" t="s">
        <v>2379</v>
      </c>
    </row>
    <row r="24" spans="1:13" x14ac:dyDescent="0.25">
      <c r="E24" s="237"/>
      <c r="J24" s="233" t="s">
        <v>2037</v>
      </c>
      <c r="K24" s="232">
        <f>B14*$B$2</f>
        <v>1097400</v>
      </c>
      <c r="L24" s="232" t="s">
        <v>2393</v>
      </c>
      <c r="M24" s="232"/>
    </row>
    <row r="25" spans="1:13" x14ac:dyDescent="0.25">
      <c r="E25" s="237"/>
      <c r="J25" s="233" t="s">
        <v>2042</v>
      </c>
      <c r="K25" s="232">
        <f>B15*$B$2*(B22/100)</f>
        <v>493830</v>
      </c>
      <c r="L25" s="232" t="s">
        <v>2393</v>
      </c>
      <c r="M25" s="232"/>
    </row>
    <row r="26" spans="1:13" x14ac:dyDescent="0.25">
      <c r="E26" s="237"/>
      <c r="J26" s="5" t="s">
        <v>2449</v>
      </c>
    </row>
    <row r="27" spans="1:13" x14ac:dyDescent="0.25">
      <c r="E27" s="237"/>
    </row>
    <row r="28" spans="1:13" x14ac:dyDescent="0.25">
      <c r="E28" s="237"/>
    </row>
    <row r="29" spans="1:13" x14ac:dyDescent="0.25">
      <c r="E29" s="237"/>
    </row>
    <row r="30" spans="1:13" x14ac:dyDescent="0.25">
      <c r="E30" s="237"/>
    </row>
    <row r="31" spans="1:13" x14ac:dyDescent="0.25">
      <c r="E31" s="237"/>
    </row>
    <row r="32" spans="1:13" x14ac:dyDescent="0.25">
      <c r="E32" s="237"/>
    </row>
    <row r="33" spans="5:5" x14ac:dyDescent="0.25">
      <c r="E33" s="237"/>
    </row>
    <row r="34" spans="5:5" x14ac:dyDescent="0.25">
      <c r="E34" s="237"/>
    </row>
    <row r="35" spans="5:5" x14ac:dyDescent="0.25">
      <c r="E35" s="237"/>
    </row>
    <row r="36" spans="5:5" x14ac:dyDescent="0.25">
      <c r="E36" s="237"/>
    </row>
    <row r="37" spans="5:5" x14ac:dyDescent="0.25">
      <c r="E37" s="237"/>
    </row>
    <row r="38" spans="5:5" x14ac:dyDescent="0.25">
      <c r="E38" s="237"/>
    </row>
    <row r="39" spans="5:5" x14ac:dyDescent="0.25">
      <c r="E39" s="237"/>
    </row>
    <row r="40" spans="5:5" x14ac:dyDescent="0.25">
      <c r="E40" s="237"/>
    </row>
    <row r="41" spans="5:5" x14ac:dyDescent="0.25">
      <c r="E41" s="237"/>
    </row>
    <row r="42" spans="5:5" x14ac:dyDescent="0.25">
      <c r="E42" s="237"/>
    </row>
    <row r="43" spans="5:5" x14ac:dyDescent="0.25">
      <c r="E43" s="237"/>
    </row>
    <row r="44" spans="5:5" x14ac:dyDescent="0.25">
      <c r="E44" s="237"/>
    </row>
    <row r="45" spans="5:5" x14ac:dyDescent="0.25">
      <c r="E45" s="237"/>
    </row>
    <row r="46" spans="5:5" x14ac:dyDescent="0.25">
      <c r="E46" s="237"/>
    </row>
    <row r="47" spans="5:5" x14ac:dyDescent="0.25">
      <c r="E47" s="237"/>
    </row>
    <row r="48" spans="5:5" x14ac:dyDescent="0.25">
      <c r="E48" s="237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M18"/>
  <sheetViews>
    <sheetView zoomScale="150" zoomScaleNormal="150" workbookViewId="0">
      <selection activeCell="A12" sqref="A12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2376</v>
      </c>
      <c r="B1" s="150" t="s">
        <v>2377</v>
      </c>
      <c r="C1" s="151" t="s">
        <v>2378</v>
      </c>
      <c r="D1" s="151" t="s">
        <v>2379</v>
      </c>
      <c r="E1" s="151" t="s">
        <v>2380</v>
      </c>
      <c r="G1" s="147" t="s">
        <v>73</v>
      </c>
      <c r="H1" s="90" t="s">
        <v>2434</v>
      </c>
      <c r="J1" s="205" t="s">
        <v>2450</v>
      </c>
      <c r="K1" s="205" t="s">
        <v>2382</v>
      </c>
      <c r="L1" s="205" t="s">
        <v>2450</v>
      </c>
      <c r="M1" s="205" t="s">
        <v>2450</v>
      </c>
    </row>
    <row r="2" spans="1:13" x14ac:dyDescent="0.25">
      <c r="A2" s="171" t="s">
        <v>2296</v>
      </c>
      <c r="B2" s="158">
        <v>100</v>
      </c>
      <c r="C2" s="155" t="s">
        <v>2383</v>
      </c>
      <c r="D2" s="155" t="s">
        <v>2451</v>
      </c>
      <c r="E2" s="168" t="s">
        <v>2450</v>
      </c>
      <c r="J2" s="206" t="s">
        <v>2384</v>
      </c>
      <c r="K2" s="207" t="s">
        <v>2450</v>
      </c>
      <c r="L2" s="207" t="s">
        <v>2450</v>
      </c>
      <c r="M2" s="207" t="s">
        <v>2450</v>
      </c>
    </row>
    <row r="3" spans="1:13" x14ac:dyDescent="0.25">
      <c r="A3" s="178" t="s">
        <v>2397</v>
      </c>
      <c r="B3" s="159">
        <v>50</v>
      </c>
      <c r="C3" s="157" t="s">
        <v>2398</v>
      </c>
      <c r="D3" s="157" t="s">
        <v>2452</v>
      </c>
      <c r="E3" s="174"/>
      <c r="J3" s="208" t="s">
        <v>2389</v>
      </c>
      <c r="K3" s="209" t="s">
        <v>2390</v>
      </c>
      <c r="L3" s="209" t="s">
        <v>2378</v>
      </c>
      <c r="M3" s="210" t="s">
        <v>2379</v>
      </c>
    </row>
    <row r="4" spans="1:13" x14ac:dyDescent="0.25">
      <c r="A4" s="176" t="s">
        <v>2325</v>
      </c>
      <c r="B4" s="159">
        <v>17297.349999999999</v>
      </c>
      <c r="C4" s="157" t="s">
        <v>2395</v>
      </c>
      <c r="D4" s="157" t="s">
        <v>2453</v>
      </c>
      <c r="E4" s="157" t="s">
        <v>2388</v>
      </c>
      <c r="J4" s="211" t="s">
        <v>2392</v>
      </c>
      <c r="K4" s="212">
        <f>(44/12)*(B3/100)*K18</f>
        <v>4033333.333333333</v>
      </c>
      <c r="L4" s="213" t="s">
        <v>2393</v>
      </c>
      <c r="M4" s="214"/>
    </row>
    <row r="5" spans="1:13" x14ac:dyDescent="0.25">
      <c r="A5" s="176" t="s">
        <v>2083</v>
      </c>
      <c r="B5" s="159">
        <v>4.0000000000000001E-3</v>
      </c>
      <c r="C5" s="157" t="s">
        <v>2399</v>
      </c>
      <c r="D5" s="157" t="s">
        <v>2454</v>
      </c>
      <c r="E5" s="157" t="s">
        <v>2388</v>
      </c>
      <c r="J5" s="215" t="s">
        <v>2325</v>
      </c>
      <c r="K5" s="212">
        <f>B4</f>
        <v>17297.349999999999</v>
      </c>
      <c r="L5" s="213" t="s">
        <v>2455</v>
      </c>
      <c r="M5" s="213" t="s">
        <v>2450</v>
      </c>
    </row>
    <row r="6" spans="1:13" x14ac:dyDescent="0.25">
      <c r="A6" s="176" t="s">
        <v>2089</v>
      </c>
      <c r="B6" s="159">
        <v>7.5000000000000002E-4</v>
      </c>
      <c r="C6" s="157" t="s">
        <v>2399</v>
      </c>
      <c r="D6" s="157" t="s">
        <v>2454</v>
      </c>
      <c r="E6" s="157" t="s">
        <v>2388</v>
      </c>
      <c r="J6" s="215" t="s">
        <v>2083</v>
      </c>
      <c r="K6" s="216">
        <f>B5*$K$18</f>
        <v>8800</v>
      </c>
      <c r="L6" s="213" t="s">
        <v>2393</v>
      </c>
      <c r="M6" s="213" t="s">
        <v>2450</v>
      </c>
    </row>
    <row r="7" spans="1:13" x14ac:dyDescent="0.25">
      <c r="A7" s="176" t="s">
        <v>2095</v>
      </c>
      <c r="B7" s="159">
        <v>4.0000000000000001E-3</v>
      </c>
      <c r="C7" s="157" t="s">
        <v>2399</v>
      </c>
      <c r="D7" s="157" t="s">
        <v>2454</v>
      </c>
      <c r="E7" s="157" t="s">
        <v>2388</v>
      </c>
      <c r="J7" s="215" t="s">
        <v>2089</v>
      </c>
      <c r="K7" s="216">
        <f>B6*$K$18</f>
        <v>1650</v>
      </c>
      <c r="L7" s="213" t="s">
        <v>2393</v>
      </c>
      <c r="M7" s="213" t="s">
        <v>2450</v>
      </c>
    </row>
    <row r="8" spans="1:13" x14ac:dyDescent="0.25">
      <c r="A8" s="176" t="s">
        <v>2401</v>
      </c>
      <c r="B8" s="169">
        <v>452</v>
      </c>
      <c r="C8" s="156" t="s">
        <v>2403</v>
      </c>
      <c r="D8" s="157" t="s">
        <v>2456</v>
      </c>
      <c r="E8" s="157" t="s">
        <v>2388</v>
      </c>
      <c r="J8" s="215" t="s">
        <v>2095</v>
      </c>
      <c r="K8" s="216">
        <f>B7*$K$18</f>
        <v>8800</v>
      </c>
      <c r="L8" s="213" t="s">
        <v>2393</v>
      </c>
      <c r="M8" s="213" t="s">
        <v>2450</v>
      </c>
    </row>
    <row r="9" spans="1:13" x14ac:dyDescent="0.25">
      <c r="A9" s="176" t="s">
        <v>2066</v>
      </c>
      <c r="B9" s="158">
        <v>5.5648046000000004</v>
      </c>
      <c r="C9" s="156" t="s">
        <v>2403</v>
      </c>
      <c r="D9" s="157" t="s">
        <v>2457</v>
      </c>
      <c r="E9" s="157" t="s">
        <v>2388</v>
      </c>
      <c r="J9" s="215" t="s">
        <v>2401</v>
      </c>
      <c r="K9" s="213">
        <f>B2*B8</f>
        <v>45200</v>
      </c>
      <c r="L9" s="213" t="s">
        <v>2393</v>
      </c>
      <c r="M9" s="213" t="s">
        <v>2450</v>
      </c>
    </row>
    <row r="10" spans="1:13" x14ac:dyDescent="0.25">
      <c r="A10" s="176" t="s">
        <v>2125</v>
      </c>
      <c r="B10" s="159">
        <v>15.656499999999999</v>
      </c>
      <c r="C10" s="156" t="s">
        <v>2403</v>
      </c>
      <c r="D10" s="157" t="s">
        <v>2446</v>
      </c>
      <c r="E10" s="157" t="s">
        <v>2388</v>
      </c>
      <c r="J10" s="215" t="s">
        <v>2066</v>
      </c>
      <c r="K10" s="216">
        <f>B9*B2</f>
        <v>556.48045999999999</v>
      </c>
      <c r="L10" s="213" t="s">
        <v>2393</v>
      </c>
      <c r="M10" s="213" t="s">
        <v>2450</v>
      </c>
    </row>
    <row r="11" spans="1:13" x14ac:dyDescent="0.25">
      <c r="A11" s="176" t="s">
        <v>2015</v>
      </c>
      <c r="B11" s="159">
        <v>1345.86</v>
      </c>
      <c r="C11" s="157" t="s">
        <v>2386</v>
      </c>
      <c r="D11" s="157" t="s">
        <v>2457</v>
      </c>
      <c r="E11" s="157" t="s">
        <v>2388</v>
      </c>
      <c r="J11" s="215" t="s">
        <v>2125</v>
      </c>
      <c r="K11" s="216">
        <f>B10*B2</f>
        <v>1565.6499999999999</v>
      </c>
      <c r="L11" s="213" t="s">
        <v>2393</v>
      </c>
      <c r="M11" s="213" t="s">
        <v>2450</v>
      </c>
    </row>
    <row r="12" spans="1:13" x14ac:dyDescent="0.25">
      <c r="A12" s="176" t="s">
        <v>2011</v>
      </c>
      <c r="B12" s="159">
        <v>15649</v>
      </c>
      <c r="C12" s="157" t="s">
        <v>2386</v>
      </c>
      <c r="D12" s="157" t="s">
        <v>2446</v>
      </c>
      <c r="E12" s="157" t="s">
        <v>2388</v>
      </c>
      <c r="J12" s="215" t="s">
        <v>2015</v>
      </c>
      <c r="K12" s="212">
        <f>B11*B2</f>
        <v>134586</v>
      </c>
      <c r="L12" s="213" t="s">
        <v>2417</v>
      </c>
      <c r="M12" s="213" t="s">
        <v>2450</v>
      </c>
    </row>
    <row r="13" spans="1:13" x14ac:dyDescent="0.25">
      <c r="A13" s="176" t="s">
        <v>2017</v>
      </c>
      <c r="B13" s="159">
        <v>33.33</v>
      </c>
      <c r="C13" s="157" t="s">
        <v>2394</v>
      </c>
      <c r="D13" s="157" t="s">
        <v>2446</v>
      </c>
      <c r="E13" s="157" t="s">
        <v>2388</v>
      </c>
      <c r="J13" s="215" t="s">
        <v>2385</v>
      </c>
      <c r="K13" s="213">
        <f>B12*B2</f>
        <v>1564900</v>
      </c>
      <c r="L13" s="213" t="s">
        <v>2417</v>
      </c>
      <c r="M13" s="213" t="s">
        <v>2450</v>
      </c>
    </row>
    <row r="14" spans="1:13" x14ac:dyDescent="0.25">
      <c r="A14" s="176" t="s">
        <v>2306</v>
      </c>
      <c r="B14" s="159">
        <v>22000</v>
      </c>
      <c r="C14" s="157" t="s">
        <v>2403</v>
      </c>
      <c r="D14" s="157" t="s">
        <v>2458</v>
      </c>
      <c r="E14" s="170" t="s">
        <v>2409</v>
      </c>
      <c r="J14" s="215" t="s">
        <v>2017</v>
      </c>
      <c r="K14" s="213">
        <f>B13*B2</f>
        <v>3333</v>
      </c>
      <c r="L14" s="213" t="s">
        <v>2418</v>
      </c>
      <c r="M14" s="213" t="s">
        <v>2450</v>
      </c>
    </row>
    <row r="15" spans="1:13" x14ac:dyDescent="0.25">
      <c r="J15" s="5"/>
      <c r="K15" s="217"/>
      <c r="L15" s="217"/>
      <c r="M15" s="217"/>
    </row>
    <row r="16" spans="1:13" ht="15.75" customHeight="1" x14ac:dyDescent="0.25">
      <c r="J16" s="206" t="s">
        <v>2423</v>
      </c>
      <c r="K16" s="207" t="s">
        <v>2450</v>
      </c>
      <c r="L16" s="207" t="s">
        <v>2450</v>
      </c>
      <c r="M16" s="207" t="s">
        <v>2450</v>
      </c>
    </row>
    <row r="17" spans="10:13" x14ac:dyDescent="0.25">
      <c r="J17" s="218" t="s">
        <v>2389</v>
      </c>
      <c r="K17" s="219" t="s">
        <v>2390</v>
      </c>
      <c r="L17" s="219" t="s">
        <v>2378</v>
      </c>
      <c r="M17" s="214" t="s">
        <v>2379</v>
      </c>
    </row>
    <row r="18" spans="10:13" x14ac:dyDescent="0.25">
      <c r="J18" s="215" t="s">
        <v>2306</v>
      </c>
      <c r="K18" s="213">
        <f>B2*B14</f>
        <v>2200000</v>
      </c>
      <c r="L18" s="213" t="s">
        <v>2393</v>
      </c>
      <c r="M18" s="213" t="s">
        <v>2450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M72"/>
  <sheetViews>
    <sheetView zoomScale="150" zoomScaleNormal="150" workbookViewId="0">
      <selection activeCell="C24" sqref="C24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86" t="s">
        <v>2376</v>
      </c>
      <c r="B1" s="187" t="s">
        <v>2377</v>
      </c>
      <c r="C1" s="188" t="s">
        <v>2378</v>
      </c>
      <c r="D1" s="188" t="s">
        <v>2379</v>
      </c>
      <c r="E1" s="188" t="s">
        <v>2380</v>
      </c>
      <c r="G1" s="147" t="s">
        <v>73</v>
      </c>
      <c r="H1" s="90" t="s">
        <v>2434</v>
      </c>
      <c r="J1" s="205" t="s">
        <v>2450</v>
      </c>
      <c r="K1" s="205" t="s">
        <v>2382</v>
      </c>
      <c r="L1" s="205" t="s">
        <v>2450</v>
      </c>
      <c r="M1" s="205" t="s">
        <v>2450</v>
      </c>
    </row>
    <row r="2" spans="1:13" x14ac:dyDescent="0.25">
      <c r="A2" s="183" t="s">
        <v>2296</v>
      </c>
      <c r="B2" s="184">
        <v>100</v>
      </c>
      <c r="C2" s="163" t="s">
        <v>2383</v>
      </c>
      <c r="D2" s="238" t="s">
        <v>2459</v>
      </c>
      <c r="E2" s="163" t="s">
        <v>2388</v>
      </c>
      <c r="J2" s="206" t="s">
        <v>2384</v>
      </c>
      <c r="K2" s="207" t="s">
        <v>2450</v>
      </c>
      <c r="L2" s="207" t="s">
        <v>2450</v>
      </c>
      <c r="M2" s="207" t="s">
        <v>2450</v>
      </c>
    </row>
    <row r="3" spans="1:13" x14ac:dyDescent="0.25">
      <c r="A3" s="239" t="s">
        <v>2397</v>
      </c>
      <c r="B3" s="185">
        <v>50</v>
      </c>
      <c r="C3" s="238" t="s">
        <v>2398</v>
      </c>
      <c r="D3" s="238" t="s">
        <v>2446</v>
      </c>
      <c r="E3" s="163" t="s">
        <v>2388</v>
      </c>
      <c r="F3" s="237"/>
      <c r="J3" s="220" t="s">
        <v>2389</v>
      </c>
      <c r="K3" s="221" t="s">
        <v>2390</v>
      </c>
      <c r="L3" s="221" t="s">
        <v>2378</v>
      </c>
      <c r="M3" s="222" t="s">
        <v>2379</v>
      </c>
    </row>
    <row r="4" spans="1:13" x14ac:dyDescent="0.25">
      <c r="A4" s="239" t="s">
        <v>2322</v>
      </c>
      <c r="B4" s="185">
        <v>6350</v>
      </c>
      <c r="C4" s="238" t="s">
        <v>2413</v>
      </c>
      <c r="D4" s="238" t="s">
        <v>2460</v>
      </c>
      <c r="E4" s="163" t="s">
        <v>2388</v>
      </c>
      <c r="F4" s="237"/>
      <c r="J4" s="239" t="s">
        <v>2385</v>
      </c>
      <c r="K4" s="240">
        <f>$K$7*B13</f>
        <v>1654900</v>
      </c>
      <c r="L4" s="241" t="s">
        <v>2417</v>
      </c>
      <c r="M4" s="241"/>
    </row>
    <row r="5" spans="1:13" x14ac:dyDescent="0.25">
      <c r="A5" s="239" t="s">
        <v>2083</v>
      </c>
      <c r="B5" s="185">
        <v>118</v>
      </c>
      <c r="C5" s="238" t="s">
        <v>2403</v>
      </c>
      <c r="D5" s="238" t="s">
        <v>2461</v>
      </c>
      <c r="E5" s="163" t="s">
        <v>2388</v>
      </c>
      <c r="F5" s="237"/>
      <c r="J5" s="239" t="s">
        <v>2015</v>
      </c>
      <c r="K5" s="240">
        <f>$K$7*B14</f>
        <v>230000</v>
      </c>
      <c r="L5" s="241" t="s">
        <v>2417</v>
      </c>
      <c r="M5" s="241"/>
    </row>
    <row r="6" spans="1:13" x14ac:dyDescent="0.25">
      <c r="A6" s="239" t="s">
        <v>2089</v>
      </c>
      <c r="B6" s="185">
        <v>22.25</v>
      </c>
      <c r="C6" s="238" t="s">
        <v>2403</v>
      </c>
      <c r="D6" s="238" t="s">
        <v>2462</v>
      </c>
      <c r="E6" s="163" t="s">
        <v>2388</v>
      </c>
      <c r="F6" s="237"/>
      <c r="J6" s="239" t="s">
        <v>2017</v>
      </c>
      <c r="K6" s="242">
        <f>$K$7*B15</f>
        <v>3333</v>
      </c>
      <c r="L6" s="238" t="s">
        <v>2418</v>
      </c>
      <c r="M6" s="238"/>
    </row>
    <row r="7" spans="1:13" x14ac:dyDescent="0.25">
      <c r="A7" s="239" t="s">
        <v>2095</v>
      </c>
      <c r="B7" s="185">
        <v>10</v>
      </c>
      <c r="C7" s="238" t="s">
        <v>2403</v>
      </c>
      <c r="D7" s="238" t="s">
        <v>2462</v>
      </c>
      <c r="E7" s="163" t="s">
        <v>2388</v>
      </c>
      <c r="F7" s="237"/>
      <c r="J7" s="239" t="s">
        <v>2020</v>
      </c>
      <c r="K7" s="242">
        <f>B2</f>
        <v>100</v>
      </c>
      <c r="L7" s="238" t="s">
        <v>2463</v>
      </c>
      <c r="M7" s="238"/>
    </row>
    <row r="8" spans="1:13" x14ac:dyDescent="0.25">
      <c r="A8" s="239" t="s">
        <v>2401</v>
      </c>
      <c r="B8" s="185">
        <v>0</v>
      </c>
      <c r="C8" s="238" t="s">
        <v>2403</v>
      </c>
      <c r="D8" s="238" t="s">
        <v>2464</v>
      </c>
      <c r="E8" s="163" t="s">
        <v>2388</v>
      </c>
      <c r="F8" s="237"/>
      <c r="J8" s="239" t="s">
        <v>2465</v>
      </c>
      <c r="K8" s="242">
        <f>B8*K7</f>
        <v>0</v>
      </c>
      <c r="L8" s="238" t="s">
        <v>2393</v>
      </c>
      <c r="M8" s="238"/>
    </row>
    <row r="9" spans="1:13" x14ac:dyDescent="0.25">
      <c r="A9" s="239" t="s">
        <v>2066</v>
      </c>
      <c r="B9" s="185">
        <v>23.99</v>
      </c>
      <c r="C9" s="238" t="s">
        <v>2403</v>
      </c>
      <c r="D9" s="238" t="s">
        <v>2446</v>
      </c>
      <c r="E9" s="163" t="s">
        <v>2388</v>
      </c>
      <c r="F9" s="237"/>
      <c r="J9" s="239" t="s">
        <v>2392</v>
      </c>
      <c r="K9" s="242">
        <f>(B3/100)*(44/12)*K21</f>
        <v>1642666.6666666665</v>
      </c>
      <c r="L9" s="238" t="s">
        <v>2393</v>
      </c>
      <c r="M9" s="238"/>
    </row>
    <row r="10" spans="1:13" x14ac:dyDescent="0.25">
      <c r="A10" s="239" t="s">
        <v>2072</v>
      </c>
      <c r="B10" s="185">
        <v>5.1000000000000004E-3</v>
      </c>
      <c r="C10" s="238" t="s">
        <v>2403</v>
      </c>
      <c r="D10" s="238" t="s">
        <v>2466</v>
      </c>
      <c r="E10" s="163" t="s">
        <v>2388</v>
      </c>
      <c r="F10" s="237"/>
      <c r="J10" s="239" t="s">
        <v>2063</v>
      </c>
      <c r="K10" s="242">
        <f>K7*B11</f>
        <v>112.27000000000001</v>
      </c>
      <c r="L10" s="238" t="s">
        <v>2393</v>
      </c>
      <c r="M10" s="238"/>
    </row>
    <row r="11" spans="1:13" x14ac:dyDescent="0.25">
      <c r="A11" s="239" t="s">
        <v>2063</v>
      </c>
      <c r="B11" s="185">
        <v>1.1227</v>
      </c>
      <c r="C11" s="238" t="s">
        <v>2403</v>
      </c>
      <c r="D11" s="238" t="s">
        <v>2446</v>
      </c>
      <c r="E11" s="163" t="s">
        <v>2388</v>
      </c>
      <c r="F11" s="237"/>
      <c r="J11" s="239" t="s">
        <v>2066</v>
      </c>
      <c r="K11" s="242">
        <f>K7*B9</f>
        <v>2399</v>
      </c>
      <c r="L11" s="238" t="s">
        <v>2393</v>
      </c>
      <c r="M11" s="238"/>
    </row>
    <row r="12" spans="1:13" x14ac:dyDescent="0.25">
      <c r="A12" s="239" t="s">
        <v>2125</v>
      </c>
      <c r="B12" s="185">
        <v>15.656499999999999</v>
      </c>
      <c r="C12" s="238" t="s">
        <v>2403</v>
      </c>
      <c r="D12" s="238" t="s">
        <v>2467</v>
      </c>
      <c r="E12" s="163" t="s">
        <v>2388</v>
      </c>
      <c r="F12" s="237"/>
      <c r="J12" s="239" t="s">
        <v>2072</v>
      </c>
      <c r="K12" s="242">
        <f>B10*K7</f>
        <v>0.51</v>
      </c>
      <c r="L12" s="238" t="s">
        <v>2393</v>
      </c>
      <c r="M12" s="238"/>
    </row>
    <row r="13" spans="1:13" x14ac:dyDescent="0.25">
      <c r="A13" s="290" t="s">
        <v>2011</v>
      </c>
      <c r="B13" s="185">
        <v>16549</v>
      </c>
      <c r="C13" s="238" t="s">
        <v>2386</v>
      </c>
      <c r="D13" s="238" t="s">
        <v>2446</v>
      </c>
      <c r="E13" s="163" t="s">
        <v>2388</v>
      </c>
      <c r="F13" s="237"/>
      <c r="J13" s="239" t="s">
        <v>2083</v>
      </c>
      <c r="K13" s="242">
        <f>B5*$K$7</f>
        <v>11800</v>
      </c>
      <c r="L13" s="238" t="s">
        <v>2393</v>
      </c>
      <c r="M13" s="238"/>
    </row>
    <row r="14" spans="1:13" x14ac:dyDescent="0.25">
      <c r="A14" s="239" t="s">
        <v>2015</v>
      </c>
      <c r="B14" s="185">
        <v>2300</v>
      </c>
      <c r="C14" s="238" t="s">
        <v>2386</v>
      </c>
      <c r="D14" s="238" t="s">
        <v>2446</v>
      </c>
      <c r="E14" s="163" t="s">
        <v>2388</v>
      </c>
      <c r="F14" s="237"/>
      <c r="J14" s="239" t="s">
        <v>2089</v>
      </c>
      <c r="K14" s="242">
        <f>B6*$K$7</f>
        <v>2225</v>
      </c>
      <c r="L14" s="238" t="s">
        <v>2393</v>
      </c>
      <c r="M14" s="238"/>
    </row>
    <row r="15" spans="1:13" x14ac:dyDescent="0.25">
      <c r="A15" s="243" t="s">
        <v>2017</v>
      </c>
      <c r="B15" s="189">
        <v>33.33</v>
      </c>
      <c r="C15" s="244" t="s">
        <v>2394</v>
      </c>
      <c r="D15" s="244" t="s">
        <v>2446</v>
      </c>
      <c r="E15" s="163" t="s">
        <v>2388</v>
      </c>
      <c r="F15" s="237"/>
      <c r="J15" s="239" t="s">
        <v>2095</v>
      </c>
      <c r="K15" s="242">
        <f>B7*$K$7</f>
        <v>1000</v>
      </c>
      <c r="L15" s="238" t="s">
        <v>2393</v>
      </c>
      <c r="M15" s="238"/>
    </row>
    <row r="16" spans="1:13" x14ac:dyDescent="0.25">
      <c r="A16" s="239" t="s">
        <v>2118</v>
      </c>
      <c r="B16" s="185">
        <v>8960</v>
      </c>
      <c r="C16" s="238" t="s">
        <v>2403</v>
      </c>
      <c r="D16" s="238" t="s">
        <v>2468</v>
      </c>
      <c r="E16" s="238" t="s">
        <v>2409</v>
      </c>
      <c r="F16" s="237"/>
      <c r="J16" s="239" t="s">
        <v>2469</v>
      </c>
      <c r="K16" s="242">
        <f>K7*B4</f>
        <v>635000</v>
      </c>
      <c r="L16" s="238" t="s">
        <v>2407</v>
      </c>
      <c r="M16" s="238"/>
    </row>
    <row r="17" spans="1:13" x14ac:dyDescent="0.25">
      <c r="A17" s="236"/>
      <c r="B17" s="237"/>
      <c r="C17" s="237"/>
      <c r="D17" s="237"/>
      <c r="E17" s="237"/>
      <c r="F17" s="237"/>
      <c r="J17" s="239" t="s">
        <v>2470</v>
      </c>
      <c r="K17" s="242">
        <f>B12*K7</f>
        <v>1565.6499999999999</v>
      </c>
      <c r="L17" s="238" t="s">
        <v>2393</v>
      </c>
      <c r="M17" s="238"/>
    </row>
    <row r="18" spans="1:13" ht="15.75" customHeight="1" x14ac:dyDescent="0.25">
      <c r="E18" s="237"/>
      <c r="F18" s="237"/>
      <c r="J18" s="236"/>
      <c r="K18" s="237"/>
      <c r="L18" s="237"/>
      <c r="M18" s="237"/>
    </row>
    <row r="19" spans="1:13" ht="30" x14ac:dyDescent="0.25">
      <c r="E19" s="237"/>
      <c r="F19" s="237"/>
      <c r="J19" s="172" t="s">
        <v>2423</v>
      </c>
      <c r="K19" s="173" t="s">
        <v>2450</v>
      </c>
      <c r="L19" s="173" t="s">
        <v>2450</v>
      </c>
      <c r="M19" s="173" t="s">
        <v>2450</v>
      </c>
    </row>
    <row r="20" spans="1:13" x14ac:dyDescent="0.25">
      <c r="E20" s="237"/>
      <c r="F20" s="237"/>
      <c r="J20" s="177" t="s">
        <v>2389</v>
      </c>
      <c r="K20" s="174" t="s">
        <v>2390</v>
      </c>
      <c r="L20" s="174" t="s">
        <v>2378</v>
      </c>
      <c r="M20" s="175" t="s">
        <v>2379</v>
      </c>
    </row>
    <row r="21" spans="1:13" x14ac:dyDescent="0.25">
      <c r="E21" s="237"/>
      <c r="F21" s="237"/>
      <c r="J21" s="239" t="s">
        <v>44</v>
      </c>
      <c r="K21" s="190">
        <f>B16*K7</f>
        <v>896000</v>
      </c>
      <c r="L21" s="238" t="s">
        <v>2471</v>
      </c>
      <c r="M21" s="238" t="s">
        <v>2468</v>
      </c>
    </row>
    <row r="22" spans="1:13" x14ac:dyDescent="0.25">
      <c r="E22" s="237"/>
      <c r="F22" s="237"/>
    </row>
    <row r="23" spans="1:13" x14ac:dyDescent="0.25">
      <c r="E23" s="237"/>
      <c r="F23" s="237"/>
    </row>
    <row r="24" spans="1:13" x14ac:dyDescent="0.25">
      <c r="E24" s="237"/>
      <c r="F24" s="237"/>
    </row>
    <row r="25" spans="1:13" x14ac:dyDescent="0.25">
      <c r="E25" s="237"/>
      <c r="F25" s="237"/>
    </row>
    <row r="26" spans="1:13" x14ac:dyDescent="0.25">
      <c r="E26" s="237"/>
      <c r="F26" s="237"/>
    </row>
    <row r="27" spans="1:13" x14ac:dyDescent="0.25">
      <c r="E27" s="237"/>
      <c r="F27" s="237"/>
    </row>
    <row r="28" spans="1:13" x14ac:dyDescent="0.25">
      <c r="E28" s="237"/>
      <c r="F28" s="237"/>
    </row>
    <row r="29" spans="1:13" x14ac:dyDescent="0.25">
      <c r="E29" s="237"/>
      <c r="F29" s="237"/>
    </row>
    <row r="30" spans="1:13" x14ac:dyDescent="0.25">
      <c r="E30" s="237"/>
      <c r="F30" s="237"/>
    </row>
    <row r="31" spans="1:13" x14ac:dyDescent="0.25">
      <c r="E31" s="237"/>
      <c r="F31" s="237"/>
    </row>
    <row r="32" spans="1:13" x14ac:dyDescent="0.25">
      <c r="E32" s="237"/>
      <c r="F32" s="237"/>
    </row>
    <row r="33" spans="1:6" x14ac:dyDescent="0.25">
      <c r="E33" s="237"/>
      <c r="F33" s="237"/>
    </row>
    <row r="34" spans="1:6" x14ac:dyDescent="0.25">
      <c r="E34" s="237"/>
      <c r="F34" s="237"/>
    </row>
    <row r="35" spans="1:6" x14ac:dyDescent="0.25">
      <c r="E35" s="237"/>
      <c r="F35" s="237"/>
    </row>
    <row r="36" spans="1:6" x14ac:dyDescent="0.25">
      <c r="E36" s="237"/>
      <c r="F36" s="237"/>
    </row>
    <row r="37" spans="1:6" x14ac:dyDescent="0.25">
      <c r="E37" s="237"/>
      <c r="F37" s="237"/>
    </row>
    <row r="38" spans="1:6" x14ac:dyDescent="0.25">
      <c r="E38" s="237"/>
      <c r="F38" s="237"/>
    </row>
    <row r="39" spans="1:6" x14ac:dyDescent="0.25">
      <c r="A39" s="236"/>
      <c r="B39" s="237"/>
      <c r="C39" s="237"/>
      <c r="D39" s="237"/>
      <c r="E39" s="237"/>
      <c r="F39" s="237"/>
    </row>
    <row r="40" spans="1:6" x14ac:dyDescent="0.25">
      <c r="A40" s="236"/>
      <c r="B40" s="237"/>
      <c r="C40" s="237"/>
      <c r="D40" s="237"/>
      <c r="E40" s="237"/>
      <c r="F40" s="237"/>
    </row>
    <row r="41" spans="1:6" x14ac:dyDescent="0.25">
      <c r="A41" s="236"/>
      <c r="B41" s="237"/>
      <c r="C41" s="237"/>
      <c r="D41" s="237"/>
      <c r="E41" s="237"/>
      <c r="F41" s="237"/>
    </row>
    <row r="42" spans="1:6" x14ac:dyDescent="0.25">
      <c r="A42" s="236"/>
      <c r="B42" s="237"/>
      <c r="C42" s="237"/>
      <c r="D42" s="237"/>
      <c r="E42" s="237"/>
      <c r="F42" s="237"/>
    </row>
    <row r="43" spans="1:6" x14ac:dyDescent="0.25">
      <c r="A43" s="236"/>
      <c r="B43" s="237"/>
      <c r="C43" s="237"/>
      <c r="D43" s="237"/>
      <c r="E43" s="237"/>
      <c r="F43" s="237"/>
    </row>
    <row r="44" spans="1:6" x14ac:dyDescent="0.25">
      <c r="A44" s="236"/>
      <c r="B44" s="237"/>
      <c r="C44" s="237"/>
      <c r="D44" s="237"/>
      <c r="E44" s="237"/>
      <c r="F44" s="237"/>
    </row>
    <row r="45" spans="1:6" x14ac:dyDescent="0.25">
      <c r="A45" s="236"/>
      <c r="B45" s="237"/>
      <c r="C45" s="237"/>
      <c r="D45" s="237"/>
      <c r="E45" s="237"/>
      <c r="F45" s="237"/>
    </row>
    <row r="46" spans="1:6" x14ac:dyDescent="0.25">
      <c r="A46" s="236"/>
      <c r="B46" s="237"/>
      <c r="C46" s="237"/>
      <c r="D46" s="237"/>
      <c r="E46" s="237"/>
      <c r="F46" s="237"/>
    </row>
    <row r="47" spans="1:6" x14ac:dyDescent="0.25">
      <c r="A47" s="236"/>
      <c r="B47" s="237"/>
      <c r="C47" s="237"/>
      <c r="D47" s="237"/>
      <c r="E47" s="237"/>
      <c r="F47" s="237"/>
    </row>
    <row r="48" spans="1:6" x14ac:dyDescent="0.25">
      <c r="A48" s="236"/>
      <c r="B48" s="237"/>
      <c r="C48" s="237"/>
      <c r="D48" s="237"/>
      <c r="E48" s="237"/>
      <c r="F48" s="237"/>
    </row>
    <row r="49" spans="1:6" x14ac:dyDescent="0.25">
      <c r="A49" s="236"/>
      <c r="B49" s="237"/>
      <c r="C49" s="237"/>
      <c r="D49" s="237"/>
      <c r="E49" s="237"/>
      <c r="F49" s="237"/>
    </row>
    <row r="50" spans="1:6" x14ac:dyDescent="0.25">
      <c r="A50" s="236"/>
      <c r="B50" s="237"/>
      <c r="C50" s="237"/>
      <c r="D50" s="237"/>
      <c r="E50" s="237"/>
      <c r="F50" s="237"/>
    </row>
    <row r="51" spans="1:6" x14ac:dyDescent="0.25">
      <c r="A51" s="236"/>
      <c r="B51" s="237"/>
      <c r="C51" s="237"/>
      <c r="D51" s="237"/>
      <c r="E51" s="237"/>
      <c r="F51" s="237"/>
    </row>
    <row r="52" spans="1:6" x14ac:dyDescent="0.25">
      <c r="A52" s="236"/>
      <c r="B52" s="237"/>
      <c r="C52" s="237"/>
      <c r="D52" s="237"/>
      <c r="E52" s="237"/>
      <c r="F52" s="237"/>
    </row>
    <row r="53" spans="1:6" x14ac:dyDescent="0.25">
      <c r="A53" s="236"/>
      <c r="B53" s="237"/>
      <c r="C53" s="237"/>
      <c r="D53" s="237"/>
      <c r="E53" s="237"/>
      <c r="F53" s="237"/>
    </row>
    <row r="54" spans="1:6" x14ac:dyDescent="0.25">
      <c r="A54" s="236"/>
      <c r="B54" s="237"/>
      <c r="C54" s="237"/>
      <c r="D54" s="237"/>
      <c r="E54" s="237"/>
      <c r="F54" s="237"/>
    </row>
    <row r="55" spans="1:6" x14ac:dyDescent="0.25">
      <c r="A55" s="236"/>
      <c r="B55" s="237"/>
      <c r="C55" s="237"/>
      <c r="D55" s="237"/>
      <c r="E55" s="237"/>
      <c r="F55" s="237"/>
    </row>
    <row r="56" spans="1:6" x14ac:dyDescent="0.25">
      <c r="A56" s="236"/>
      <c r="B56" s="237"/>
      <c r="C56" s="237"/>
      <c r="D56" s="237"/>
      <c r="E56" s="237"/>
      <c r="F56" s="237"/>
    </row>
    <row r="57" spans="1:6" x14ac:dyDescent="0.25">
      <c r="A57" s="236"/>
      <c r="B57" s="237"/>
      <c r="C57" s="237"/>
      <c r="D57" s="237"/>
      <c r="E57" s="237"/>
      <c r="F57" s="237"/>
    </row>
    <row r="58" spans="1:6" x14ac:dyDescent="0.25">
      <c r="A58" s="236"/>
      <c r="B58" s="237"/>
      <c r="C58" s="237"/>
      <c r="D58" s="237"/>
      <c r="E58" s="237"/>
      <c r="F58" s="237"/>
    </row>
    <row r="59" spans="1:6" x14ac:dyDescent="0.25">
      <c r="A59" s="236"/>
      <c r="B59" s="237"/>
      <c r="C59" s="237"/>
      <c r="D59" s="237"/>
      <c r="E59" s="237"/>
      <c r="F59" s="237"/>
    </row>
    <row r="60" spans="1:6" x14ac:dyDescent="0.25">
      <c r="A60" s="236"/>
      <c r="B60" s="237"/>
      <c r="C60" s="237"/>
      <c r="D60" s="237"/>
      <c r="E60" s="237"/>
      <c r="F60" s="237"/>
    </row>
    <row r="61" spans="1:6" x14ac:dyDescent="0.25">
      <c r="A61" s="236"/>
      <c r="B61" s="237"/>
      <c r="C61" s="237"/>
      <c r="D61" s="237"/>
      <c r="E61" s="237"/>
      <c r="F61" s="237"/>
    </row>
    <row r="62" spans="1:6" x14ac:dyDescent="0.25">
      <c r="A62" s="236"/>
      <c r="B62" s="237"/>
      <c r="C62" s="237"/>
      <c r="D62" s="237"/>
      <c r="E62" s="237"/>
      <c r="F62" s="237"/>
    </row>
    <row r="63" spans="1:6" x14ac:dyDescent="0.25">
      <c r="A63" s="236"/>
      <c r="B63" s="237"/>
      <c r="C63" s="237"/>
      <c r="D63" s="237"/>
      <c r="E63" s="237"/>
      <c r="F63" s="237"/>
    </row>
    <row r="64" spans="1:6" x14ac:dyDescent="0.25">
      <c r="A64" s="236"/>
      <c r="B64" s="237"/>
      <c r="C64" s="237"/>
      <c r="D64" s="237"/>
      <c r="E64" s="237"/>
      <c r="F64" s="237"/>
    </row>
    <row r="65" spans="1:6" x14ac:dyDescent="0.25">
      <c r="A65" s="236"/>
      <c r="B65" s="237"/>
      <c r="C65" s="237"/>
      <c r="D65" s="237"/>
      <c r="E65" s="237"/>
      <c r="F65" s="237"/>
    </row>
    <row r="66" spans="1:6" x14ac:dyDescent="0.25">
      <c r="A66" s="236"/>
      <c r="B66" s="237"/>
      <c r="C66" s="237"/>
      <c r="D66" s="237"/>
      <c r="E66" s="237"/>
      <c r="F66" s="237"/>
    </row>
    <row r="67" spans="1:6" x14ac:dyDescent="0.25">
      <c r="A67" s="236"/>
      <c r="B67" s="237"/>
      <c r="C67" s="237"/>
      <c r="D67" s="237"/>
      <c r="E67" s="237"/>
      <c r="F67" s="237"/>
    </row>
    <row r="68" spans="1:6" x14ac:dyDescent="0.25">
      <c r="A68" s="236"/>
      <c r="B68" s="237"/>
      <c r="C68" s="237"/>
      <c r="D68" s="237"/>
      <c r="E68" s="237"/>
      <c r="F68" s="237"/>
    </row>
    <row r="69" spans="1:6" x14ac:dyDescent="0.25">
      <c r="A69" s="236"/>
      <c r="B69" s="237"/>
      <c r="C69" s="237"/>
      <c r="D69" s="237"/>
      <c r="E69" s="237"/>
      <c r="F69" s="237"/>
    </row>
    <row r="70" spans="1:6" x14ac:dyDescent="0.25">
      <c r="A70" s="236"/>
      <c r="B70" s="237"/>
      <c r="C70" s="237"/>
      <c r="D70" s="237"/>
      <c r="E70" s="237"/>
      <c r="F70" s="237"/>
    </row>
    <row r="71" spans="1:6" x14ac:dyDescent="0.25">
      <c r="A71" s="236"/>
      <c r="B71" s="237"/>
      <c r="C71" s="237"/>
      <c r="D71" s="237"/>
      <c r="E71" s="237"/>
      <c r="F71" s="237"/>
    </row>
    <row r="72" spans="1:6" x14ac:dyDescent="0.25">
      <c r="A72" s="236"/>
      <c r="B72" s="237"/>
      <c r="C72" s="237"/>
      <c r="D72" s="237"/>
      <c r="E72" s="237"/>
      <c r="F72" s="237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90" t="s">
        <v>73</v>
      </c>
      <c r="B1" s="90" t="s">
        <v>1</v>
      </c>
    </row>
    <row r="2" spans="1:8" x14ac:dyDescent="0.25">
      <c r="D2" s="5" t="s">
        <v>2472</v>
      </c>
      <c r="E2" s="5" t="s">
        <v>2473</v>
      </c>
      <c r="F2" s="5" t="s">
        <v>2474</v>
      </c>
      <c r="G2" s="5" t="s">
        <v>2475</v>
      </c>
      <c r="H2" s="5" t="s">
        <v>2476</v>
      </c>
    </row>
    <row r="3" spans="1:8" x14ac:dyDescent="0.25">
      <c r="A3" t="s">
        <v>2477</v>
      </c>
      <c r="B3" s="76">
        <v>121</v>
      </c>
      <c r="C3" t="s">
        <v>2383</v>
      </c>
      <c r="D3" s="77">
        <v>100</v>
      </c>
      <c r="E3" s="5">
        <v>111</v>
      </c>
      <c r="F3" s="5">
        <v>155.4</v>
      </c>
      <c r="G3" s="5">
        <f>7615*0.404</f>
        <v>3076.46</v>
      </c>
      <c r="H3" s="77">
        <v>100</v>
      </c>
    </row>
    <row r="4" spans="1:8" x14ac:dyDescent="0.25">
      <c r="A4" t="s">
        <v>2478</v>
      </c>
      <c r="B4" s="76">
        <v>328.5</v>
      </c>
      <c r="D4" s="77"/>
      <c r="E4" s="5"/>
      <c r="F4" s="5"/>
      <c r="G4" s="5"/>
      <c r="H4" s="77"/>
    </row>
    <row r="5" spans="1:8" x14ac:dyDescent="0.25">
      <c r="A5" t="s">
        <v>2479</v>
      </c>
      <c r="B5" s="76"/>
      <c r="D5" s="77"/>
      <c r="E5" s="5"/>
      <c r="F5" s="5"/>
      <c r="G5" s="5"/>
      <c r="H5" s="77"/>
    </row>
    <row r="6" spans="1:8" x14ac:dyDescent="0.25">
      <c r="A6" t="s">
        <v>2480</v>
      </c>
      <c r="B6" s="76">
        <v>0.8</v>
      </c>
      <c r="D6" s="77">
        <v>0.8</v>
      </c>
      <c r="E6" s="78">
        <f>92/111</f>
        <v>0.8288288288288288</v>
      </c>
      <c r="F6" s="78">
        <f>100/155.4</f>
        <v>0.64350064350064351</v>
      </c>
      <c r="G6" s="78">
        <f>G7/G3</f>
        <v>0.65659881812212739</v>
      </c>
      <c r="H6" s="77">
        <v>0.8</v>
      </c>
    </row>
    <row r="7" spans="1:8" x14ac:dyDescent="0.25">
      <c r="A7" t="s">
        <v>2481</v>
      </c>
      <c r="B7">
        <f>B3*B6</f>
        <v>96.800000000000011</v>
      </c>
      <c r="C7" t="s">
        <v>2383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2482</v>
      </c>
      <c r="B8" s="79">
        <v>13.5</v>
      </c>
      <c r="C8" t="s">
        <v>2483</v>
      </c>
      <c r="D8" s="5" t="s">
        <v>2484</v>
      </c>
      <c r="E8" s="78">
        <f>23.84/1.03</f>
        <v>23.145631067961165</v>
      </c>
      <c r="F8" s="5" t="s">
        <v>2485</v>
      </c>
      <c r="G8" s="80" t="s">
        <v>2486</v>
      </c>
      <c r="H8" s="5" t="s">
        <v>2487</v>
      </c>
    </row>
    <row r="9" spans="1:8" x14ac:dyDescent="0.25">
      <c r="A9" t="s">
        <v>2488</v>
      </c>
      <c r="B9">
        <f>(B8*B7*10000)/10^6</f>
        <v>13.068000000000001</v>
      </c>
      <c r="C9" t="s">
        <v>2489</v>
      </c>
      <c r="D9" s="78">
        <f>(25*80*10000)/10^6</f>
        <v>20</v>
      </c>
      <c r="E9" s="78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2490</v>
      </c>
      <c r="B10" s="76">
        <v>0.2</v>
      </c>
      <c r="C10" t="s">
        <v>2491</v>
      </c>
      <c r="D10" s="77">
        <v>0.2</v>
      </c>
      <c r="E10" s="5">
        <v>0.15</v>
      </c>
      <c r="F10" s="5" t="s">
        <v>2492</v>
      </c>
      <c r="G10" s="5" t="s">
        <v>2493</v>
      </c>
      <c r="H10" s="77">
        <v>0.2</v>
      </c>
    </row>
    <row r="11" spans="1:8" x14ac:dyDescent="0.25">
      <c r="A11" t="s">
        <v>2494</v>
      </c>
      <c r="B11" s="81">
        <f>B10*B7*10000*10^3</f>
        <v>193600000.00000003</v>
      </c>
      <c r="C11" t="s">
        <v>2495</v>
      </c>
      <c r="D11" s="82">
        <f>(D10*D7*10000)*1000</f>
        <v>160000000</v>
      </c>
      <c r="E11" s="82">
        <v>114000000</v>
      </c>
      <c r="F11" s="82" t="s">
        <v>2496</v>
      </c>
      <c r="G11" s="83">
        <f>(9*0.0254)*2020*10000*10^3</f>
        <v>4617720000</v>
      </c>
      <c r="H11" s="82">
        <f>(H10*H7*10000)*1000</f>
        <v>160000000</v>
      </c>
    </row>
    <row r="12" spans="1:8" x14ac:dyDescent="0.25">
      <c r="A12" t="s">
        <v>2497</v>
      </c>
      <c r="B12" s="76">
        <v>0.5</v>
      </c>
      <c r="C12" t="s">
        <v>2498</v>
      </c>
      <c r="D12" s="77">
        <v>0.5</v>
      </c>
      <c r="E12" s="5" t="s">
        <v>2499</v>
      </c>
      <c r="F12" s="5" t="s">
        <v>2500</v>
      </c>
      <c r="G12" s="5" t="s">
        <v>2501</v>
      </c>
      <c r="H12" s="5" t="s">
        <v>2502</v>
      </c>
    </row>
    <row r="13" spans="1:8" x14ac:dyDescent="0.25">
      <c r="A13" t="s">
        <v>2503</v>
      </c>
      <c r="B13" s="81">
        <f>(B9*10^6)/B12</f>
        <v>26136000.000000004</v>
      </c>
      <c r="C13" t="s">
        <v>2504</v>
      </c>
      <c r="D13" s="82">
        <f>(D9*10^6)/0.5</f>
        <v>40000000</v>
      </c>
      <c r="E13" s="82">
        <f>(E9*10^6)/0.433</f>
        <v>49177784.255252361</v>
      </c>
      <c r="F13" s="82">
        <f>(F9*10^6)/0.38</f>
        <v>57894736.842105262</v>
      </c>
      <c r="G13" s="82">
        <f>(G9*10^6)/0.5</f>
        <v>1212000000</v>
      </c>
      <c r="H13" s="82">
        <f>(H9*10^6)/0.5</f>
        <v>20800000</v>
      </c>
    </row>
    <row r="14" spans="1:8" x14ac:dyDescent="0.25">
      <c r="A14" t="s">
        <v>2505</v>
      </c>
      <c r="B14" s="76">
        <v>0.25</v>
      </c>
      <c r="D14" s="5" t="s">
        <v>2506</v>
      </c>
      <c r="E14" s="5">
        <v>0.379</v>
      </c>
      <c r="F14" s="5" t="s">
        <v>2507</v>
      </c>
      <c r="G14" s="5" t="s">
        <v>2508</v>
      </c>
      <c r="H14" s="5" t="s">
        <v>2509</v>
      </c>
    </row>
    <row r="15" spans="1:8" x14ac:dyDescent="0.25">
      <c r="A15" t="s">
        <v>2510</v>
      </c>
      <c r="B15">
        <f>B9*B14</f>
        <v>3.2670000000000003</v>
      </c>
      <c r="C15" t="s">
        <v>2489</v>
      </c>
      <c r="D15" s="78">
        <f>D9*0.5</f>
        <v>10</v>
      </c>
      <c r="E15" s="78">
        <f>E9*E14</f>
        <v>8.0704186407766993</v>
      </c>
      <c r="F15" s="78">
        <f>F9*0.25</f>
        <v>5.5</v>
      </c>
      <c r="G15" s="78">
        <f>G9*0.274</f>
        <v>166.04400000000001</v>
      </c>
      <c r="H15" s="5" t="s">
        <v>2509</v>
      </c>
    </row>
    <row r="16" spans="1:8" x14ac:dyDescent="0.25">
      <c r="A16" t="s">
        <v>2511</v>
      </c>
      <c r="B16" s="76">
        <v>0.75</v>
      </c>
      <c r="D16" s="5" t="s">
        <v>2512</v>
      </c>
      <c r="E16" s="5">
        <v>0.78800000000000003</v>
      </c>
      <c r="F16" s="5" t="s">
        <v>2513</v>
      </c>
      <c r="G16" s="5" t="s">
        <v>2514</v>
      </c>
      <c r="H16" s="5"/>
    </row>
    <row r="17" spans="1:8" x14ac:dyDescent="0.25">
      <c r="A17" t="s">
        <v>2515</v>
      </c>
      <c r="B17" s="76">
        <v>0.9</v>
      </c>
      <c r="D17" s="77">
        <v>0.95</v>
      </c>
      <c r="E17" s="5">
        <v>1</v>
      </c>
      <c r="F17" s="5" t="s">
        <v>2516</v>
      </c>
      <c r="G17" s="5" t="s">
        <v>2509</v>
      </c>
      <c r="H17" s="5"/>
    </row>
    <row r="18" spans="1:8" x14ac:dyDescent="0.25">
      <c r="A18" t="s">
        <v>2517</v>
      </c>
      <c r="B18" s="76">
        <v>0.9</v>
      </c>
      <c r="D18" s="77">
        <v>0.95</v>
      </c>
      <c r="E18" s="5">
        <v>1</v>
      </c>
      <c r="F18" s="5" t="s">
        <v>2509</v>
      </c>
      <c r="G18" s="5" t="s">
        <v>2509</v>
      </c>
      <c r="H18" s="5"/>
    </row>
    <row r="19" spans="1:8" x14ac:dyDescent="0.25">
      <c r="A19" t="s">
        <v>2518</v>
      </c>
      <c r="B19" s="76">
        <f>109</f>
        <v>109</v>
      </c>
      <c r="C19" t="s">
        <v>2519</v>
      </c>
      <c r="D19" s="5">
        <v>38</v>
      </c>
      <c r="E19" s="5">
        <v>140</v>
      </c>
      <c r="F19" s="5" t="s">
        <v>2520</v>
      </c>
      <c r="G19" s="78" t="e">
        <f>AVERAGE(K19:K27)</f>
        <v>#DIV/0!</v>
      </c>
      <c r="H19" s="4">
        <f>(H20/3.6)/H7</f>
        <v>98.222222222222229</v>
      </c>
    </row>
    <row r="20" spans="1:8" x14ac:dyDescent="0.25">
      <c r="B20" s="84">
        <f>B19*3.6*B7</f>
        <v>37984.320000000007</v>
      </c>
      <c r="C20" t="s">
        <v>2521</v>
      </c>
      <c r="D20" s="82">
        <f>D19*3.6*80</f>
        <v>10944</v>
      </c>
      <c r="E20" s="82">
        <f>E19*3.6*92</f>
        <v>46368</v>
      </c>
      <c r="F20" s="82">
        <f>47.7*3.6*92</f>
        <v>15798.240000000002</v>
      </c>
      <c r="G20" s="82" t="e">
        <f>G19*3.6*G9</f>
        <v>#DIV/0!</v>
      </c>
      <c r="H20" s="82">
        <f>2.72*H9*1000</f>
        <v>28288.000000000004</v>
      </c>
    </row>
    <row r="21" spans="1:8" x14ac:dyDescent="0.25">
      <c r="A21" t="s">
        <v>2522</v>
      </c>
      <c r="B21">
        <f>B8*(B7*10000)*B4*10^-3</f>
        <v>4292838.0000000009</v>
      </c>
    </row>
    <row r="25" spans="1:8" x14ac:dyDescent="0.25">
      <c r="A25" t="s">
        <v>2523</v>
      </c>
    </row>
    <row r="26" spans="1:8" x14ac:dyDescent="0.25">
      <c r="A26" t="s">
        <v>2524</v>
      </c>
      <c r="B26" s="1"/>
    </row>
    <row r="30" spans="1:8" x14ac:dyDescent="0.25">
      <c r="A30" t="s">
        <v>2525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5"/>
  <sheetViews>
    <sheetView zoomScale="160" zoomScaleNormal="160" workbookViewId="0">
      <selection activeCell="C23" sqref="C23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6.5" customHeight="1" x14ac:dyDescent="0.3">
      <c r="A1" s="104" t="s">
        <v>2376</v>
      </c>
      <c r="B1" s="150" t="s">
        <v>2377</v>
      </c>
      <c r="C1" s="151" t="s">
        <v>2378</v>
      </c>
      <c r="D1" s="151" t="s">
        <v>2379</v>
      </c>
      <c r="E1" s="151" t="s">
        <v>2380</v>
      </c>
      <c r="F1" s="237"/>
      <c r="G1" s="90" t="s">
        <v>73</v>
      </c>
      <c r="H1" s="90" t="s">
        <v>2434</v>
      </c>
      <c r="J1" s="283" t="s">
        <v>2382</v>
      </c>
      <c r="K1" s="283"/>
      <c r="L1" s="283"/>
      <c r="M1" s="283"/>
    </row>
    <row r="2" spans="1:19" x14ac:dyDescent="0.25">
      <c r="A2" s="233" t="s">
        <v>2111</v>
      </c>
      <c r="B2" s="148">
        <v>2.1227299999999998</v>
      </c>
      <c r="C2" s="232" t="s">
        <v>2399</v>
      </c>
      <c r="D2" s="232" t="s">
        <v>2526</v>
      </c>
      <c r="E2" s="232" t="s">
        <v>2388</v>
      </c>
      <c r="F2" s="237"/>
      <c r="H2" s="85"/>
      <c r="I2" s="85"/>
      <c r="J2" s="268" t="s">
        <v>2384</v>
      </c>
      <c r="K2" s="268"/>
      <c r="L2" s="268"/>
      <c r="M2" s="268"/>
      <c r="N2" s="85"/>
      <c r="O2" s="85"/>
      <c r="P2" s="85"/>
      <c r="Q2" s="85"/>
      <c r="R2" s="85"/>
      <c r="S2" s="85"/>
    </row>
    <row r="3" spans="1:19" x14ac:dyDescent="0.25">
      <c r="A3" s="233" t="s">
        <v>2098</v>
      </c>
      <c r="B3" s="148">
        <v>4.9863599999999996E-3</v>
      </c>
      <c r="C3" s="232" t="s">
        <v>2399</v>
      </c>
      <c r="D3" s="232" t="s">
        <v>2527</v>
      </c>
      <c r="E3" s="232" t="s">
        <v>2388</v>
      </c>
      <c r="F3" s="237"/>
      <c r="H3" s="85"/>
      <c r="I3" s="85"/>
      <c r="J3" s="104" t="s">
        <v>2389</v>
      </c>
      <c r="K3" s="104" t="s">
        <v>2390</v>
      </c>
      <c r="L3" s="106" t="s">
        <v>2378</v>
      </c>
      <c r="M3" s="107" t="s">
        <v>2379</v>
      </c>
      <c r="N3" s="85"/>
      <c r="O3" s="85"/>
      <c r="P3" s="85"/>
      <c r="Q3" s="85"/>
      <c r="R3" s="85"/>
      <c r="S3" s="85"/>
    </row>
    <row r="4" spans="1:19" x14ac:dyDescent="0.25">
      <c r="A4" s="233" t="s">
        <v>2528</v>
      </c>
      <c r="B4" s="148">
        <v>1.1852900000000001E-3</v>
      </c>
      <c r="C4" s="232" t="s">
        <v>2399</v>
      </c>
      <c r="D4" s="232" t="s">
        <v>2527</v>
      </c>
      <c r="E4" s="232" t="s">
        <v>2388</v>
      </c>
      <c r="F4" s="237"/>
      <c r="H4" s="85"/>
      <c r="I4" s="85"/>
      <c r="J4" s="225" t="s">
        <v>2037</v>
      </c>
      <c r="K4" s="225">
        <f>CornCult!K24</f>
        <v>1097400</v>
      </c>
      <c r="L4" s="226" t="s">
        <v>2393</v>
      </c>
      <c r="M4" s="227" t="s">
        <v>2529</v>
      </c>
      <c r="N4" s="85"/>
      <c r="O4" s="85"/>
      <c r="P4" s="85"/>
      <c r="Q4" s="85"/>
      <c r="R4" s="85"/>
      <c r="S4" s="85"/>
    </row>
    <row r="5" spans="1:19" x14ac:dyDescent="0.25">
      <c r="A5" s="233" t="s">
        <v>2109</v>
      </c>
      <c r="B5" s="148">
        <v>1.9837800000000001E-3</v>
      </c>
      <c r="C5" s="232" t="s">
        <v>2399</v>
      </c>
      <c r="D5" s="232" t="s">
        <v>2527</v>
      </c>
      <c r="E5" s="232" t="s">
        <v>2388</v>
      </c>
      <c r="F5" s="237"/>
      <c r="H5" s="85"/>
      <c r="I5" s="85"/>
      <c r="J5" s="233" t="s">
        <v>2111</v>
      </c>
      <c r="K5" s="234">
        <f t="shared" ref="K5:K20" si="0">B2*$K$4</f>
        <v>2329483.9019999998</v>
      </c>
      <c r="L5" s="226" t="s">
        <v>2393</v>
      </c>
      <c r="M5" s="232"/>
      <c r="N5" s="85"/>
      <c r="O5" s="85"/>
      <c r="P5" s="85"/>
      <c r="Q5" s="85"/>
      <c r="R5" s="85"/>
      <c r="S5" s="85"/>
    </row>
    <row r="6" spans="1:19" x14ac:dyDescent="0.25">
      <c r="A6" s="233" t="s">
        <v>2028</v>
      </c>
      <c r="B6" s="148">
        <v>6.9556999999999996E-4</v>
      </c>
      <c r="C6" s="232" t="s">
        <v>2399</v>
      </c>
      <c r="D6" s="232" t="s">
        <v>2527</v>
      </c>
      <c r="E6" s="232" t="s">
        <v>2388</v>
      </c>
      <c r="F6" s="237"/>
      <c r="H6" s="85"/>
      <c r="I6" s="85"/>
      <c r="J6" s="233" t="s">
        <v>2098</v>
      </c>
      <c r="K6" s="234">
        <f t="shared" si="0"/>
        <v>5472.0314639999997</v>
      </c>
      <c r="L6" s="226" t="s">
        <v>2393</v>
      </c>
      <c r="M6" s="232"/>
      <c r="N6" s="85"/>
      <c r="O6" s="85"/>
      <c r="P6" s="85"/>
      <c r="Q6" s="85"/>
      <c r="R6" s="85"/>
      <c r="S6" s="85"/>
    </row>
    <row r="7" spans="1:19" x14ac:dyDescent="0.25">
      <c r="A7" s="233" t="s">
        <v>2056</v>
      </c>
      <c r="B7" s="148">
        <v>1.00467E-3</v>
      </c>
      <c r="C7" s="232" t="s">
        <v>2399</v>
      </c>
      <c r="D7" s="232" t="s">
        <v>2527</v>
      </c>
      <c r="E7" s="232" t="s">
        <v>2388</v>
      </c>
      <c r="F7" s="237"/>
      <c r="H7" s="85"/>
      <c r="I7" s="85"/>
      <c r="J7" s="233" t="s">
        <v>2528</v>
      </c>
      <c r="K7" s="234">
        <f t="shared" si="0"/>
        <v>1300.7372460000001</v>
      </c>
      <c r="L7" s="226" t="s">
        <v>2393</v>
      </c>
      <c r="M7" s="232"/>
      <c r="N7" s="85"/>
      <c r="O7" s="85"/>
      <c r="P7" s="85"/>
      <c r="Q7" s="85"/>
      <c r="R7" s="85"/>
      <c r="S7" s="85"/>
    </row>
    <row r="8" spans="1:19" x14ac:dyDescent="0.25">
      <c r="A8" s="233" t="s">
        <v>2106</v>
      </c>
      <c r="B8" s="148">
        <v>1.9837780734934156E-3</v>
      </c>
      <c r="C8" s="232" t="s">
        <v>2399</v>
      </c>
      <c r="D8" s="232" t="s">
        <v>2527</v>
      </c>
      <c r="E8" s="232" t="s">
        <v>2388</v>
      </c>
      <c r="F8" s="237"/>
      <c r="H8" s="85"/>
      <c r="I8" s="85"/>
      <c r="J8" s="233" t="s">
        <v>2109</v>
      </c>
      <c r="K8" s="234">
        <f t="shared" si="0"/>
        <v>2177.000172</v>
      </c>
      <c r="L8" s="226" t="s">
        <v>2393</v>
      </c>
      <c r="M8" s="232"/>
      <c r="N8" s="85"/>
      <c r="O8" s="85"/>
      <c r="P8" s="85"/>
      <c r="Q8" s="85"/>
      <c r="R8" s="85"/>
      <c r="S8" s="85"/>
    </row>
    <row r="9" spans="1:19" x14ac:dyDescent="0.25">
      <c r="A9" s="233" t="s">
        <v>2122</v>
      </c>
      <c r="B9" s="148">
        <v>1.8743823055297521E-4</v>
      </c>
      <c r="C9" s="232" t="s">
        <v>2399</v>
      </c>
      <c r="D9" s="232" t="s">
        <v>2527</v>
      </c>
      <c r="E9" s="232" t="s">
        <v>2388</v>
      </c>
      <c r="F9" s="237"/>
      <c r="H9" s="85"/>
      <c r="I9" s="85"/>
      <c r="J9" s="233" t="s">
        <v>2028</v>
      </c>
      <c r="K9" s="234">
        <f t="shared" si="0"/>
        <v>763.31851799999993</v>
      </c>
      <c r="L9" s="226" t="s">
        <v>2393</v>
      </c>
      <c r="M9" s="232"/>
      <c r="N9" s="85"/>
      <c r="O9" s="85"/>
      <c r="P9" s="85"/>
      <c r="Q9" s="85"/>
      <c r="R9" s="85"/>
      <c r="S9" s="85"/>
    </row>
    <row r="10" spans="1:19" x14ac:dyDescent="0.25">
      <c r="A10" s="233" t="s">
        <v>2133</v>
      </c>
      <c r="B10" s="148">
        <v>1.4532693306658814E-2</v>
      </c>
      <c r="C10" s="232" t="s">
        <v>2399</v>
      </c>
      <c r="D10" s="232" t="s">
        <v>2527</v>
      </c>
      <c r="E10" s="232" t="s">
        <v>2388</v>
      </c>
      <c r="F10" s="237"/>
      <c r="H10" s="85"/>
      <c r="I10" s="85"/>
      <c r="J10" s="233" t="s">
        <v>2056</v>
      </c>
      <c r="K10" s="234">
        <f t="shared" si="0"/>
        <v>1102.524858</v>
      </c>
      <c r="L10" s="226" t="s">
        <v>2393</v>
      </c>
      <c r="M10" s="232"/>
      <c r="N10" s="85"/>
      <c r="O10" s="85"/>
      <c r="P10" s="85"/>
      <c r="Q10" s="85"/>
      <c r="R10" s="85"/>
      <c r="S10" s="85"/>
    </row>
    <row r="11" spans="1:19" x14ac:dyDescent="0.25">
      <c r="A11" s="233" t="s">
        <v>2103</v>
      </c>
      <c r="B11" s="148">
        <v>0.92018</v>
      </c>
      <c r="C11" s="232" t="s">
        <v>2399</v>
      </c>
      <c r="D11" s="232" t="s">
        <v>2527</v>
      </c>
      <c r="E11" s="232" t="s">
        <v>2388</v>
      </c>
      <c r="F11" s="237"/>
      <c r="H11" s="85"/>
      <c r="I11" s="85"/>
      <c r="J11" s="233" t="s">
        <v>2106</v>
      </c>
      <c r="K11" s="234">
        <f t="shared" si="0"/>
        <v>2176.9980578516743</v>
      </c>
      <c r="L11" s="226" t="s">
        <v>2393</v>
      </c>
      <c r="M11" s="232"/>
      <c r="N11" s="85"/>
      <c r="O11" s="85"/>
      <c r="P11" s="85"/>
      <c r="Q11" s="85"/>
      <c r="R11" s="85"/>
      <c r="S11" s="85"/>
    </row>
    <row r="12" spans="1:19" x14ac:dyDescent="0.25">
      <c r="A12" s="233" t="s">
        <v>2111</v>
      </c>
      <c r="B12" s="148">
        <v>9.2148042199999995</v>
      </c>
      <c r="C12" s="232" t="s">
        <v>2399</v>
      </c>
      <c r="D12" s="232" t="s">
        <v>2527</v>
      </c>
      <c r="E12" s="232" t="s">
        <v>2388</v>
      </c>
      <c r="F12" s="237"/>
      <c r="H12" s="85"/>
      <c r="I12" s="85"/>
      <c r="J12" s="233" t="s">
        <v>2122</v>
      </c>
      <c r="K12" s="234">
        <f t="shared" si="0"/>
        <v>205.69471420883499</v>
      </c>
      <c r="L12" s="226" t="s">
        <v>2393</v>
      </c>
      <c r="M12" s="232"/>
      <c r="N12" s="85"/>
      <c r="O12" s="85"/>
      <c r="P12" s="85"/>
      <c r="Q12" s="85"/>
      <c r="R12" s="85"/>
      <c r="S12" s="85"/>
    </row>
    <row r="13" spans="1:19" x14ac:dyDescent="0.25">
      <c r="A13" s="233" t="s">
        <v>2135</v>
      </c>
      <c r="B13" s="148">
        <v>3.6165519000000002</v>
      </c>
      <c r="C13" s="232" t="s">
        <v>2419</v>
      </c>
      <c r="D13" s="232" t="s">
        <v>2527</v>
      </c>
      <c r="E13" s="232" t="s">
        <v>2388</v>
      </c>
      <c r="F13" s="237"/>
      <c r="H13" s="85"/>
      <c r="I13" s="85"/>
      <c r="J13" s="233" t="s">
        <v>2133</v>
      </c>
      <c r="K13" s="234">
        <f t="shared" si="0"/>
        <v>15948.177634727383</v>
      </c>
      <c r="L13" s="226" t="s">
        <v>2393</v>
      </c>
      <c r="M13" s="232" t="s">
        <v>2530</v>
      </c>
      <c r="N13" s="85"/>
      <c r="O13" s="85"/>
      <c r="P13" s="85"/>
      <c r="Q13" s="85"/>
      <c r="R13" s="85"/>
      <c r="S13" s="85"/>
    </row>
    <row r="14" spans="1:19" x14ac:dyDescent="0.25">
      <c r="A14" s="233" t="s">
        <v>2415</v>
      </c>
      <c r="B14" s="148">
        <v>0.30755676599999998</v>
      </c>
      <c r="C14" s="232" t="s">
        <v>2419</v>
      </c>
      <c r="D14" s="232" t="s">
        <v>2527</v>
      </c>
      <c r="E14" s="232" t="s">
        <v>2388</v>
      </c>
      <c r="F14" s="237"/>
      <c r="H14" s="85"/>
      <c r="I14" s="85"/>
      <c r="J14" s="233" t="s">
        <v>2103</v>
      </c>
      <c r="K14" s="234">
        <f t="shared" si="0"/>
        <v>1009805.532</v>
      </c>
      <c r="L14" s="226" t="s">
        <v>2393</v>
      </c>
      <c r="M14" s="232"/>
      <c r="N14" s="85"/>
      <c r="O14" s="85"/>
      <c r="P14" s="85"/>
      <c r="Q14" s="85"/>
      <c r="R14" s="85"/>
      <c r="S14" s="85"/>
    </row>
    <row r="15" spans="1:19" x14ac:dyDescent="0.25">
      <c r="A15" s="233" t="s">
        <v>2015</v>
      </c>
      <c r="B15" s="148">
        <v>2.669</v>
      </c>
      <c r="C15" s="232" t="s">
        <v>2531</v>
      </c>
      <c r="D15" s="232" t="s">
        <v>2527</v>
      </c>
      <c r="E15" s="232" t="s">
        <v>2388</v>
      </c>
      <c r="F15" s="237"/>
      <c r="H15" s="85"/>
      <c r="I15" s="85"/>
      <c r="J15" s="233" t="s">
        <v>2532</v>
      </c>
      <c r="K15" s="234">
        <f t="shared" si="0"/>
        <v>10112326.151028</v>
      </c>
      <c r="L15" s="226" t="s">
        <v>2393</v>
      </c>
      <c r="M15" s="232"/>
      <c r="N15" s="85"/>
      <c r="O15" s="85"/>
      <c r="P15" s="85"/>
      <c r="Q15" s="85"/>
      <c r="R15" s="85"/>
      <c r="S15" s="85"/>
    </row>
    <row r="16" spans="1:19" x14ac:dyDescent="0.25">
      <c r="A16" s="291" t="s">
        <v>2011</v>
      </c>
      <c r="B16" s="148">
        <v>0</v>
      </c>
      <c r="C16" s="232" t="s">
        <v>2531</v>
      </c>
      <c r="D16" s="232" t="s">
        <v>2533</v>
      </c>
      <c r="E16" s="232" t="s">
        <v>2388</v>
      </c>
      <c r="F16" s="237"/>
      <c r="H16" s="85"/>
      <c r="I16" s="85"/>
      <c r="J16" s="233" t="s">
        <v>2135</v>
      </c>
      <c r="K16" s="234">
        <f t="shared" si="0"/>
        <v>3968804.0550600002</v>
      </c>
      <c r="L16" s="245" t="s">
        <v>2416</v>
      </c>
      <c r="M16" s="232"/>
      <c r="N16" s="85"/>
      <c r="O16" s="85"/>
      <c r="P16" s="85"/>
      <c r="Q16" s="85"/>
      <c r="R16" s="85"/>
      <c r="S16" s="85"/>
    </row>
    <row r="17" spans="1:19" x14ac:dyDescent="0.25">
      <c r="A17" s="233" t="s">
        <v>2017</v>
      </c>
      <c r="B17" s="148">
        <v>2.5649999999999999E-2</v>
      </c>
      <c r="C17" s="232" t="s">
        <v>2531</v>
      </c>
      <c r="D17" s="232" t="s">
        <v>2527</v>
      </c>
      <c r="E17" s="232" t="s">
        <v>2388</v>
      </c>
      <c r="F17" s="237"/>
      <c r="H17" s="85"/>
      <c r="I17" s="85"/>
      <c r="J17" s="233" t="s">
        <v>2415</v>
      </c>
      <c r="K17" s="234">
        <f t="shared" si="0"/>
        <v>337512.79500839999</v>
      </c>
      <c r="L17" s="245" t="s">
        <v>2416</v>
      </c>
      <c r="M17" s="232"/>
      <c r="N17" s="85"/>
      <c r="O17" s="85"/>
      <c r="P17" s="85"/>
      <c r="Q17" s="85"/>
      <c r="R17" s="85"/>
      <c r="S17" s="85"/>
    </row>
    <row r="18" spans="1:19" x14ac:dyDescent="0.25">
      <c r="A18" s="233" t="s">
        <v>2209</v>
      </c>
      <c r="B18" s="148">
        <v>0.31704033300000001</v>
      </c>
      <c r="C18" s="232" t="s">
        <v>2399</v>
      </c>
      <c r="D18" s="232" t="s">
        <v>2527</v>
      </c>
      <c r="E18" s="232" t="s">
        <v>2409</v>
      </c>
      <c r="F18" s="237"/>
      <c r="H18" s="85"/>
      <c r="I18" s="85"/>
      <c r="J18" s="233" t="s">
        <v>2015</v>
      </c>
      <c r="K18" s="234">
        <f t="shared" si="0"/>
        <v>2928960.6</v>
      </c>
      <c r="L18" s="245" t="s">
        <v>2417</v>
      </c>
      <c r="M18" s="232"/>
      <c r="N18" s="85"/>
      <c r="O18" s="85"/>
      <c r="P18" s="85"/>
      <c r="Q18" s="85"/>
      <c r="R18" s="85"/>
      <c r="S18" s="85"/>
    </row>
    <row r="19" spans="1:19" x14ac:dyDescent="0.25">
      <c r="A19" s="246" t="s">
        <v>2176</v>
      </c>
      <c r="B19" s="148">
        <v>0.33</v>
      </c>
      <c r="C19" s="232" t="s">
        <v>2399</v>
      </c>
      <c r="D19" s="232" t="s">
        <v>2527</v>
      </c>
      <c r="E19" s="232" t="s">
        <v>2409</v>
      </c>
      <c r="F19" s="237"/>
      <c r="H19" s="85"/>
      <c r="I19" s="85"/>
      <c r="J19" s="233" t="s">
        <v>2385</v>
      </c>
      <c r="K19" s="234">
        <f t="shared" si="0"/>
        <v>0</v>
      </c>
      <c r="L19" s="245" t="s">
        <v>2417</v>
      </c>
      <c r="M19" s="232"/>
      <c r="N19" s="85"/>
      <c r="O19" s="85"/>
      <c r="P19" s="85"/>
      <c r="Q19" s="85"/>
      <c r="R19" s="85"/>
      <c r="S19" s="85"/>
    </row>
    <row r="20" spans="1:19" x14ac:dyDescent="0.25">
      <c r="A20" s="237"/>
      <c r="B20" s="237"/>
      <c r="C20" s="237"/>
      <c r="D20" s="237"/>
      <c r="E20" s="237"/>
      <c r="F20" s="237"/>
      <c r="H20" s="85"/>
      <c r="I20" s="85"/>
      <c r="J20" s="233" t="s">
        <v>2017</v>
      </c>
      <c r="K20" s="234">
        <f t="shared" si="0"/>
        <v>28148.309999999998</v>
      </c>
      <c r="L20" s="245" t="s">
        <v>2418</v>
      </c>
      <c r="M20" s="232"/>
      <c r="N20" s="85"/>
      <c r="O20" s="85"/>
      <c r="P20" s="85"/>
      <c r="Q20" s="85"/>
      <c r="R20" s="85"/>
      <c r="S20" s="85"/>
    </row>
    <row r="21" spans="1:19" x14ac:dyDescent="0.25">
      <c r="E21" s="237"/>
      <c r="F21" s="237"/>
      <c r="H21" s="85"/>
      <c r="I21" s="85"/>
      <c r="J21" s="237"/>
      <c r="K21" s="237"/>
      <c r="L21" s="237"/>
      <c r="M21" s="237"/>
      <c r="N21" s="85"/>
      <c r="O21" s="85"/>
      <c r="P21" s="85"/>
      <c r="Q21" s="85"/>
      <c r="R21" s="85"/>
      <c r="S21" s="85"/>
    </row>
    <row r="22" spans="1:19" x14ac:dyDescent="0.25">
      <c r="E22" s="237"/>
      <c r="F22" s="237"/>
      <c r="H22" s="85"/>
      <c r="I22" s="85"/>
      <c r="J22" s="268" t="s">
        <v>2423</v>
      </c>
      <c r="K22" s="268"/>
      <c r="L22" s="268"/>
      <c r="M22" s="268"/>
      <c r="N22" s="85"/>
      <c r="O22" s="85"/>
      <c r="P22" s="85"/>
      <c r="Q22" s="85"/>
      <c r="R22" s="85"/>
      <c r="S22" s="85"/>
    </row>
    <row r="23" spans="1:19" x14ac:dyDescent="0.25">
      <c r="E23" s="237"/>
      <c r="F23" s="237"/>
      <c r="H23" s="85"/>
      <c r="I23" s="85"/>
      <c r="J23" s="104" t="s">
        <v>2389</v>
      </c>
      <c r="K23" s="104" t="s">
        <v>2390</v>
      </c>
      <c r="L23" s="106" t="s">
        <v>2378</v>
      </c>
      <c r="M23" s="107" t="s">
        <v>2379</v>
      </c>
      <c r="N23" s="85"/>
      <c r="O23" s="85"/>
      <c r="P23" s="85"/>
      <c r="Q23" s="85"/>
      <c r="R23" s="85"/>
      <c r="S23" s="85"/>
    </row>
    <row r="24" spans="1:19" x14ac:dyDescent="0.25">
      <c r="E24" s="237"/>
      <c r="F24" s="237"/>
      <c r="H24" s="85"/>
      <c r="I24" s="85"/>
      <c r="J24" s="233" t="s">
        <v>2209</v>
      </c>
      <c r="K24" s="234">
        <f>(B18*K4)+(K13)</f>
        <v>363868.23906892742</v>
      </c>
      <c r="L24" s="232" t="s">
        <v>2393</v>
      </c>
      <c r="M24" s="232" t="s">
        <v>2426</v>
      </c>
      <c r="N24" s="85"/>
      <c r="O24" s="85"/>
      <c r="P24" s="85"/>
      <c r="Q24" s="85"/>
      <c r="R24" s="85"/>
      <c r="S24" s="85"/>
    </row>
    <row r="25" spans="1:19" x14ac:dyDescent="0.25">
      <c r="E25" s="237"/>
      <c r="F25" s="237"/>
      <c r="H25" s="85"/>
      <c r="I25" s="85"/>
      <c r="J25" s="233" t="s">
        <v>2176</v>
      </c>
      <c r="K25" s="232">
        <f>B19*K4</f>
        <v>362142</v>
      </c>
      <c r="L25" s="232" t="s">
        <v>2393</v>
      </c>
      <c r="M25" s="232"/>
      <c r="N25" s="85"/>
      <c r="O25" s="85"/>
      <c r="P25" s="85"/>
      <c r="Q25" s="85"/>
      <c r="R25" s="85"/>
      <c r="S25" s="85"/>
    </row>
    <row r="26" spans="1:19" x14ac:dyDescent="0.25">
      <c r="E26" s="237"/>
      <c r="F26" s="237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 x14ac:dyDescent="0.25">
      <c r="E27" s="237"/>
      <c r="F27" s="237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 x14ac:dyDescent="0.25">
      <c r="E28" s="237"/>
      <c r="F28" s="237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 x14ac:dyDescent="0.25">
      <c r="E29" s="237"/>
      <c r="F29" s="237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 x14ac:dyDescent="0.25">
      <c r="E30" s="237"/>
      <c r="F30" s="237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 x14ac:dyDescent="0.25">
      <c r="E31" s="237"/>
      <c r="F31" s="237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</row>
    <row r="32" spans="1:19" x14ac:dyDescent="0.25">
      <c r="E32" s="237"/>
      <c r="F32" s="237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spans="5:6" x14ac:dyDescent="0.25">
      <c r="E33" s="237"/>
      <c r="F33" s="237"/>
    </row>
    <row r="34" spans="5:6" x14ac:dyDescent="0.25">
      <c r="E34" s="237"/>
      <c r="F34" s="237"/>
    </row>
    <row r="35" spans="5:6" x14ac:dyDescent="0.25">
      <c r="E35" s="237"/>
      <c r="F35" s="237"/>
    </row>
    <row r="36" spans="5:6" x14ac:dyDescent="0.25">
      <c r="E36" s="237"/>
      <c r="F36" s="237"/>
    </row>
    <row r="37" spans="5:6" x14ac:dyDescent="0.25">
      <c r="E37" s="237"/>
      <c r="F37" s="237"/>
    </row>
    <row r="38" spans="5:6" x14ac:dyDescent="0.25">
      <c r="E38" s="237"/>
      <c r="F38" s="237"/>
    </row>
    <row r="39" spans="5:6" x14ac:dyDescent="0.25">
      <c r="E39" s="237"/>
      <c r="F39" s="237"/>
    </row>
    <row r="40" spans="5:6" x14ac:dyDescent="0.25">
      <c r="E40" s="237"/>
      <c r="F40" s="237"/>
    </row>
    <row r="41" spans="5:6" x14ac:dyDescent="0.25">
      <c r="E41" s="237"/>
      <c r="F41" s="247"/>
    </row>
    <row r="42" spans="5:6" x14ac:dyDescent="0.25">
      <c r="E42" s="237"/>
      <c r="F42" s="247"/>
    </row>
    <row r="43" spans="5:6" x14ac:dyDescent="0.25">
      <c r="E43" s="237"/>
      <c r="F43" s="247"/>
    </row>
    <row r="44" spans="5:6" x14ac:dyDescent="0.25">
      <c r="E44" s="237"/>
      <c r="F44" s="237"/>
    </row>
    <row r="45" spans="5:6" x14ac:dyDescent="0.25">
      <c r="E45" s="237"/>
      <c r="F45" s="237"/>
    </row>
  </sheetData>
  <mergeCells count="1">
    <mergeCell ref="J1:M1"/>
  </mergeCells>
  <phoneticPr fontId="19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S1:W1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5" t="s">
        <v>35</v>
      </c>
      <c r="T1" s="85" t="s">
        <v>36</v>
      </c>
      <c r="U1" s="85" t="s">
        <v>37</v>
      </c>
      <c r="V1" s="85" t="s">
        <v>38</v>
      </c>
      <c r="W1" s="85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5"/>
      <c r="T2" s="85"/>
      <c r="U2" s="85"/>
      <c r="V2" s="85"/>
      <c r="W2" s="85"/>
    </row>
    <row r="3" spans="1:23" x14ac:dyDescent="0.25">
      <c r="A3" s="93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5"/>
      <c r="T3" s="85"/>
      <c r="U3" s="85"/>
      <c r="V3" s="85"/>
      <c r="W3" s="85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5"/>
      <c r="T4" s="85"/>
      <c r="U4" s="85"/>
      <c r="V4" s="85"/>
      <c r="W4" s="85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Tax Rate (-)</v>
      </c>
      <c r="B8">
        <f>TEA!B17</f>
        <v>0.2</v>
      </c>
      <c r="C8">
        <f>TEA!C17</f>
        <v>0.2</v>
      </c>
      <c r="D8">
        <f>TEA!D17</f>
        <v>0.2</v>
      </c>
      <c r="E8">
        <f>TEA!E17</f>
        <v>0.2</v>
      </c>
      <c r="F8">
        <f>TEA!F17</f>
        <v>0</v>
      </c>
      <c r="G8">
        <f>TEA!G17</f>
        <v>0.2</v>
      </c>
      <c r="H8">
        <f>TEA!H17</f>
        <v>0.2</v>
      </c>
      <c r="I8">
        <f>TEA!I17</f>
        <v>0.2</v>
      </c>
      <c r="J8">
        <f>TEA!J17</f>
        <v>0.2</v>
      </c>
      <c r="K8">
        <f>TEA!K17</f>
        <v>0.2</v>
      </c>
      <c r="L8">
        <f>TEA!L17</f>
        <v>0.2</v>
      </c>
      <c r="M8">
        <f>TEA!M17</f>
        <v>0.2</v>
      </c>
      <c r="N8">
        <f>TEA!N17</f>
        <v>0.2</v>
      </c>
      <c r="O8">
        <f>TEA!O17</f>
        <v>0.2</v>
      </c>
      <c r="P8">
        <f>TEA!P17</f>
        <v>0.2</v>
      </c>
      <c r="Q8">
        <f>TEA!Q17</f>
        <v>0.2</v>
      </c>
    </row>
    <row r="9" spans="1:23" x14ac:dyDescent="0.25">
      <c r="A9" t="str">
        <f>TEA!A18</f>
        <v>Equity Share of Capital (-)</v>
      </c>
      <c r="B9">
        <f>TEA!B18</f>
        <v>0.4</v>
      </c>
      <c r="C9">
        <f>TEA!C18</f>
        <v>0.4</v>
      </c>
      <c r="D9">
        <f>TEA!D18</f>
        <v>0.4</v>
      </c>
      <c r="E9">
        <f>TEA!E18</f>
        <v>0.4</v>
      </c>
      <c r="F9">
        <f>TEA!F18</f>
        <v>0</v>
      </c>
      <c r="G9">
        <f>TEA!G18</f>
        <v>0.4</v>
      </c>
      <c r="H9">
        <f>TEA!H18</f>
        <v>0.4</v>
      </c>
      <c r="I9">
        <f>TEA!I18</f>
        <v>0.4</v>
      </c>
      <c r="J9">
        <f>TEA!J18</f>
        <v>0.4</v>
      </c>
      <c r="K9">
        <f>TEA!K18</f>
        <v>0.4</v>
      </c>
      <c r="L9">
        <f>TEA!L18</f>
        <v>0.4</v>
      </c>
      <c r="M9">
        <f>TEA!M18</f>
        <v>0.4</v>
      </c>
      <c r="N9">
        <f>TEA!N18</f>
        <v>0.4</v>
      </c>
      <c r="O9">
        <f>TEA!O18</f>
        <v>0.4</v>
      </c>
      <c r="P9">
        <f>TEA!P18</f>
        <v>0.4</v>
      </c>
      <c r="Q9">
        <f>TEA!Q18</f>
        <v>0.4</v>
      </c>
    </row>
    <row r="10" spans="1:23" x14ac:dyDescent="0.25">
      <c r="A10" t="str">
        <f>TEA!A19</f>
        <v>Interest Rate (-)</v>
      </c>
      <c r="B10">
        <f>TEA!B19</f>
        <v>0.08</v>
      </c>
      <c r="C10">
        <f>TEA!C19</f>
        <v>0.08</v>
      </c>
      <c r="D10">
        <f>TEA!D19</f>
        <v>0.08</v>
      </c>
      <c r="E10">
        <f>TEA!E19</f>
        <v>0.08</v>
      </c>
      <c r="F10">
        <f>TEA!F19</f>
        <v>0</v>
      </c>
      <c r="G10">
        <f>TEA!G19</f>
        <v>0.08</v>
      </c>
      <c r="H10">
        <f>TEA!H19</f>
        <v>0.08</v>
      </c>
      <c r="I10">
        <f>TEA!I19</f>
        <v>0.08</v>
      </c>
      <c r="J10">
        <f>TEA!J19</f>
        <v>0.08</v>
      </c>
      <c r="K10">
        <f>TEA!K19</f>
        <v>0.08</v>
      </c>
      <c r="L10">
        <f>TEA!L19</f>
        <v>0.08</v>
      </c>
      <c r="M10">
        <f>TEA!M19</f>
        <v>0.08</v>
      </c>
      <c r="N10">
        <f>TEA!N19</f>
        <v>0.08</v>
      </c>
      <c r="O10">
        <f>TEA!O19</f>
        <v>0.08</v>
      </c>
      <c r="P10">
        <f>TEA!P19</f>
        <v>0.08</v>
      </c>
      <c r="Q10">
        <f>TEA!Q19</f>
        <v>0.08</v>
      </c>
    </row>
    <row r="11" spans="1:23" x14ac:dyDescent="0.25">
      <c r="A11" t="str">
        <f>TEA!A20</f>
        <v>Loan Term (yr)</v>
      </c>
      <c r="B11">
        <f>TEA!B20</f>
        <v>10</v>
      </c>
      <c r="C11">
        <f>TEA!C20</f>
        <v>10</v>
      </c>
      <c r="D11">
        <f>TEA!D20</f>
        <v>10</v>
      </c>
      <c r="E11">
        <f>TEA!E20</f>
        <v>10</v>
      </c>
      <c r="F11">
        <f>TEA!F20</f>
        <v>0</v>
      </c>
      <c r="G11">
        <f>TEA!G20</f>
        <v>10</v>
      </c>
      <c r="H11">
        <f>TEA!H20</f>
        <v>10</v>
      </c>
      <c r="I11">
        <f>TEA!I20</f>
        <v>10</v>
      </c>
      <c r="J11">
        <f>TEA!J20</f>
        <v>10</v>
      </c>
      <c r="K11">
        <f>TEA!K20</f>
        <v>10</v>
      </c>
      <c r="L11">
        <f>TEA!L20</f>
        <v>10</v>
      </c>
      <c r="M11">
        <f>TEA!M20</f>
        <v>10</v>
      </c>
      <c r="N11">
        <f>TEA!N20</f>
        <v>10</v>
      </c>
      <c r="O11">
        <f>TEA!O20</f>
        <v>10</v>
      </c>
      <c r="P11">
        <f>TEA!P20</f>
        <v>10</v>
      </c>
      <c r="Q11">
        <f>TEA!Q20</f>
        <v>10</v>
      </c>
    </row>
    <row r="12" spans="1:23" x14ac:dyDescent="0.25">
      <c r="A12" t="str">
        <f>TEA!A21</f>
        <v>Maintenance Rate (-)</v>
      </c>
      <c r="B12">
        <f>TEA!B21</f>
        <v>0.03</v>
      </c>
      <c r="C12">
        <f>TEA!C21</f>
        <v>0.03</v>
      </c>
      <c r="D12">
        <f>TEA!D21</f>
        <v>0.03</v>
      </c>
      <c r="E12">
        <f>TEA!E21</f>
        <v>0.03</v>
      </c>
      <c r="F12">
        <f>TEA!F21</f>
        <v>0</v>
      </c>
      <c r="G12">
        <f>TEA!G21</f>
        <v>0.03</v>
      </c>
      <c r="H12">
        <f>TEA!H21</f>
        <v>0.03</v>
      </c>
      <c r="I12">
        <f>TEA!I21</f>
        <v>0.01</v>
      </c>
      <c r="J12">
        <f>TEA!J21</f>
        <v>0.01</v>
      </c>
      <c r="K12">
        <f>TEA!K21</f>
        <v>0.03</v>
      </c>
      <c r="L12">
        <f>TEA!L21</f>
        <v>0.03</v>
      </c>
      <c r="M12">
        <f>TEA!M21</f>
        <v>0.03</v>
      </c>
      <c r="N12">
        <f>TEA!N21</f>
        <v>0.03</v>
      </c>
      <c r="O12">
        <f>TEA!O21</f>
        <v>0.03</v>
      </c>
      <c r="P12">
        <f>TEA!P21</f>
        <v>0.03</v>
      </c>
      <c r="Q12">
        <f>TEA!Q21</f>
        <v>0.03</v>
      </c>
    </row>
    <row r="13" spans="1:23" x14ac:dyDescent="0.25">
      <c r="A13" t="str">
        <f>TEA!A22</f>
        <v>Insurance Rate (-)</v>
      </c>
      <c r="B13">
        <f>TEA!B22</f>
        <v>0.01</v>
      </c>
      <c r="C13">
        <f>TEA!C22</f>
        <v>0.01</v>
      </c>
      <c r="D13">
        <f>TEA!D22</f>
        <v>0.01</v>
      </c>
      <c r="E13">
        <f>TEA!E22</f>
        <v>0.01</v>
      </c>
      <c r="F13">
        <f>TEA!F22</f>
        <v>0</v>
      </c>
      <c r="G13">
        <f>TEA!G22</f>
        <v>0.01</v>
      </c>
      <c r="H13">
        <f>TEA!H22</f>
        <v>0.01</v>
      </c>
      <c r="I13">
        <f>TEA!I22</f>
        <v>0.01</v>
      </c>
      <c r="J13">
        <f>TEA!J22</f>
        <v>0.01</v>
      </c>
      <c r="K13">
        <f>TEA!K22</f>
        <v>0.01</v>
      </c>
      <c r="L13">
        <f>TEA!L22</f>
        <v>0.01</v>
      </c>
      <c r="M13">
        <f>TEA!M22</f>
        <v>0.01</v>
      </c>
      <c r="N13">
        <f>TEA!N22</f>
        <v>0.01</v>
      </c>
      <c r="O13">
        <f>TEA!O22</f>
        <v>0.01</v>
      </c>
      <c r="P13">
        <f>TEA!P22</f>
        <v>0.01</v>
      </c>
      <c r="Q13">
        <f>TEA!Q22</f>
        <v>0.01</v>
      </c>
    </row>
    <row r="14" spans="1:23" x14ac:dyDescent="0.25">
      <c r="A14" t="str">
        <f>TEA!A23</f>
        <v>Depreciable Amount Rate (-)</v>
      </c>
      <c r="B14">
        <f>TEA!B23</f>
        <v>0.9</v>
      </c>
      <c r="C14">
        <f>TEA!C23</f>
        <v>0.9</v>
      </c>
      <c r="D14">
        <f>TEA!D23</f>
        <v>0.9</v>
      </c>
      <c r="E14">
        <f>TEA!E23</f>
        <v>0.9</v>
      </c>
      <c r="F14">
        <f>TEA!F23</f>
        <v>0</v>
      </c>
      <c r="G14">
        <f>TEA!G23</f>
        <v>0.9</v>
      </c>
      <c r="H14">
        <f>TEA!H23</f>
        <v>0.9</v>
      </c>
      <c r="I14">
        <f>TEA!I23</f>
        <v>0.9</v>
      </c>
      <c r="J14">
        <f>TEA!J23</f>
        <v>0.9</v>
      </c>
      <c r="K14">
        <f>TEA!K23</f>
        <v>0.9</v>
      </c>
      <c r="L14">
        <f>TEA!L23</f>
        <v>0.9</v>
      </c>
      <c r="M14">
        <f>TEA!M23</f>
        <v>0.9</v>
      </c>
      <c r="N14">
        <f>TEA!N23</f>
        <v>0.9</v>
      </c>
      <c r="O14">
        <f>TEA!O23</f>
        <v>0.9</v>
      </c>
      <c r="P14">
        <f>TEA!P23</f>
        <v>0.9</v>
      </c>
      <c r="Q14">
        <f>TEA!Q23</f>
        <v>0.9</v>
      </c>
    </row>
    <row r="15" spans="1:23" x14ac:dyDescent="0.25">
      <c r="A15" t="str">
        <f>TEA!A24</f>
        <v>Tax Credit ($/yr)</v>
      </c>
      <c r="B15">
        <f>TEA!B24</f>
        <v>0</v>
      </c>
      <c r="C15">
        <f>TEA!C24</f>
        <v>0</v>
      </c>
      <c r="D15">
        <f>TEA!D24</f>
        <v>0</v>
      </c>
      <c r="E15">
        <f>TEA!E24</f>
        <v>0</v>
      </c>
      <c r="F15">
        <f>TEA!F24</f>
        <v>0</v>
      </c>
      <c r="G15">
        <f>TEA!G24</f>
        <v>0</v>
      </c>
      <c r="H15">
        <f>TEA!H24</f>
        <v>0</v>
      </c>
      <c r="I15">
        <f>TEA!I24</f>
        <v>567379</v>
      </c>
      <c r="J15">
        <f>TEA!J24</f>
        <v>567379</v>
      </c>
      <c r="K15">
        <f>TEA!K24</f>
        <v>0</v>
      </c>
      <c r="L15">
        <f>TEA!L24</f>
        <v>0</v>
      </c>
      <c r="M15">
        <f>TEA!M24</f>
        <v>0</v>
      </c>
      <c r="N15">
        <f>TEA!N24</f>
        <v>0</v>
      </c>
      <c r="O15">
        <f>TEA!O24</f>
        <v>0</v>
      </c>
      <c r="P15">
        <f>TEA!P24</f>
        <v>0</v>
      </c>
      <c r="Q15">
        <f>TEA!Q24</f>
        <v>0</v>
      </c>
    </row>
    <row r="16" spans="1:23" x14ac:dyDescent="0.25">
      <c r="A16" t="str">
        <f>TEA!A25</f>
        <v>Salvage Value ($)</v>
      </c>
      <c r="B16">
        <f>TEA!B25</f>
        <v>1654900</v>
      </c>
      <c r="C16">
        <f>TEA!C25</f>
        <v>1654900</v>
      </c>
      <c r="D16">
        <f>TEA!D25</f>
        <v>1654900</v>
      </c>
      <c r="E16">
        <f>TEA!E25</f>
        <v>1654900</v>
      </c>
      <c r="F16">
        <f>TEA!F25</f>
        <v>0</v>
      </c>
      <c r="G16">
        <f>TEA!G25</f>
        <v>0</v>
      </c>
      <c r="H16">
        <f>TEA!H25</f>
        <v>0</v>
      </c>
      <c r="I16">
        <f>TEA!I25</f>
        <v>508079</v>
      </c>
      <c r="J16">
        <f>TEA!J25</f>
        <v>0</v>
      </c>
      <c r="K16">
        <f>TEA!K25</f>
        <v>0</v>
      </c>
      <c r="L16">
        <f>TEA!L25</f>
        <v>0</v>
      </c>
      <c r="M16">
        <f>TEA!M25</f>
        <v>0</v>
      </c>
      <c r="N16">
        <f>TEA!N25</f>
        <v>0</v>
      </c>
      <c r="O16">
        <f>TEA!O25</f>
        <v>0</v>
      </c>
      <c r="P16">
        <f>TEA!P25</f>
        <v>0</v>
      </c>
      <c r="Q16">
        <f>TEA!Q25</f>
        <v>0</v>
      </c>
    </row>
    <row r="17" spans="1:17" x14ac:dyDescent="0.25">
      <c r="A17" t="str">
        <f>TEA!A26</f>
        <v>Depreciation Schedule</v>
      </c>
      <c r="B17" t="str">
        <f>TEA!B26</f>
        <v>MACRS %</v>
      </c>
      <c r="C17">
        <f>TEA!C26</f>
        <v>0</v>
      </c>
      <c r="D17">
        <f>TEA!D26</f>
        <v>0</v>
      </c>
      <c r="E17">
        <f>TEA!E26</f>
        <v>0</v>
      </c>
      <c r="F17">
        <f>TEA!F26</f>
        <v>0</v>
      </c>
      <c r="G17">
        <f>TEA!G26</f>
        <v>0</v>
      </c>
      <c r="H17">
        <f>TEA!H26</f>
        <v>0</v>
      </c>
      <c r="I17">
        <f>TEA!I26</f>
        <v>0</v>
      </c>
      <c r="J17">
        <f>TEA!J26</f>
        <v>0</v>
      </c>
      <c r="K17">
        <f>TEA!K26</f>
        <v>0</v>
      </c>
      <c r="L17">
        <f>TEA!L26</f>
        <v>0</v>
      </c>
      <c r="M17">
        <f>TEA!M26</f>
        <v>0</v>
      </c>
      <c r="N17">
        <f>TEA!N26</f>
        <v>0</v>
      </c>
      <c r="O17">
        <f>TEA!O26</f>
        <v>0</v>
      </c>
      <c r="P17">
        <f>TEA!P26</f>
        <v>0</v>
      </c>
      <c r="Q17">
        <f>TEA!Q26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6"/>
      <c r="R34" s="86"/>
      <c r="S34" s="87"/>
    </row>
    <row r="35" spans="1:19" x14ac:dyDescent="0.25">
      <c r="Q35" s="86"/>
      <c r="R35" s="86"/>
      <c r="S35" s="87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N39"/>
  <sheetViews>
    <sheetView zoomScale="150" zoomScaleNormal="150" workbookViewId="0">
      <selection activeCell="C22" sqref="C22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14" ht="18.75" x14ac:dyDescent="0.3">
      <c r="A1" s="104" t="s">
        <v>2376</v>
      </c>
      <c r="B1" s="150" t="s">
        <v>2377</v>
      </c>
      <c r="C1" s="151" t="s">
        <v>2378</v>
      </c>
      <c r="D1" s="151" t="s">
        <v>2379</v>
      </c>
      <c r="E1" s="151" t="s">
        <v>2380</v>
      </c>
      <c r="G1" s="147" t="s">
        <v>73</v>
      </c>
      <c r="H1" s="90" t="s">
        <v>2434</v>
      </c>
      <c r="K1" s="283" t="s">
        <v>2382</v>
      </c>
      <c r="L1" s="283"/>
      <c r="M1" s="283"/>
      <c r="N1" s="283"/>
    </row>
    <row r="2" spans="1:14" x14ac:dyDescent="0.25">
      <c r="A2" s="225" t="s">
        <v>2111</v>
      </c>
      <c r="B2" s="152">
        <v>1.431203</v>
      </c>
      <c r="C2" s="232" t="s">
        <v>2399</v>
      </c>
      <c r="D2" s="232" t="s">
        <v>2534</v>
      </c>
      <c r="E2" s="232" t="s">
        <v>2388</v>
      </c>
      <c r="K2" s="268" t="s">
        <v>2384</v>
      </c>
      <c r="L2" s="268"/>
      <c r="M2" s="268"/>
      <c r="N2" s="268"/>
    </row>
    <row r="3" spans="1:14" x14ac:dyDescent="0.25">
      <c r="A3" s="233" t="s">
        <v>2106</v>
      </c>
      <c r="B3" s="152">
        <v>1.90139E-2</v>
      </c>
      <c r="C3" s="232" t="s">
        <v>2399</v>
      </c>
      <c r="D3" s="232" t="s">
        <v>2534</v>
      </c>
      <c r="E3" s="232" t="s">
        <v>2388</v>
      </c>
      <c r="K3" s="104" t="s">
        <v>2389</v>
      </c>
      <c r="L3" s="104" t="s">
        <v>2390</v>
      </c>
      <c r="M3" s="106" t="s">
        <v>2378</v>
      </c>
      <c r="N3" s="107" t="s">
        <v>2379</v>
      </c>
    </row>
    <row r="4" spans="1:14" x14ac:dyDescent="0.25">
      <c r="A4" s="233" t="s">
        <v>2030</v>
      </c>
      <c r="B4" s="152">
        <v>1.1192199999999999E-2</v>
      </c>
      <c r="C4" s="232" t="s">
        <v>2399</v>
      </c>
      <c r="D4" s="232" t="s">
        <v>2534</v>
      </c>
      <c r="E4" s="232" t="s">
        <v>2388</v>
      </c>
      <c r="K4" s="225" t="s">
        <v>2042</v>
      </c>
      <c r="L4" s="225">
        <f>CornCult!K25</f>
        <v>493830</v>
      </c>
      <c r="M4" s="232" t="s">
        <v>2393</v>
      </c>
      <c r="N4" s="227" t="s">
        <v>2529</v>
      </c>
    </row>
    <row r="5" spans="1:14" x14ac:dyDescent="0.25">
      <c r="A5" s="233" t="s">
        <v>2044</v>
      </c>
      <c r="B5" s="152">
        <v>1.1110399999999999E-2</v>
      </c>
      <c r="C5" s="232" t="s">
        <v>2399</v>
      </c>
      <c r="D5" s="232" t="s">
        <v>2534</v>
      </c>
      <c r="E5" s="232" t="s">
        <v>2388</v>
      </c>
      <c r="K5" s="225" t="s">
        <v>2111</v>
      </c>
      <c r="L5" s="234">
        <f t="shared" ref="L5:L19" si="0">B2*$L$4</f>
        <v>706770.97748999996</v>
      </c>
      <c r="M5" s="232" t="s">
        <v>2393</v>
      </c>
      <c r="N5" s="232"/>
    </row>
    <row r="6" spans="1:14" x14ac:dyDescent="0.25">
      <c r="A6" s="233" t="s">
        <v>2263</v>
      </c>
      <c r="B6" s="152">
        <v>1.3641E-3</v>
      </c>
      <c r="C6" s="232" t="s">
        <v>2399</v>
      </c>
      <c r="D6" s="232" t="s">
        <v>2534</v>
      </c>
      <c r="E6" s="232" t="s">
        <v>2388</v>
      </c>
      <c r="K6" s="233" t="s">
        <v>2106</v>
      </c>
      <c r="L6" s="234">
        <f t="shared" si="0"/>
        <v>9389.6342370000002</v>
      </c>
      <c r="M6" s="232" t="s">
        <v>2393</v>
      </c>
      <c r="N6" s="232"/>
    </row>
    <row r="7" spans="1:14" x14ac:dyDescent="0.25">
      <c r="A7" s="233" t="s">
        <v>2058</v>
      </c>
      <c r="B7" s="152">
        <v>2.3215199999999998E-2</v>
      </c>
      <c r="C7" s="232" t="s">
        <v>2399</v>
      </c>
      <c r="D7" s="232" t="s">
        <v>2534</v>
      </c>
      <c r="E7" s="232" t="s">
        <v>2388</v>
      </c>
      <c r="K7" s="233" t="s">
        <v>2030</v>
      </c>
      <c r="L7" s="234">
        <f t="shared" si="0"/>
        <v>5527.0441259999998</v>
      </c>
      <c r="M7" s="232" t="s">
        <v>2393</v>
      </c>
      <c r="N7" s="232"/>
    </row>
    <row r="8" spans="1:14" x14ac:dyDescent="0.25">
      <c r="A8" s="233" t="s">
        <v>2334</v>
      </c>
      <c r="B8" s="152">
        <v>1.5760000000000001E-4</v>
      </c>
      <c r="C8" s="232" t="s">
        <v>2399</v>
      </c>
      <c r="D8" s="232" t="s">
        <v>2534</v>
      </c>
      <c r="E8" s="232" t="s">
        <v>2388</v>
      </c>
      <c r="K8" s="233" t="s">
        <v>2044</v>
      </c>
      <c r="L8" s="234">
        <f t="shared" si="0"/>
        <v>5486.6488319999999</v>
      </c>
      <c r="M8" s="232" t="s">
        <v>2393</v>
      </c>
      <c r="N8" s="232"/>
    </row>
    <row r="9" spans="1:14" x14ac:dyDescent="0.25">
      <c r="A9" s="233" t="s">
        <v>2098</v>
      </c>
      <c r="B9" s="152">
        <v>2.16159E-2</v>
      </c>
      <c r="C9" s="232" t="s">
        <v>2399</v>
      </c>
      <c r="D9" s="232" t="s">
        <v>2534</v>
      </c>
      <c r="E9" s="232" t="s">
        <v>2388</v>
      </c>
      <c r="K9" s="233" t="s">
        <v>2263</v>
      </c>
      <c r="L9" s="234">
        <f t="shared" si="0"/>
        <v>673.63350300000002</v>
      </c>
      <c r="M9" s="232" t="s">
        <v>2393</v>
      </c>
      <c r="N9" s="232"/>
    </row>
    <row r="10" spans="1:14" x14ac:dyDescent="0.25">
      <c r="A10" s="233" t="s">
        <v>2528</v>
      </c>
      <c r="B10" s="152">
        <v>8.4915000000000008E-3</v>
      </c>
      <c r="C10" s="232" t="s">
        <v>2399</v>
      </c>
      <c r="D10" s="232" t="s">
        <v>2534</v>
      </c>
      <c r="E10" s="232" t="s">
        <v>2388</v>
      </c>
      <c r="K10" s="233" t="s">
        <v>2058</v>
      </c>
      <c r="L10" s="234">
        <f t="shared" si="0"/>
        <v>11464.362216</v>
      </c>
      <c r="M10" s="232" t="s">
        <v>2393</v>
      </c>
      <c r="N10" s="232"/>
    </row>
    <row r="11" spans="1:14" x14ac:dyDescent="0.25">
      <c r="A11" s="233" t="s">
        <v>2133</v>
      </c>
      <c r="B11" s="152">
        <v>2.444E-2</v>
      </c>
      <c r="C11" s="232" t="s">
        <v>2399</v>
      </c>
      <c r="D11" s="232" t="s">
        <v>2534</v>
      </c>
      <c r="E11" s="232" t="s">
        <v>2388</v>
      </c>
      <c r="K11" s="233" t="s">
        <v>2334</v>
      </c>
      <c r="L11" s="234">
        <f t="shared" si="0"/>
        <v>77.827607999999998</v>
      </c>
      <c r="M11" s="232" t="s">
        <v>2393</v>
      </c>
      <c r="N11" s="232"/>
    </row>
    <row r="12" spans="1:14" x14ac:dyDescent="0.25">
      <c r="A12" s="233" t="s">
        <v>2135</v>
      </c>
      <c r="B12" s="152">
        <v>0</v>
      </c>
      <c r="C12" s="232" t="s">
        <v>2419</v>
      </c>
      <c r="D12" s="232" t="s">
        <v>2535</v>
      </c>
      <c r="E12" s="232" t="s">
        <v>2388</v>
      </c>
      <c r="K12" s="233" t="s">
        <v>2098</v>
      </c>
      <c r="L12" s="234">
        <f t="shared" si="0"/>
        <v>10674.579897</v>
      </c>
      <c r="M12" s="232" t="s">
        <v>2393</v>
      </c>
      <c r="N12" s="232"/>
    </row>
    <row r="13" spans="1:14" x14ac:dyDescent="0.25">
      <c r="A13" s="233" t="s">
        <v>2415</v>
      </c>
      <c r="B13" s="152">
        <v>0.68386449400000004</v>
      </c>
      <c r="C13" s="232" t="s">
        <v>2419</v>
      </c>
      <c r="D13" s="232" t="s">
        <v>2534</v>
      </c>
      <c r="E13" s="232" t="s">
        <v>2388</v>
      </c>
      <c r="K13" s="233" t="s">
        <v>2528</v>
      </c>
      <c r="L13" s="234">
        <f t="shared" si="0"/>
        <v>4193.3574450000006</v>
      </c>
      <c r="M13" s="232" t="s">
        <v>2393</v>
      </c>
      <c r="N13" s="232"/>
    </row>
    <row r="14" spans="1:14" x14ac:dyDescent="0.25">
      <c r="A14" s="233" t="s">
        <v>2015</v>
      </c>
      <c r="B14" s="152">
        <v>0.43969999999999998</v>
      </c>
      <c r="C14" s="232" t="s">
        <v>2531</v>
      </c>
      <c r="D14" s="232" t="s">
        <v>2534</v>
      </c>
      <c r="E14" s="232" t="s">
        <v>2388</v>
      </c>
      <c r="K14" s="233" t="s">
        <v>2133</v>
      </c>
      <c r="L14" s="234">
        <f t="shared" si="0"/>
        <v>12069.2052</v>
      </c>
      <c r="M14" s="232" t="s">
        <v>2393</v>
      </c>
      <c r="N14" s="232"/>
    </row>
    <row r="15" spans="1:14" x14ac:dyDescent="0.25">
      <c r="A15" s="291" t="s">
        <v>2011</v>
      </c>
      <c r="B15" s="152">
        <v>2.025205E-3</v>
      </c>
      <c r="C15" s="232" t="s">
        <v>2531</v>
      </c>
      <c r="D15" s="232" t="s">
        <v>2534</v>
      </c>
      <c r="E15" s="232" t="s">
        <v>2388</v>
      </c>
      <c r="K15" s="233" t="s">
        <v>2135</v>
      </c>
      <c r="L15" s="234">
        <f t="shared" si="0"/>
        <v>0</v>
      </c>
      <c r="M15" s="232" t="s">
        <v>2416</v>
      </c>
      <c r="N15" s="232"/>
    </row>
    <row r="16" spans="1:14" x14ac:dyDescent="0.25">
      <c r="A16" s="233" t="s">
        <v>2017</v>
      </c>
      <c r="B16" s="152">
        <v>2.8186299999999999E-3</v>
      </c>
      <c r="C16" s="232" t="s">
        <v>2531</v>
      </c>
      <c r="D16" s="232" t="s">
        <v>2534</v>
      </c>
      <c r="E16" s="232" t="s">
        <v>2388</v>
      </c>
      <c r="K16" s="233" t="s">
        <v>2415</v>
      </c>
      <c r="L16" s="234">
        <f t="shared" si="0"/>
        <v>337712.80307202</v>
      </c>
      <c r="M16" s="232" t="s">
        <v>2416</v>
      </c>
      <c r="N16" s="232"/>
    </row>
    <row r="17" spans="1:14" x14ac:dyDescent="0.25">
      <c r="A17" s="233" t="s">
        <v>2209</v>
      </c>
      <c r="B17" s="148">
        <v>0.20808320999999999</v>
      </c>
      <c r="C17" s="232" t="s">
        <v>2399</v>
      </c>
      <c r="D17" s="232" t="s">
        <v>2534</v>
      </c>
      <c r="E17" s="232" t="s">
        <v>2409</v>
      </c>
      <c r="K17" s="233" t="s">
        <v>2015</v>
      </c>
      <c r="L17" s="234">
        <f t="shared" si="0"/>
        <v>217137.05099999998</v>
      </c>
      <c r="M17" s="232" t="s">
        <v>2417</v>
      </c>
      <c r="N17" s="232"/>
    </row>
    <row r="18" spans="1:14" x14ac:dyDescent="0.25">
      <c r="A18" s="233" t="s">
        <v>2415</v>
      </c>
      <c r="B18" s="148">
        <v>1.0012300000000001</v>
      </c>
      <c r="C18" s="232" t="s">
        <v>2419</v>
      </c>
      <c r="D18" s="232" t="s">
        <v>2534</v>
      </c>
      <c r="E18" s="232" t="s">
        <v>2409</v>
      </c>
      <c r="K18" s="233" t="s">
        <v>2385</v>
      </c>
      <c r="L18" s="234">
        <f t="shared" si="0"/>
        <v>1000.10698515</v>
      </c>
      <c r="M18" s="232" t="s">
        <v>2417</v>
      </c>
      <c r="N18" s="232"/>
    </row>
    <row r="19" spans="1:14" x14ac:dyDescent="0.25">
      <c r="A19" s="236"/>
      <c r="B19" s="237"/>
      <c r="C19" s="237"/>
      <c r="D19" s="237"/>
      <c r="E19" s="237"/>
      <c r="K19" s="233" t="s">
        <v>2017</v>
      </c>
      <c r="L19" s="234">
        <f t="shared" si="0"/>
        <v>1391.9240528999999</v>
      </c>
      <c r="M19" s="232" t="s">
        <v>2418</v>
      </c>
      <c r="N19" s="232"/>
    </row>
    <row r="20" spans="1:14" x14ac:dyDescent="0.25">
      <c r="E20" s="237"/>
      <c r="K20" s="236"/>
      <c r="L20" s="237"/>
      <c r="M20" s="237"/>
      <c r="N20" s="237"/>
    </row>
    <row r="21" spans="1:14" x14ac:dyDescent="0.25">
      <c r="E21" s="237"/>
      <c r="K21" s="268" t="s">
        <v>2423</v>
      </c>
      <c r="L21" s="268"/>
      <c r="M21" s="268"/>
      <c r="N21" s="268"/>
    </row>
    <row r="22" spans="1:14" x14ac:dyDescent="0.25">
      <c r="E22" s="237"/>
      <c r="K22" s="104" t="s">
        <v>2389</v>
      </c>
      <c r="L22" s="104" t="s">
        <v>2390</v>
      </c>
      <c r="M22" s="106" t="s">
        <v>2378</v>
      </c>
      <c r="N22" s="107" t="s">
        <v>2379</v>
      </c>
    </row>
    <row r="23" spans="1:14" x14ac:dyDescent="0.25">
      <c r="E23" s="237"/>
      <c r="K23" s="233" t="s">
        <v>2209</v>
      </c>
      <c r="L23" s="234">
        <f>($L$4*B17)+L14</f>
        <v>114826.9367943</v>
      </c>
      <c r="M23" s="248" t="s">
        <v>2393</v>
      </c>
      <c r="N23" s="232" t="s">
        <v>2426</v>
      </c>
    </row>
    <row r="24" spans="1:14" x14ac:dyDescent="0.25">
      <c r="E24" s="237"/>
      <c r="K24" s="233" t="s">
        <v>2415</v>
      </c>
      <c r="L24" s="234">
        <f>$L$4*B18</f>
        <v>494437.41090000002</v>
      </c>
      <c r="M24" s="248" t="s">
        <v>2416</v>
      </c>
      <c r="N24" s="232"/>
    </row>
    <row r="25" spans="1:14" x14ac:dyDescent="0.25">
      <c r="E25" s="237"/>
    </row>
    <row r="26" spans="1:14" x14ac:dyDescent="0.25">
      <c r="E26" s="237"/>
    </row>
    <row r="27" spans="1:14" x14ac:dyDescent="0.25">
      <c r="E27" s="237"/>
    </row>
    <row r="28" spans="1:14" x14ac:dyDescent="0.25">
      <c r="E28" s="237"/>
    </row>
    <row r="29" spans="1:14" x14ac:dyDescent="0.25">
      <c r="E29" s="237"/>
    </row>
    <row r="30" spans="1:14" x14ac:dyDescent="0.25">
      <c r="E30" s="237"/>
    </row>
    <row r="31" spans="1:14" x14ac:dyDescent="0.25">
      <c r="E31" s="237"/>
    </row>
    <row r="32" spans="1:14" x14ac:dyDescent="0.25">
      <c r="E32" s="237"/>
    </row>
    <row r="33" spans="5:5" x14ac:dyDescent="0.25">
      <c r="E33" s="237"/>
    </row>
    <row r="34" spans="5:5" x14ac:dyDescent="0.25">
      <c r="E34" s="237"/>
    </row>
    <row r="35" spans="5:5" x14ac:dyDescent="0.25">
      <c r="E35" s="237"/>
    </row>
    <row r="36" spans="5:5" x14ac:dyDescent="0.25">
      <c r="E36" s="237"/>
    </row>
    <row r="37" spans="5:5" x14ac:dyDescent="0.25">
      <c r="E37" s="237"/>
    </row>
    <row r="38" spans="5:5" x14ac:dyDescent="0.25">
      <c r="E38" s="237"/>
    </row>
    <row r="39" spans="5:5" x14ac:dyDescent="0.25">
      <c r="E39" s="237"/>
    </row>
  </sheetData>
  <mergeCells count="1">
    <mergeCell ref="K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1"/>
  <sheetViews>
    <sheetView workbookViewId="0">
      <selection activeCell="A19" sqref="A19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47" t="s">
        <v>73</v>
      </c>
      <c r="B1" s="90" t="s">
        <v>2536</v>
      </c>
    </row>
    <row r="2" spans="1:5" x14ac:dyDescent="0.25">
      <c r="A2" s="104" t="s">
        <v>2376</v>
      </c>
      <c r="B2" s="150" t="s">
        <v>2377</v>
      </c>
      <c r="C2" s="151" t="s">
        <v>2378</v>
      </c>
      <c r="D2" s="151" t="s">
        <v>2379</v>
      </c>
      <c r="E2" s="151" t="s">
        <v>2380</v>
      </c>
    </row>
    <row r="3" spans="1:5" x14ac:dyDescent="0.25">
      <c r="A3" s="154" t="s">
        <v>2537</v>
      </c>
      <c r="B3" s="158">
        <v>350</v>
      </c>
      <c r="C3" s="155" t="s">
        <v>2538</v>
      </c>
      <c r="D3" s="232"/>
      <c r="E3" s="232" t="s">
        <v>2388</v>
      </c>
    </row>
    <row r="4" spans="1:5" x14ac:dyDescent="0.25">
      <c r="A4" s="156" t="s">
        <v>2539</v>
      </c>
      <c r="B4" s="159">
        <v>3</v>
      </c>
      <c r="C4" s="157" t="s">
        <v>2540</v>
      </c>
      <c r="D4" s="232"/>
      <c r="E4" s="232" t="s">
        <v>2388</v>
      </c>
    </row>
    <row r="5" spans="1:5" x14ac:dyDescent="0.25">
      <c r="A5" s="156" t="s">
        <v>2541</v>
      </c>
      <c r="B5" s="159">
        <v>8</v>
      </c>
      <c r="C5" s="157" t="s">
        <v>2542</v>
      </c>
      <c r="D5" s="232"/>
      <c r="E5" s="232" t="s">
        <v>2388</v>
      </c>
    </row>
    <row r="6" spans="1:5" x14ac:dyDescent="0.25">
      <c r="A6" s="156" t="s">
        <v>2543</v>
      </c>
      <c r="B6" s="159">
        <v>468650000</v>
      </c>
      <c r="C6" s="157" t="s">
        <v>2544</v>
      </c>
      <c r="D6" s="232" t="s">
        <v>2545</v>
      </c>
      <c r="E6" s="232" t="s">
        <v>2388</v>
      </c>
    </row>
    <row r="7" spans="1:5" x14ac:dyDescent="0.25">
      <c r="A7" s="156" t="s">
        <v>2546</v>
      </c>
      <c r="B7" s="160">
        <v>0.2</v>
      </c>
      <c r="C7" s="157" t="s">
        <v>2547</v>
      </c>
      <c r="D7" s="232" t="s">
        <v>2545</v>
      </c>
      <c r="E7" s="232" t="s">
        <v>2388</v>
      </c>
    </row>
    <row r="8" spans="1:5" x14ac:dyDescent="0.25">
      <c r="A8" s="156" t="s">
        <v>2548</v>
      </c>
      <c r="B8" s="160">
        <v>0.38</v>
      </c>
      <c r="C8" s="157" t="s">
        <v>2549</v>
      </c>
      <c r="D8" s="232" t="s">
        <v>2545</v>
      </c>
      <c r="E8" s="232" t="s">
        <v>2388</v>
      </c>
    </row>
    <row r="9" spans="1:5" x14ac:dyDescent="0.25">
      <c r="A9" s="156" t="s">
        <v>2550</v>
      </c>
      <c r="B9" s="160">
        <v>0.23</v>
      </c>
      <c r="C9" s="157" t="s">
        <v>2551</v>
      </c>
      <c r="D9" s="232" t="s">
        <v>2545</v>
      </c>
      <c r="E9" s="232" t="s">
        <v>2388</v>
      </c>
    </row>
    <row r="10" spans="1:5" x14ac:dyDescent="0.25">
      <c r="A10" s="156" t="s">
        <v>2505</v>
      </c>
      <c r="B10" s="160">
        <v>0.25</v>
      </c>
      <c r="C10" s="157" t="s">
        <v>2552</v>
      </c>
      <c r="D10" s="232" t="s">
        <v>2545</v>
      </c>
      <c r="E10" s="232" t="s">
        <v>2388</v>
      </c>
    </row>
    <row r="11" spans="1:5" x14ac:dyDescent="0.25">
      <c r="A11" s="156" t="s">
        <v>2553</v>
      </c>
      <c r="B11" s="160">
        <v>0.14000000000000001</v>
      </c>
      <c r="C11" s="157" t="s">
        <v>2554</v>
      </c>
      <c r="D11" s="232" t="s">
        <v>2545</v>
      </c>
      <c r="E11" s="232" t="s">
        <v>2388</v>
      </c>
    </row>
    <row r="12" spans="1:5" x14ac:dyDescent="0.25">
      <c r="A12" s="156" t="s">
        <v>2555</v>
      </c>
      <c r="B12" s="159">
        <v>1.6619999999999999</v>
      </c>
      <c r="C12" s="157" t="s">
        <v>2556</v>
      </c>
      <c r="D12" s="232"/>
      <c r="E12" s="232" t="s">
        <v>2388</v>
      </c>
    </row>
    <row r="13" spans="1:5" x14ac:dyDescent="0.25">
      <c r="A13" s="156" t="s">
        <v>2557</v>
      </c>
      <c r="B13" s="159">
        <v>1.974</v>
      </c>
      <c r="C13" s="157" t="s">
        <v>2556</v>
      </c>
      <c r="D13" s="232"/>
      <c r="E13" s="232" t="s">
        <v>2388</v>
      </c>
    </row>
    <row r="14" spans="1:5" x14ac:dyDescent="0.25">
      <c r="A14" s="166" t="s">
        <v>2558</v>
      </c>
      <c r="B14" s="202">
        <v>0.40400000000000003</v>
      </c>
      <c r="C14" s="167" t="s">
        <v>2556</v>
      </c>
      <c r="D14" s="249"/>
      <c r="E14" s="232" t="s">
        <v>2388</v>
      </c>
    </row>
    <row r="15" spans="1:5" x14ac:dyDescent="0.25">
      <c r="A15" s="163" t="s">
        <v>2559</v>
      </c>
      <c r="B15" s="184">
        <v>0.75</v>
      </c>
      <c r="C15" s="163" t="s">
        <v>2560</v>
      </c>
      <c r="D15" s="238"/>
      <c r="E15" s="250" t="s">
        <v>2388</v>
      </c>
    </row>
    <row r="16" spans="1:5" x14ac:dyDescent="0.25">
      <c r="A16" s="203" t="s">
        <v>2561</v>
      </c>
      <c r="B16" s="204">
        <v>0.85</v>
      </c>
      <c r="C16" s="203"/>
      <c r="D16" s="251"/>
      <c r="E16" s="249" t="s">
        <v>2388</v>
      </c>
    </row>
    <row r="17" spans="1:5" x14ac:dyDescent="0.25">
      <c r="A17" s="163" t="s">
        <v>2562</v>
      </c>
      <c r="B17" s="164">
        <v>0.45</v>
      </c>
      <c r="C17" s="163"/>
      <c r="D17" s="238"/>
      <c r="E17" s="249" t="s">
        <v>2388</v>
      </c>
    </row>
    <row r="18" spans="1:5" x14ac:dyDescent="0.25">
      <c r="A18" s="163" t="s">
        <v>2563</v>
      </c>
      <c r="B18" s="164">
        <v>0.22</v>
      </c>
      <c r="C18" s="163"/>
      <c r="D18" s="238"/>
      <c r="E18" s="249" t="s">
        <v>2388</v>
      </c>
    </row>
    <row r="19" spans="1:5" x14ac:dyDescent="0.25">
      <c r="A19" s="163" t="s">
        <v>2564</v>
      </c>
      <c r="B19" s="164">
        <v>0</v>
      </c>
      <c r="C19" s="163"/>
      <c r="D19" s="238"/>
      <c r="E19" s="249" t="s">
        <v>2388</v>
      </c>
    </row>
    <row r="20" spans="1:5" x14ac:dyDescent="0.25">
      <c r="A20" s="163" t="s">
        <v>2565</v>
      </c>
      <c r="B20" s="164">
        <v>0</v>
      </c>
      <c r="C20" s="163"/>
      <c r="D20" s="238"/>
      <c r="E20" s="249" t="s">
        <v>2388</v>
      </c>
    </row>
    <row r="21" spans="1:5" x14ac:dyDescent="0.25">
      <c r="A21" s="163" t="s">
        <v>2566</v>
      </c>
      <c r="B21" s="164">
        <v>0</v>
      </c>
      <c r="C21" s="163"/>
      <c r="D21" s="238"/>
      <c r="E21" s="249" t="s">
        <v>2388</v>
      </c>
    </row>
    <row r="22" spans="1:5" x14ac:dyDescent="0.25">
      <c r="A22" s="163" t="s">
        <v>2567</v>
      </c>
      <c r="B22" s="164">
        <v>0.41</v>
      </c>
      <c r="C22" s="163"/>
      <c r="D22" s="238"/>
      <c r="E22" s="249" t="s">
        <v>2388</v>
      </c>
    </row>
    <row r="23" spans="1:5" x14ac:dyDescent="0.25">
      <c r="A23" s="180" t="s">
        <v>2568</v>
      </c>
      <c r="B23" s="181">
        <v>0.18</v>
      </c>
      <c r="C23" s="244"/>
      <c r="D23" s="244"/>
      <c r="E23" s="249" t="s">
        <v>2388</v>
      </c>
    </row>
    <row r="24" spans="1:5" x14ac:dyDescent="0.25">
      <c r="A24" s="163" t="s">
        <v>2015</v>
      </c>
      <c r="B24" s="165">
        <v>1.149</v>
      </c>
      <c r="C24" s="238" t="s">
        <v>2569</v>
      </c>
      <c r="D24" s="238"/>
      <c r="E24" s="238" t="s">
        <v>2388</v>
      </c>
    </row>
    <row r="25" spans="1:5" x14ac:dyDescent="0.25">
      <c r="A25" s="163" t="s">
        <v>2570</v>
      </c>
      <c r="B25" s="165">
        <v>0.04</v>
      </c>
      <c r="C25" s="238" t="s">
        <v>2569</v>
      </c>
      <c r="D25" s="238" t="s">
        <v>2571</v>
      </c>
      <c r="E25" s="238" t="s">
        <v>2388</v>
      </c>
    </row>
    <row r="26" spans="1:5" x14ac:dyDescent="0.25">
      <c r="A26" s="163" t="s">
        <v>2572</v>
      </c>
      <c r="B26" s="165">
        <v>3.7999999999999999E-2</v>
      </c>
      <c r="C26" s="238" t="s">
        <v>2569</v>
      </c>
      <c r="D26" s="238"/>
      <c r="E26" s="238" t="s">
        <v>2388</v>
      </c>
    </row>
    <row r="27" spans="1:5" x14ac:dyDescent="0.25">
      <c r="A27" s="162"/>
      <c r="B27" s="179"/>
      <c r="C27" s="252"/>
      <c r="D27" s="252"/>
      <c r="E27" s="252"/>
    </row>
    <row r="28" spans="1:5" x14ac:dyDescent="0.25">
      <c r="A28" s="182" t="s">
        <v>2573</v>
      </c>
      <c r="B28" s="182"/>
      <c r="C28" s="182"/>
      <c r="D28" s="182"/>
      <c r="E28" s="237"/>
    </row>
    <row r="29" spans="1:5" x14ac:dyDescent="0.25">
      <c r="A29" s="268" t="s">
        <v>2384</v>
      </c>
      <c r="B29" s="268"/>
      <c r="C29" s="268"/>
      <c r="D29" s="268"/>
      <c r="E29" s="237"/>
    </row>
    <row r="30" spans="1:5" x14ac:dyDescent="0.25">
      <c r="A30" s="104" t="s">
        <v>2389</v>
      </c>
      <c r="B30" s="104" t="s">
        <v>2390</v>
      </c>
      <c r="C30" s="106" t="s">
        <v>2378</v>
      </c>
      <c r="D30" s="107" t="s">
        <v>2379</v>
      </c>
      <c r="E30" s="237"/>
    </row>
    <row r="31" spans="1:5" x14ac:dyDescent="0.25">
      <c r="A31" s="161" t="s">
        <v>2574</v>
      </c>
      <c r="B31" s="234">
        <f>B6</f>
        <v>468650000</v>
      </c>
      <c r="C31" s="232" t="s">
        <v>2393</v>
      </c>
      <c r="D31" s="232"/>
      <c r="E31" s="237"/>
    </row>
    <row r="32" spans="1:5" x14ac:dyDescent="0.25">
      <c r="A32" s="161" t="s">
        <v>2415</v>
      </c>
      <c r="B32" s="234">
        <f>B31*B14</f>
        <v>189334600</v>
      </c>
      <c r="C32" s="232" t="s">
        <v>2416</v>
      </c>
      <c r="D32" s="232"/>
      <c r="E32" s="237"/>
    </row>
    <row r="33" spans="1:5" x14ac:dyDescent="0.25">
      <c r="A33" s="161" t="s">
        <v>2135</v>
      </c>
      <c r="B33" s="234">
        <f>B31*(B13+B12)/B15</f>
        <v>2272015200</v>
      </c>
      <c r="C33" s="232" t="s">
        <v>2416</v>
      </c>
      <c r="D33" s="232"/>
      <c r="E33" s="237"/>
    </row>
    <row r="34" spans="1:5" x14ac:dyDescent="0.25">
      <c r="A34" s="161" t="s">
        <v>2015</v>
      </c>
      <c r="B34" s="234">
        <f>B31*B24</f>
        <v>538478850</v>
      </c>
      <c r="C34" s="232" t="s">
        <v>2417</v>
      </c>
      <c r="D34" s="232"/>
      <c r="E34" s="237"/>
    </row>
    <row r="35" spans="1:5" x14ac:dyDescent="0.25">
      <c r="A35" s="161" t="s">
        <v>2570</v>
      </c>
      <c r="B35" s="234">
        <f>B31*B25</f>
        <v>18746000</v>
      </c>
      <c r="C35" s="232" t="s">
        <v>2418</v>
      </c>
      <c r="D35" s="232"/>
      <c r="E35" s="237"/>
    </row>
    <row r="36" spans="1:5" x14ac:dyDescent="0.25">
      <c r="A36" s="161" t="s">
        <v>2572</v>
      </c>
      <c r="B36" s="234">
        <f>B31*B26</f>
        <v>17808700</v>
      </c>
      <c r="C36" s="232" t="s">
        <v>2418</v>
      </c>
      <c r="D36" s="232"/>
      <c r="E36" s="237"/>
    </row>
    <row r="37" spans="1:5" x14ac:dyDescent="0.25">
      <c r="A37" s="236"/>
      <c r="B37" s="237"/>
      <c r="C37" s="237"/>
      <c r="D37" s="237"/>
      <c r="E37" s="237"/>
    </row>
    <row r="38" spans="1:5" x14ac:dyDescent="0.25">
      <c r="A38" s="268" t="s">
        <v>2423</v>
      </c>
      <c r="B38" s="268"/>
      <c r="C38" s="268"/>
      <c r="D38" s="268"/>
    </row>
    <row r="39" spans="1:5" x14ac:dyDescent="0.25">
      <c r="A39" s="104" t="s">
        <v>2389</v>
      </c>
      <c r="B39" s="104" t="s">
        <v>2390</v>
      </c>
      <c r="C39" s="106" t="s">
        <v>2378</v>
      </c>
      <c r="D39" s="107" t="s">
        <v>2379</v>
      </c>
    </row>
    <row r="40" spans="1:5" x14ac:dyDescent="0.25">
      <c r="A40" s="161" t="s">
        <v>2240</v>
      </c>
      <c r="B40" s="234">
        <f>B31*(B16*B10+B17*B8+B18*B9+B19*B11)</f>
        <v>203440965</v>
      </c>
      <c r="C40" s="232" t="s">
        <v>2393</v>
      </c>
      <c r="D40" s="232"/>
    </row>
    <row r="41" spans="1:5" x14ac:dyDescent="0.25">
      <c r="A41" s="161" t="s">
        <v>2168</v>
      </c>
      <c r="B41" s="234">
        <f>B31*(B20*B10+B21*B8+B22*B9+B23*B11)</f>
        <v>56003675</v>
      </c>
      <c r="C41" s="232" t="s">
        <v>2393</v>
      </c>
      <c r="D41" s="23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:E38"/>
  <sheetViews>
    <sheetView workbookViewId="0">
      <selection activeCell="D2" sqref="D2"/>
    </sheetView>
  </sheetViews>
  <sheetFormatPr defaultRowHeight="15.75" x14ac:dyDescent="0.25"/>
  <cols>
    <col min="1" max="1" width="56.25" bestFit="1" customWidth="1"/>
    <col min="2" max="2" width="12.75" bestFit="1" customWidth="1"/>
    <col min="3" max="3" width="17.75" bestFit="1" customWidth="1"/>
    <col min="4" max="4" width="79.375" bestFit="1" customWidth="1"/>
    <col min="5" max="5" width="3.5" bestFit="1" customWidth="1"/>
  </cols>
  <sheetData>
    <row r="1" spans="1:5" ht="18.75" x14ac:dyDescent="0.3">
      <c r="A1" s="147" t="s">
        <v>73</v>
      </c>
      <c r="B1" s="90" t="s">
        <v>2536</v>
      </c>
    </row>
    <row r="2" spans="1:5" x14ac:dyDescent="0.25">
      <c r="A2" s="163" t="s">
        <v>2376</v>
      </c>
      <c r="B2" s="164" t="s">
        <v>2377</v>
      </c>
      <c r="C2" s="163" t="s">
        <v>2378</v>
      </c>
      <c r="D2" s="238" t="s">
        <v>2379</v>
      </c>
      <c r="E2" s="151" t="s">
        <v>2380</v>
      </c>
    </row>
    <row r="3" spans="1:5" x14ac:dyDescent="0.25">
      <c r="A3" s="163" t="s">
        <v>2575</v>
      </c>
      <c r="B3" s="257">
        <v>730000</v>
      </c>
      <c r="C3" s="163" t="s">
        <v>2576</v>
      </c>
      <c r="D3" s="232" t="s">
        <v>2545</v>
      </c>
      <c r="E3" s="163" t="s">
        <v>2388</v>
      </c>
    </row>
    <row r="4" spans="1:5" x14ac:dyDescent="0.25">
      <c r="A4" s="163" t="s">
        <v>2577</v>
      </c>
      <c r="B4" s="261">
        <v>8.0000000000000004E-4</v>
      </c>
      <c r="C4" s="163" t="s">
        <v>2578</v>
      </c>
      <c r="D4" s="238"/>
      <c r="E4" s="163" t="s">
        <v>2388</v>
      </c>
    </row>
    <row r="5" spans="1:5" x14ac:dyDescent="0.25">
      <c r="A5" s="163" t="s">
        <v>2579</v>
      </c>
      <c r="B5" s="261">
        <v>1.1000000000000001E-3</v>
      </c>
      <c r="C5" s="163" t="s">
        <v>2578</v>
      </c>
      <c r="D5" s="238"/>
      <c r="E5" s="163" t="s">
        <v>2388</v>
      </c>
    </row>
    <row r="6" spans="1:5" x14ac:dyDescent="0.25">
      <c r="A6" s="163" t="s">
        <v>2580</v>
      </c>
      <c r="B6" s="261">
        <v>5.0000000000000001E-4</v>
      </c>
      <c r="C6" s="163" t="s">
        <v>2578</v>
      </c>
      <c r="D6" s="238" t="s">
        <v>2581</v>
      </c>
      <c r="E6" s="163" t="s">
        <v>2388</v>
      </c>
    </row>
    <row r="7" spans="1:5" x14ac:dyDescent="0.25">
      <c r="A7" s="163" t="s">
        <v>2582</v>
      </c>
      <c r="B7" s="261">
        <v>1.4E-3</v>
      </c>
      <c r="C7" s="163" t="s">
        <v>2578</v>
      </c>
      <c r="D7" s="238" t="s">
        <v>2583</v>
      </c>
      <c r="E7" s="163" t="s">
        <v>2388</v>
      </c>
    </row>
    <row r="8" spans="1:5" x14ac:dyDescent="0.25">
      <c r="A8" s="163" t="s">
        <v>2584</v>
      </c>
      <c r="B8" s="261">
        <v>3.1699999999999999E-2</v>
      </c>
      <c r="C8" s="163" t="s">
        <v>2578</v>
      </c>
      <c r="D8" s="238" t="s">
        <v>2583</v>
      </c>
      <c r="E8" s="163" t="s">
        <v>2388</v>
      </c>
    </row>
    <row r="9" spans="1:5" x14ac:dyDescent="0.25">
      <c r="A9" s="163" t="s">
        <v>2585</v>
      </c>
      <c r="B9" s="261">
        <v>2.3300000000000001E-2</v>
      </c>
      <c r="C9" s="163" t="s">
        <v>2578</v>
      </c>
      <c r="D9" s="238" t="s">
        <v>2583</v>
      </c>
      <c r="E9" s="163" t="s">
        <v>2388</v>
      </c>
    </row>
    <row r="10" spans="1:5" x14ac:dyDescent="0.25">
      <c r="A10" s="163" t="s">
        <v>2586</v>
      </c>
      <c r="B10" s="261">
        <v>0.20330000000000001</v>
      </c>
      <c r="C10" s="163" t="s">
        <v>2578</v>
      </c>
      <c r="D10" s="238"/>
      <c r="E10" s="163" t="s">
        <v>2388</v>
      </c>
    </row>
    <row r="11" spans="1:5" x14ac:dyDescent="0.25">
      <c r="A11" s="163" t="s">
        <v>2587</v>
      </c>
      <c r="B11" s="261">
        <v>2.9999999999999997E-4</v>
      </c>
      <c r="C11" s="163" t="s">
        <v>2578</v>
      </c>
      <c r="D11" s="238"/>
      <c r="E11" s="163" t="s">
        <v>2388</v>
      </c>
    </row>
    <row r="12" spans="1:5" x14ac:dyDescent="0.25">
      <c r="A12" s="163" t="s">
        <v>2588</v>
      </c>
      <c r="B12" s="164">
        <v>0.245</v>
      </c>
      <c r="C12" s="163" t="s">
        <v>2578</v>
      </c>
      <c r="D12" s="238"/>
      <c r="E12" s="163" t="s">
        <v>2388</v>
      </c>
    </row>
    <row r="13" spans="1:5" x14ac:dyDescent="0.25">
      <c r="A13" s="163" t="s">
        <v>2589</v>
      </c>
      <c r="B13" s="164">
        <v>34.42</v>
      </c>
      <c r="C13" s="163" t="s">
        <v>2590</v>
      </c>
      <c r="D13" s="238"/>
      <c r="E13" s="163" t="s">
        <v>2388</v>
      </c>
    </row>
    <row r="14" spans="1:5" x14ac:dyDescent="0.25">
      <c r="A14" s="163" t="s">
        <v>2591</v>
      </c>
      <c r="B14" s="164">
        <v>0.12</v>
      </c>
      <c r="C14" s="163" t="s">
        <v>2578</v>
      </c>
      <c r="D14" s="238"/>
      <c r="E14" s="163" t="s">
        <v>2388</v>
      </c>
    </row>
    <row r="15" spans="1:5" x14ac:dyDescent="0.25">
      <c r="A15" s="163" t="s">
        <v>2592</v>
      </c>
      <c r="B15" s="164">
        <v>0.92</v>
      </c>
      <c r="C15" s="163" t="s">
        <v>2422</v>
      </c>
      <c r="D15" s="238" t="s">
        <v>2593</v>
      </c>
      <c r="E15" s="163" t="s">
        <v>2388</v>
      </c>
    </row>
    <row r="16" spans="1:5" x14ac:dyDescent="0.25">
      <c r="A16" s="163" t="s">
        <v>2594</v>
      </c>
      <c r="B16" s="164">
        <v>0.04</v>
      </c>
      <c r="C16" s="163" t="s">
        <v>2422</v>
      </c>
      <c r="D16" s="238" t="s">
        <v>2593</v>
      </c>
      <c r="E16" s="163" t="s">
        <v>2388</v>
      </c>
    </row>
    <row r="17" spans="1:5" x14ac:dyDescent="0.25">
      <c r="A17" s="162"/>
      <c r="B17" s="162"/>
      <c r="C17" s="162"/>
      <c r="D17" s="162"/>
      <c r="E17" s="252"/>
    </row>
    <row r="18" spans="1:5" x14ac:dyDescent="0.25">
      <c r="A18" s="182" t="s">
        <v>2595</v>
      </c>
      <c r="B18" s="182"/>
      <c r="C18" s="182"/>
      <c r="D18" s="182"/>
      <c r="E18" s="237"/>
    </row>
    <row r="19" spans="1:5" x14ac:dyDescent="0.25">
      <c r="A19" s="268" t="s">
        <v>2384</v>
      </c>
      <c r="B19" s="268"/>
      <c r="C19" s="268"/>
      <c r="D19" s="268"/>
      <c r="E19" s="237"/>
    </row>
    <row r="20" spans="1:5" x14ac:dyDescent="0.25">
      <c r="A20" s="104" t="s">
        <v>2389</v>
      </c>
      <c r="B20" s="104" t="s">
        <v>2390</v>
      </c>
      <c r="C20" s="106" t="s">
        <v>2378</v>
      </c>
      <c r="D20" s="107" t="s">
        <v>2379</v>
      </c>
      <c r="E20" s="237"/>
    </row>
    <row r="21" spans="1:5" x14ac:dyDescent="0.25">
      <c r="A21" s="161" t="s">
        <v>2575</v>
      </c>
      <c r="B21" s="234">
        <f>B3*1000</f>
        <v>730000000</v>
      </c>
      <c r="C21" s="232" t="s">
        <v>2393</v>
      </c>
      <c r="D21" s="232"/>
      <c r="E21" s="237"/>
    </row>
    <row r="22" spans="1:5" x14ac:dyDescent="0.25">
      <c r="A22" s="161" t="s">
        <v>2596</v>
      </c>
      <c r="B22" s="234">
        <f>$B$21*B4</f>
        <v>584000</v>
      </c>
      <c r="C22" s="232" t="s">
        <v>2393</v>
      </c>
      <c r="D22" s="232"/>
      <c r="E22" s="237"/>
    </row>
    <row r="23" spans="1:5" x14ac:dyDescent="0.25">
      <c r="A23" s="161" t="s">
        <v>2597</v>
      </c>
      <c r="B23" s="234">
        <f t="shared" ref="B23:B29" si="0">$B$21*B5</f>
        <v>803000</v>
      </c>
      <c r="C23" s="232" t="s">
        <v>2393</v>
      </c>
      <c r="D23" s="232"/>
      <c r="E23" s="237"/>
    </row>
    <row r="24" spans="1:5" x14ac:dyDescent="0.25">
      <c r="A24" s="161" t="s">
        <v>2145</v>
      </c>
      <c r="B24" s="234">
        <f t="shared" si="0"/>
        <v>365000</v>
      </c>
      <c r="C24" s="232" t="s">
        <v>2393</v>
      </c>
      <c r="D24" s="232"/>
      <c r="E24" s="237"/>
    </row>
    <row r="25" spans="1:5" x14ac:dyDescent="0.25">
      <c r="A25" s="161" t="s">
        <v>2598</v>
      </c>
      <c r="B25" s="234">
        <f t="shared" si="0"/>
        <v>1022000</v>
      </c>
      <c r="C25" s="232" t="s">
        <v>2393</v>
      </c>
      <c r="D25" s="249" t="s">
        <v>2599</v>
      </c>
      <c r="E25" s="237"/>
    </row>
    <row r="26" spans="1:5" x14ac:dyDescent="0.25">
      <c r="A26" s="259" t="s">
        <v>2600</v>
      </c>
      <c r="B26" s="234">
        <f t="shared" si="0"/>
        <v>23141000</v>
      </c>
      <c r="C26" s="232" t="s">
        <v>2393</v>
      </c>
      <c r="D26" s="249" t="s">
        <v>2601</v>
      </c>
      <c r="E26" s="237"/>
    </row>
    <row r="27" spans="1:5" x14ac:dyDescent="0.25">
      <c r="A27" s="258" t="s">
        <v>2602</v>
      </c>
      <c r="B27" s="234">
        <f t="shared" si="0"/>
        <v>17009000</v>
      </c>
      <c r="C27" s="232" t="s">
        <v>2393</v>
      </c>
      <c r="D27" s="249" t="s">
        <v>2601</v>
      </c>
      <c r="E27" s="237"/>
    </row>
    <row r="28" spans="1:5" x14ac:dyDescent="0.25">
      <c r="A28" s="258" t="s">
        <v>2603</v>
      </c>
      <c r="B28" s="234">
        <f t="shared" si="0"/>
        <v>148409000</v>
      </c>
      <c r="C28" s="232" t="s">
        <v>2393</v>
      </c>
      <c r="D28" s="238"/>
      <c r="E28" s="237"/>
    </row>
    <row r="29" spans="1:5" x14ac:dyDescent="0.25">
      <c r="A29" s="258" t="s">
        <v>2125</v>
      </c>
      <c r="B29" s="234">
        <f t="shared" si="0"/>
        <v>218999.99999999997</v>
      </c>
      <c r="C29" s="232" t="s">
        <v>2393</v>
      </c>
      <c r="D29" s="238"/>
      <c r="E29" s="237"/>
    </row>
    <row r="30" spans="1:5" x14ac:dyDescent="0.25">
      <c r="A30" s="236"/>
      <c r="B30" s="237"/>
      <c r="C30" s="237"/>
      <c r="D30" s="237"/>
      <c r="E30" s="237"/>
    </row>
    <row r="31" spans="1:5" x14ac:dyDescent="0.25">
      <c r="A31" s="268" t="s">
        <v>2423</v>
      </c>
      <c r="B31" s="268"/>
      <c r="C31" s="268"/>
      <c r="D31" s="268"/>
    </row>
    <row r="32" spans="1:5" x14ac:dyDescent="0.25">
      <c r="A32" s="104" t="s">
        <v>2389</v>
      </c>
      <c r="B32" s="104" t="s">
        <v>2390</v>
      </c>
      <c r="C32" s="106" t="s">
        <v>2378</v>
      </c>
      <c r="D32" s="107" t="s">
        <v>2379</v>
      </c>
    </row>
    <row r="33" spans="1:4" x14ac:dyDescent="0.25">
      <c r="A33" s="161" t="s">
        <v>2240</v>
      </c>
      <c r="B33" s="234">
        <f>B21*B12</f>
        <v>178850000</v>
      </c>
      <c r="C33" s="232" t="s">
        <v>2393</v>
      </c>
      <c r="D33" s="232"/>
    </row>
    <row r="34" spans="1:4" x14ac:dyDescent="0.25">
      <c r="A34" s="259" t="s">
        <v>2415</v>
      </c>
      <c r="B34" s="260">
        <f>B21*B13</f>
        <v>25126600000</v>
      </c>
      <c r="C34" s="249" t="s">
        <v>2604</v>
      </c>
      <c r="D34" s="249"/>
    </row>
    <row r="35" spans="1:4" x14ac:dyDescent="0.25">
      <c r="A35" s="258" t="s">
        <v>2168</v>
      </c>
      <c r="B35" s="258">
        <f>B14*B21</f>
        <v>87600000</v>
      </c>
      <c r="C35" s="258" t="s">
        <v>2393</v>
      </c>
      <c r="D35" s="258"/>
    </row>
    <row r="38" spans="1:4" x14ac:dyDescent="0.25">
      <c r="A38" t="s">
        <v>2605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S29"/>
  <sheetViews>
    <sheetView zoomScale="130" zoomScaleNormal="130" workbookViewId="0">
      <selection activeCell="A3" sqref="A3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  <col min="10" max="10" width="8.75" customWidth="1"/>
    <col min="11" max="11" width="13.375" customWidth="1"/>
    <col min="14" max="14" width="12.5" customWidth="1"/>
    <col min="16" max="16" width="13.375" customWidth="1"/>
    <col min="19" max="19" width="12" customWidth="1"/>
  </cols>
  <sheetData>
    <row r="1" spans="1:19" s="88" customFormat="1" ht="18.75" x14ac:dyDescent="0.3">
      <c r="A1" s="104" t="s">
        <v>2376</v>
      </c>
      <c r="B1" s="105" t="s">
        <v>2377</v>
      </c>
      <c r="C1" s="106" t="s">
        <v>2378</v>
      </c>
      <c r="D1" s="107" t="s">
        <v>2379</v>
      </c>
      <c r="E1" s="107" t="s">
        <v>2380</v>
      </c>
      <c r="G1" s="88" t="s">
        <v>2381</v>
      </c>
      <c r="H1" s="90" t="s">
        <v>73</v>
      </c>
      <c r="I1" s="90" t="s">
        <v>1</v>
      </c>
      <c r="K1" s="284" t="s">
        <v>2606</v>
      </c>
      <c r="L1" s="284"/>
      <c r="M1" s="284"/>
      <c r="N1" s="284"/>
      <c r="O1"/>
      <c r="P1" s="284" t="s">
        <v>2607</v>
      </c>
      <c r="Q1" s="284"/>
      <c r="R1" s="284"/>
      <c r="S1" s="284"/>
    </row>
    <row r="2" spans="1:19" s="88" customFormat="1" x14ac:dyDescent="0.25">
      <c r="A2" s="293" t="s">
        <v>2011</v>
      </c>
      <c r="B2" s="109">
        <v>0</v>
      </c>
      <c r="C2" s="227" t="s">
        <v>2531</v>
      </c>
      <c r="D2" s="110" t="s">
        <v>2608</v>
      </c>
      <c r="E2" s="110" t="s">
        <v>2388</v>
      </c>
      <c r="K2" s="285" t="s">
        <v>2384</v>
      </c>
      <c r="L2" s="285"/>
      <c r="M2" s="285"/>
      <c r="N2" s="285"/>
      <c r="O2"/>
      <c r="P2" s="285" t="s">
        <v>2384</v>
      </c>
      <c r="Q2" s="285"/>
      <c r="R2" s="285"/>
      <c r="S2" s="285"/>
    </row>
    <row r="3" spans="1:19" s="88" customFormat="1" x14ac:dyDescent="0.25">
      <c r="A3" s="253" t="s">
        <v>2015</v>
      </c>
      <c r="B3" s="109">
        <f>166250/301713</f>
        <v>0.55102034052228444</v>
      </c>
      <c r="C3" s="227" t="s">
        <v>2531</v>
      </c>
      <c r="D3" s="110" t="s">
        <v>2609</v>
      </c>
      <c r="E3" s="227" t="s">
        <v>2388</v>
      </c>
      <c r="K3" s="104" t="s">
        <v>2389</v>
      </c>
      <c r="L3" s="114" t="s">
        <v>2390</v>
      </c>
      <c r="M3" s="106" t="s">
        <v>2378</v>
      </c>
      <c r="N3" s="107" t="s">
        <v>2379</v>
      </c>
      <c r="O3"/>
      <c r="P3" s="104" t="s">
        <v>2389</v>
      </c>
      <c r="Q3" s="114" t="s">
        <v>2390</v>
      </c>
      <c r="R3" s="106" t="s">
        <v>2378</v>
      </c>
      <c r="S3" s="107" t="s">
        <v>2379</v>
      </c>
    </row>
    <row r="4" spans="1:19" s="88" customFormat="1" x14ac:dyDescent="0.25">
      <c r="A4" s="111" t="s">
        <v>2017</v>
      </c>
      <c r="B4" s="109">
        <f>1260/301713</f>
        <v>4.1761541597478396E-3</v>
      </c>
      <c r="C4" s="227" t="s">
        <v>2531</v>
      </c>
      <c r="D4" s="110" t="s">
        <v>2609</v>
      </c>
      <c r="E4" s="110" t="s">
        <v>2388</v>
      </c>
      <c r="K4" s="115" t="s">
        <v>2192</v>
      </c>
      <c r="L4" s="110">
        <f>SoyCult!O24</f>
        <v>301713.2960400001</v>
      </c>
      <c r="M4" s="110" t="s">
        <v>2393</v>
      </c>
      <c r="N4" s="110"/>
      <c r="O4"/>
      <c r="P4" s="115" t="s">
        <v>45</v>
      </c>
      <c r="Q4" s="110"/>
      <c r="R4" s="110" t="s">
        <v>2393</v>
      </c>
      <c r="S4" s="110"/>
    </row>
    <row r="5" spans="1:19" s="88" customFormat="1" x14ac:dyDescent="0.25">
      <c r="A5" s="253" t="s">
        <v>2111</v>
      </c>
      <c r="B5" s="109">
        <f>1.16*(1/4.5)</f>
        <v>0.25777777777777777</v>
      </c>
      <c r="C5" s="227" t="s">
        <v>2399</v>
      </c>
      <c r="D5" s="110" t="s">
        <v>2381</v>
      </c>
      <c r="E5" s="227" t="s">
        <v>2388</v>
      </c>
      <c r="K5" s="115" t="s">
        <v>2069</v>
      </c>
      <c r="L5" s="117">
        <f>B6*L4</f>
        <v>238.35350387160008</v>
      </c>
      <c r="M5" s="110" t="s">
        <v>2393</v>
      </c>
      <c r="N5" s="110"/>
      <c r="O5"/>
      <c r="P5" s="115" t="s">
        <v>2069</v>
      </c>
      <c r="Q5" s="117">
        <f>G6*Q4</f>
        <v>0</v>
      </c>
      <c r="R5" s="110" t="s">
        <v>2393</v>
      </c>
      <c r="S5" s="110"/>
    </row>
    <row r="6" spans="1:19" s="88" customFormat="1" x14ac:dyDescent="0.25">
      <c r="A6" s="253" t="s">
        <v>2069</v>
      </c>
      <c r="B6" s="109">
        <v>7.9000000000000001E-4</v>
      </c>
      <c r="C6" s="227" t="s">
        <v>2399</v>
      </c>
      <c r="D6" s="110" t="s">
        <v>2610</v>
      </c>
      <c r="E6" s="227" t="s">
        <v>2388</v>
      </c>
      <c r="K6" s="115" t="s">
        <v>2611</v>
      </c>
      <c r="L6" s="200">
        <f>B5*L4</f>
        <v>77774.982979200024</v>
      </c>
      <c r="M6" s="110" t="s">
        <v>2393</v>
      </c>
      <c r="N6" s="110"/>
      <c r="O6"/>
      <c r="P6" s="115" t="s">
        <v>2611</v>
      </c>
      <c r="Q6" s="200">
        <f>G5*Q4</f>
        <v>0</v>
      </c>
      <c r="R6" s="110" t="s">
        <v>2393</v>
      </c>
      <c r="S6" s="110"/>
    </row>
    <row r="7" spans="1:19" s="88" customFormat="1" x14ac:dyDescent="0.25">
      <c r="A7" s="253" t="s">
        <v>2145</v>
      </c>
      <c r="B7" s="109">
        <v>1.33</v>
      </c>
      <c r="C7" s="227" t="s">
        <v>2419</v>
      </c>
      <c r="D7" s="110" t="s">
        <v>2612</v>
      </c>
      <c r="E7" s="227" t="s">
        <v>2388</v>
      </c>
      <c r="K7" s="115" t="s">
        <v>2415</v>
      </c>
      <c r="L7" s="117">
        <f>B8*L4</f>
        <v>46933.17938400001</v>
      </c>
      <c r="M7" s="110" t="s">
        <v>2416</v>
      </c>
      <c r="N7" s="110"/>
      <c r="O7"/>
      <c r="P7" s="115" t="s">
        <v>2415</v>
      </c>
      <c r="Q7" s="117">
        <f>G8*Q4</f>
        <v>0</v>
      </c>
      <c r="R7" s="110" t="s">
        <v>2416</v>
      </c>
      <c r="S7" s="110"/>
    </row>
    <row r="8" spans="1:19" s="88" customFormat="1" x14ac:dyDescent="0.25">
      <c r="A8" s="111" t="s">
        <v>2127</v>
      </c>
      <c r="B8" s="109">
        <f>0.7*(1/4.5)</f>
        <v>0.15555555555555553</v>
      </c>
      <c r="C8" s="227" t="s">
        <v>2419</v>
      </c>
      <c r="D8" s="110" t="s">
        <v>2381</v>
      </c>
      <c r="E8" s="227" t="s">
        <v>2388</v>
      </c>
      <c r="K8" s="115" t="s">
        <v>2145</v>
      </c>
      <c r="L8" s="116">
        <f>(B7*L4)/LCI!E56</f>
        <v>8025.5736746640023</v>
      </c>
      <c r="M8" s="110" t="s">
        <v>2393</v>
      </c>
      <c r="N8" s="110"/>
      <c r="O8"/>
      <c r="P8" s="115" t="s">
        <v>2145</v>
      </c>
      <c r="Q8" s="116" t="e">
        <f>(G7*Q4)/LCI!J56</f>
        <v>#DIV/0!</v>
      </c>
      <c r="R8" s="110" t="s">
        <v>2393</v>
      </c>
      <c r="S8" s="110"/>
    </row>
    <row r="9" spans="1:19" s="88" customFormat="1" x14ac:dyDescent="0.25">
      <c r="A9" s="253" t="s">
        <v>2190</v>
      </c>
      <c r="B9" s="109">
        <f>1/4.5</f>
        <v>0.22222222222222221</v>
      </c>
      <c r="C9" s="227" t="s">
        <v>2399</v>
      </c>
      <c r="D9" s="110" t="s">
        <v>2381</v>
      </c>
      <c r="E9" s="110" t="s">
        <v>2409</v>
      </c>
      <c r="K9" s="115" t="s">
        <v>2385</v>
      </c>
      <c r="L9" s="254">
        <f>B2*L4</f>
        <v>0</v>
      </c>
      <c r="M9" s="110" t="s">
        <v>2417</v>
      </c>
      <c r="N9" s="110"/>
      <c r="O9"/>
      <c r="P9" s="115" t="s">
        <v>2385</v>
      </c>
      <c r="Q9" s="254">
        <f>G2*Q4</f>
        <v>0</v>
      </c>
      <c r="R9" s="110" t="s">
        <v>2417</v>
      </c>
      <c r="S9" s="110"/>
    </row>
    <row r="10" spans="1:19" s="88" customFormat="1" x14ac:dyDescent="0.25">
      <c r="A10" s="111" t="s">
        <v>2188</v>
      </c>
      <c r="B10" s="109">
        <f>3.5/4.5</f>
        <v>0.77777777777777779</v>
      </c>
      <c r="C10" s="227" t="s">
        <v>2399</v>
      </c>
      <c r="D10" s="110" t="s">
        <v>2381</v>
      </c>
      <c r="E10" s="110" t="s">
        <v>2409</v>
      </c>
      <c r="K10" s="115" t="s">
        <v>2015</v>
      </c>
      <c r="L10" s="255">
        <f>B3*L4</f>
        <v>166250.16312406166</v>
      </c>
      <c r="M10" s="110" t="s">
        <v>2417</v>
      </c>
      <c r="N10" s="110"/>
      <c r="O10"/>
      <c r="P10" s="115" t="s">
        <v>2015</v>
      </c>
      <c r="Q10" s="255">
        <f>G3*Q4</f>
        <v>0</v>
      </c>
      <c r="R10" s="110" t="s">
        <v>2417</v>
      </c>
      <c r="S10" s="110"/>
    </row>
    <row r="11" spans="1:19" x14ac:dyDescent="0.25">
      <c r="K11" s="115" t="s">
        <v>2017</v>
      </c>
      <c r="L11" s="117">
        <f>B4*L4</f>
        <v>1260.0012363086778</v>
      </c>
      <c r="M11" s="110" t="s">
        <v>2613</v>
      </c>
      <c r="N11" s="110"/>
      <c r="P11" s="115" t="s">
        <v>2017</v>
      </c>
      <c r="Q11" s="117">
        <f>G4*Q4</f>
        <v>0</v>
      </c>
      <c r="R11" s="110" t="s">
        <v>2613</v>
      </c>
      <c r="S11" s="110"/>
    </row>
    <row r="12" spans="1:19" x14ac:dyDescent="0.25">
      <c r="K12" s="89"/>
      <c r="L12" s="88"/>
      <c r="M12" s="88"/>
      <c r="N12" s="88"/>
      <c r="P12" s="89"/>
      <c r="Q12" s="88"/>
      <c r="R12" s="88"/>
      <c r="S12" s="88"/>
    </row>
    <row r="13" spans="1:19" x14ac:dyDescent="0.25">
      <c r="K13" s="285" t="s">
        <v>2423</v>
      </c>
      <c r="L13" s="285"/>
      <c r="M13" s="285"/>
      <c r="N13" s="285"/>
      <c r="P13" s="285" t="s">
        <v>2423</v>
      </c>
      <c r="Q13" s="285"/>
      <c r="R13" s="285"/>
      <c r="S13" s="285"/>
    </row>
    <row r="14" spans="1:19" x14ac:dyDescent="0.25">
      <c r="K14" s="104" t="s">
        <v>2389</v>
      </c>
      <c r="L14" s="114" t="s">
        <v>2390</v>
      </c>
      <c r="M14" s="106" t="s">
        <v>2378</v>
      </c>
      <c r="N14" s="107" t="s">
        <v>2379</v>
      </c>
      <c r="P14" s="104" t="s">
        <v>2389</v>
      </c>
      <c r="Q14" s="114" t="s">
        <v>2390</v>
      </c>
      <c r="R14" s="106" t="s">
        <v>2378</v>
      </c>
      <c r="S14" s="107" t="s">
        <v>2379</v>
      </c>
    </row>
    <row r="15" spans="1:19" x14ac:dyDescent="0.25">
      <c r="K15" s="115" t="s">
        <v>2614</v>
      </c>
      <c r="L15" s="116">
        <f>L4*B9</f>
        <v>67047.399120000016</v>
      </c>
      <c r="M15" s="110" t="s">
        <v>2393</v>
      </c>
      <c r="N15" s="110" t="s">
        <v>2426</v>
      </c>
      <c r="P15" s="115" t="s">
        <v>2615</v>
      </c>
      <c r="Q15" s="116">
        <f>Q4*G9</f>
        <v>0</v>
      </c>
      <c r="R15" s="110" t="s">
        <v>2393</v>
      </c>
      <c r="S15" s="110" t="s">
        <v>2426</v>
      </c>
    </row>
    <row r="16" spans="1:19" x14ac:dyDescent="0.25">
      <c r="K16" s="115" t="s">
        <v>2616</v>
      </c>
      <c r="L16" s="201">
        <f>L4*B10</f>
        <v>234665.89692000009</v>
      </c>
      <c r="M16" s="110" t="s">
        <v>2393</v>
      </c>
      <c r="N16" s="110"/>
      <c r="P16" s="115" t="s">
        <v>2617</v>
      </c>
      <c r="Q16" s="201">
        <f>Q4*G10</f>
        <v>0</v>
      </c>
      <c r="R16" s="110" t="s">
        <v>2393</v>
      </c>
      <c r="S16" s="110"/>
    </row>
    <row r="29" spans="1:4" x14ac:dyDescent="0.25">
      <c r="A29" s="89"/>
      <c r="B29" s="88"/>
      <c r="C29" s="88"/>
      <c r="D29" s="88"/>
    </row>
  </sheetData>
  <mergeCells count="6">
    <mergeCell ref="K1:N1"/>
    <mergeCell ref="K2:N2"/>
    <mergeCell ref="K13:N13"/>
    <mergeCell ref="P1:S1"/>
    <mergeCell ref="P2:S2"/>
    <mergeCell ref="P13:S1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L30"/>
  <sheetViews>
    <sheetView zoomScale="130" zoomScaleNormal="130" workbookViewId="0">
      <selection activeCell="A13" sqref="A13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  <col min="12" max="12" width="12" customWidth="1"/>
  </cols>
  <sheetData>
    <row r="1" spans="1:12" s="88" customFormat="1" x14ac:dyDescent="0.25">
      <c r="A1" s="104" t="s">
        <v>2376</v>
      </c>
      <c r="B1" s="105" t="s">
        <v>2377</v>
      </c>
      <c r="C1" s="106" t="s">
        <v>2378</v>
      </c>
      <c r="D1" s="107" t="s">
        <v>2379</v>
      </c>
      <c r="E1" s="107" t="s">
        <v>2380</v>
      </c>
      <c r="G1" s="88" t="s">
        <v>2381</v>
      </c>
      <c r="I1" s="286" t="s">
        <v>2618</v>
      </c>
      <c r="J1" s="286"/>
      <c r="K1" s="286"/>
      <c r="L1" s="286"/>
    </row>
    <row r="2" spans="1:12" s="88" customFormat="1" ht="15" x14ac:dyDescent="0.25">
      <c r="A2" s="224" t="s">
        <v>2619</v>
      </c>
      <c r="B2" s="256" t="s">
        <v>2620</v>
      </c>
      <c r="C2" s="106"/>
      <c r="D2" s="107"/>
      <c r="E2" s="107"/>
      <c r="I2" s="285" t="s">
        <v>2384</v>
      </c>
      <c r="J2" s="285"/>
      <c r="K2" s="285"/>
      <c r="L2" s="285"/>
    </row>
    <row r="3" spans="1:12" s="88" customFormat="1" ht="15" x14ac:dyDescent="0.25">
      <c r="A3" s="112" t="s">
        <v>2080</v>
      </c>
      <c r="B3" s="109">
        <f>0.108*G4</f>
        <v>9.8450319051959889E-2</v>
      </c>
      <c r="C3" s="227" t="s">
        <v>2399</v>
      </c>
      <c r="D3" s="110" t="s">
        <v>2381</v>
      </c>
      <c r="E3" s="227" t="s">
        <v>2388</v>
      </c>
      <c r="F3" s="88" t="s">
        <v>2621</v>
      </c>
      <c r="G3" s="88">
        <f>1+0.09+0.007</f>
        <v>1.097</v>
      </c>
      <c r="I3" s="104" t="s">
        <v>2389</v>
      </c>
      <c r="J3" s="104" t="s">
        <v>2390</v>
      </c>
      <c r="K3" s="106" t="s">
        <v>2378</v>
      </c>
      <c r="L3" s="107" t="s">
        <v>2379</v>
      </c>
    </row>
    <row r="4" spans="1:12" s="88" customFormat="1" ht="15" x14ac:dyDescent="0.25">
      <c r="A4" s="224" t="s">
        <v>2145</v>
      </c>
      <c r="B4" s="109">
        <f>1.18*G4</f>
        <v>1.0756608933454876</v>
      </c>
      <c r="C4" s="227" t="s">
        <v>2419</v>
      </c>
      <c r="D4" s="110" t="s">
        <v>2381</v>
      </c>
      <c r="E4" s="227" t="s">
        <v>2388</v>
      </c>
      <c r="F4" s="88" t="s">
        <v>2622</v>
      </c>
      <c r="G4" s="88">
        <f>1/G3</f>
        <v>0.91157702825888787</v>
      </c>
      <c r="I4" s="115" t="str">
        <f>HexExt!K15</f>
        <v>Soy Oil</v>
      </c>
      <c r="J4" s="116">
        <f>HexExt!L15</f>
        <v>67047.399120000016</v>
      </c>
      <c r="K4" s="110" t="s">
        <v>2393</v>
      </c>
      <c r="L4" s="110"/>
    </row>
    <row r="5" spans="1:12" s="88" customFormat="1" ht="15" x14ac:dyDescent="0.25">
      <c r="A5" s="112" t="s">
        <v>2127</v>
      </c>
      <c r="B5" s="109">
        <f>0.147*G4</f>
        <v>0.13400182315405651</v>
      </c>
      <c r="C5" s="227" t="s">
        <v>2419</v>
      </c>
      <c r="D5" s="110" t="s">
        <v>2381</v>
      </c>
      <c r="E5" s="110" t="s">
        <v>2388</v>
      </c>
      <c r="F5" s="88" t="s">
        <v>2623</v>
      </c>
      <c r="G5" s="88">
        <f>G4*HexExt!$B$9</f>
        <v>0.20257267294641951</v>
      </c>
      <c r="I5" s="115" t="str">
        <f t="shared" ref="I5:I10" si="0">A3</f>
        <v>Methanol</v>
      </c>
      <c r="J5" s="116">
        <f>J$4*B3</f>
        <v>6600.8378349680961</v>
      </c>
      <c r="K5" s="110" t="s">
        <v>2393</v>
      </c>
      <c r="L5" s="110"/>
    </row>
    <row r="6" spans="1:12" s="88" customFormat="1" ht="15" x14ac:dyDescent="0.25">
      <c r="A6" s="224" t="s">
        <v>2111</v>
      </c>
      <c r="B6" s="109">
        <f>0.5*G4</f>
        <v>0.45578851412944393</v>
      </c>
      <c r="C6" s="227" t="s">
        <v>2399</v>
      </c>
      <c r="D6" s="110"/>
      <c r="E6" s="227" t="s">
        <v>2388</v>
      </c>
      <c r="I6" s="115" t="str">
        <f t="shared" si="0"/>
        <v>Natural Gas</v>
      </c>
      <c r="J6" s="116">
        <f>(J$4*B4)/LCI!E56</f>
        <v>1442.4053046782137</v>
      </c>
      <c r="K6" s="110" t="s">
        <v>2393</v>
      </c>
      <c r="L6" s="110"/>
    </row>
    <row r="7" spans="1:12" s="88" customFormat="1" ht="15" x14ac:dyDescent="0.25">
      <c r="A7" s="112" t="s">
        <v>2015</v>
      </c>
      <c r="B7" s="127">
        <v>0.66236948350271474</v>
      </c>
      <c r="C7" s="227" t="s">
        <v>2531</v>
      </c>
      <c r="D7" s="134" t="s">
        <v>2624</v>
      </c>
      <c r="E7" s="110" t="s">
        <v>2388</v>
      </c>
      <c r="I7" s="115" t="str">
        <f t="shared" si="0"/>
        <v>Electricity, Grid</v>
      </c>
      <c r="J7" s="116">
        <f>J$4*B5</f>
        <v>8984.4737198176863</v>
      </c>
      <c r="K7" s="110" t="s">
        <v>2416</v>
      </c>
      <c r="L7" s="110"/>
    </row>
    <row r="8" spans="1:12" s="88" customFormat="1" ht="18" customHeight="1" x14ac:dyDescent="0.3">
      <c r="A8" s="112" t="s">
        <v>2017</v>
      </c>
      <c r="B8" s="109">
        <f>318/65590</f>
        <v>4.84830004573868E-3</v>
      </c>
      <c r="C8" s="227" t="s">
        <v>2531</v>
      </c>
      <c r="D8" s="110" t="s">
        <v>2625</v>
      </c>
      <c r="E8" s="227" t="s">
        <v>2388</v>
      </c>
      <c r="F8" s="90" t="s">
        <v>73</v>
      </c>
      <c r="G8" s="90" t="s">
        <v>1</v>
      </c>
      <c r="I8" s="115" t="str">
        <f t="shared" si="0"/>
        <v>Water</v>
      </c>
      <c r="J8" s="116">
        <f>J$4*B6</f>
        <v>30559.434421148595</v>
      </c>
      <c r="K8" s="110" t="s">
        <v>2393</v>
      </c>
      <c r="L8" s="110"/>
    </row>
    <row r="9" spans="1:12" s="88" customFormat="1" ht="15" x14ac:dyDescent="0.25">
      <c r="A9" s="292" t="s">
        <v>2011</v>
      </c>
      <c r="B9" s="109">
        <v>0</v>
      </c>
      <c r="C9" s="227" t="s">
        <v>2531</v>
      </c>
      <c r="D9" s="227" t="s">
        <v>2626</v>
      </c>
      <c r="E9" s="227" t="s">
        <v>2388</v>
      </c>
      <c r="I9" s="115" t="str">
        <f t="shared" si="0"/>
        <v>Capital Cost</v>
      </c>
      <c r="J9" s="116">
        <f>J$4*B7</f>
        <v>44410.151125314784</v>
      </c>
      <c r="K9" s="110" t="s">
        <v>2417</v>
      </c>
      <c r="L9" s="110"/>
    </row>
    <row r="10" spans="1:12" s="88" customFormat="1" ht="15" x14ac:dyDescent="0.25">
      <c r="A10" s="292" t="s">
        <v>2203</v>
      </c>
      <c r="B10" s="109">
        <f>G4</f>
        <v>0.91157702825888787</v>
      </c>
      <c r="C10" s="227" t="s">
        <v>2399</v>
      </c>
      <c r="D10" s="110" t="s">
        <v>2381</v>
      </c>
      <c r="E10" s="110" t="s">
        <v>2409</v>
      </c>
      <c r="I10" s="115" t="str">
        <f t="shared" si="0"/>
        <v>Labor</v>
      </c>
      <c r="J10" s="116">
        <f>J$4*B8</f>
        <v>325.06590822015562</v>
      </c>
      <c r="K10" s="110" t="s">
        <v>2418</v>
      </c>
      <c r="L10" s="110"/>
    </row>
    <row r="11" spans="1:12" x14ac:dyDescent="0.25">
      <c r="A11" s="224" t="s">
        <v>2178</v>
      </c>
      <c r="B11" s="109">
        <f>1-B10</f>
        <v>8.8422971741112133E-2</v>
      </c>
      <c r="C11" s="227" t="s">
        <v>2399</v>
      </c>
      <c r="D11" s="110" t="s">
        <v>2381</v>
      </c>
      <c r="E11" s="110" t="s">
        <v>2409</v>
      </c>
      <c r="I11" s="89"/>
      <c r="J11" s="88"/>
      <c r="K11" s="88"/>
      <c r="L11" s="88"/>
    </row>
    <row r="12" spans="1:12" x14ac:dyDescent="0.25">
      <c r="I12" s="285" t="s">
        <v>2423</v>
      </c>
      <c r="J12" s="285"/>
      <c r="K12" s="285"/>
      <c r="L12" s="285"/>
    </row>
    <row r="13" spans="1:12" x14ac:dyDescent="0.25">
      <c r="I13" s="104" t="s">
        <v>2389</v>
      </c>
      <c r="J13" s="104" t="s">
        <v>2390</v>
      </c>
      <c r="K13" s="106" t="s">
        <v>2378</v>
      </c>
      <c r="L13" s="107" t="s">
        <v>2379</v>
      </c>
    </row>
    <row r="14" spans="1:12" x14ac:dyDescent="0.25">
      <c r="I14" s="115" t="s">
        <v>2627</v>
      </c>
      <c r="J14" s="118">
        <f>B10*J4</f>
        <v>61118.86884229719</v>
      </c>
      <c r="K14" s="110" t="s">
        <v>2471</v>
      </c>
      <c r="L14" s="110" t="s">
        <v>2426</v>
      </c>
    </row>
    <row r="15" spans="1:12" x14ac:dyDescent="0.25">
      <c r="I15" s="115" t="s">
        <v>2178</v>
      </c>
      <c r="J15" s="117">
        <f>B11*J4</f>
        <v>5928.5302777028282</v>
      </c>
      <c r="K15" s="110" t="s">
        <v>2471</v>
      </c>
      <c r="L15" s="110"/>
    </row>
    <row r="30" spans="1:4" x14ac:dyDescent="0.25">
      <c r="A30" s="89"/>
      <c r="B30" s="88"/>
      <c r="C30" s="88"/>
      <c r="D30" s="88"/>
    </row>
  </sheetData>
  <mergeCells count="3">
    <mergeCell ref="I1:L1"/>
    <mergeCell ref="I2:L2"/>
    <mergeCell ref="I12:L12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2628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M21"/>
  <sheetViews>
    <sheetView zoomScale="130" zoomScaleNormal="130" workbookViewId="0">
      <selection activeCell="A12" sqref="A12"/>
    </sheetView>
  </sheetViews>
  <sheetFormatPr defaultColWidth="11" defaultRowHeight="15.75" x14ac:dyDescent="0.25"/>
  <cols>
    <col min="1" max="1" width="24" bestFit="1" customWidth="1"/>
    <col min="4" max="4" width="25" customWidth="1"/>
    <col min="10" max="10" width="16.25" bestFit="1" customWidth="1"/>
  </cols>
  <sheetData>
    <row r="1" spans="1:13" ht="18.75" x14ac:dyDescent="0.3">
      <c r="A1" s="104" t="s">
        <v>2376</v>
      </c>
      <c r="B1" s="105" t="s">
        <v>2377</v>
      </c>
      <c r="C1" s="106" t="s">
        <v>2378</v>
      </c>
      <c r="D1" s="107" t="s">
        <v>2379</v>
      </c>
      <c r="E1" s="107" t="s">
        <v>2380</v>
      </c>
      <c r="G1" s="90" t="s">
        <v>73</v>
      </c>
      <c r="H1" s="90" t="s">
        <v>1</v>
      </c>
      <c r="J1" s="287" t="s">
        <v>2629</v>
      </c>
      <c r="K1" s="287"/>
      <c r="L1" s="287"/>
      <c r="M1" s="287"/>
    </row>
    <row r="2" spans="1:13" x14ac:dyDescent="0.25">
      <c r="A2" s="224" t="s">
        <v>2619</v>
      </c>
      <c r="B2" s="256" t="s">
        <v>2620</v>
      </c>
      <c r="C2" s="106"/>
      <c r="D2" s="107"/>
      <c r="E2" s="107"/>
      <c r="J2" s="288" t="s">
        <v>2384</v>
      </c>
      <c r="K2" s="288"/>
      <c r="L2" s="288"/>
      <c r="M2" s="288"/>
    </row>
    <row r="3" spans="1:13" x14ac:dyDescent="0.25">
      <c r="A3" s="112" t="s">
        <v>2142</v>
      </c>
      <c r="B3" s="109">
        <v>0.04</v>
      </c>
      <c r="C3" s="110" t="s">
        <v>2399</v>
      </c>
      <c r="D3" s="110" t="s">
        <v>2609</v>
      </c>
      <c r="E3" s="110" t="s">
        <v>2388</v>
      </c>
      <c r="J3" s="104" t="s">
        <v>2389</v>
      </c>
      <c r="K3" s="104" t="s">
        <v>2390</v>
      </c>
      <c r="L3" s="106" t="s">
        <v>2378</v>
      </c>
      <c r="M3" s="107" t="s">
        <v>2379</v>
      </c>
    </row>
    <row r="4" spans="1:13" x14ac:dyDescent="0.25">
      <c r="A4" s="224" t="s">
        <v>2145</v>
      </c>
      <c r="B4" s="109">
        <v>7.48</v>
      </c>
      <c r="C4" s="110" t="s">
        <v>2419</v>
      </c>
      <c r="D4" s="110" t="s">
        <v>2609</v>
      </c>
      <c r="E4" s="107" t="s">
        <v>2388</v>
      </c>
      <c r="J4" s="115" t="str">
        <f>HexExt!K15</f>
        <v>Soy Oil</v>
      </c>
      <c r="K4" s="116">
        <f>HexExt!L15</f>
        <v>67047.399120000016</v>
      </c>
      <c r="L4" s="110" t="s">
        <v>2393</v>
      </c>
      <c r="M4" s="110"/>
    </row>
    <row r="5" spans="1:13" x14ac:dyDescent="0.25">
      <c r="A5" s="112" t="s">
        <v>2127</v>
      </c>
      <c r="B5" s="109">
        <v>0.22</v>
      </c>
      <c r="C5" s="110" t="s">
        <v>2419</v>
      </c>
      <c r="D5" s="110" t="s">
        <v>2609</v>
      </c>
      <c r="E5" s="110" t="s">
        <v>2388</v>
      </c>
      <c r="J5" s="115" t="str">
        <f t="shared" ref="J5:J10" si="0">A3</f>
        <v>Hydrogen</v>
      </c>
      <c r="K5" s="116">
        <f>K$4*B3</f>
        <v>2681.8959648000009</v>
      </c>
      <c r="L5" s="110" t="s">
        <v>2393</v>
      </c>
      <c r="M5" s="110"/>
    </row>
    <row r="6" spans="1:13" x14ac:dyDescent="0.25">
      <c r="A6" s="112" t="s">
        <v>2111</v>
      </c>
      <c r="B6" s="109">
        <v>0.9</v>
      </c>
      <c r="C6" s="110" t="s">
        <v>2399</v>
      </c>
      <c r="D6" s="110" t="s">
        <v>2609</v>
      </c>
      <c r="E6" s="110" t="s">
        <v>2388</v>
      </c>
      <c r="J6" s="115" t="str">
        <f t="shared" si="0"/>
        <v>Natural Gas</v>
      </c>
      <c r="K6" s="116">
        <f>(K$4*B4)/LCI!E56</f>
        <v>10030.290908352003</v>
      </c>
      <c r="L6" s="110" t="s">
        <v>2393</v>
      </c>
      <c r="M6" s="110"/>
    </row>
    <row r="7" spans="1:13" x14ac:dyDescent="0.25">
      <c r="A7" s="112" t="s">
        <v>2015</v>
      </c>
      <c r="B7" s="129">
        <v>0.29799999999999999</v>
      </c>
      <c r="C7" s="110" t="s">
        <v>2531</v>
      </c>
      <c r="D7" s="110" t="s">
        <v>2609</v>
      </c>
      <c r="E7" s="110" t="s">
        <v>2388</v>
      </c>
      <c r="J7" s="115" t="str">
        <f t="shared" si="0"/>
        <v>Electricity, Grid</v>
      </c>
      <c r="K7" s="116">
        <f>K$4*B5</f>
        <v>14750.427806400005</v>
      </c>
      <c r="L7" s="110" t="s">
        <v>2416</v>
      </c>
      <c r="M7" s="110"/>
    </row>
    <row r="8" spans="1:13" x14ac:dyDescent="0.25">
      <c r="A8" s="112" t="s">
        <v>2017</v>
      </c>
      <c r="B8" s="109">
        <f>318/65590</f>
        <v>4.84830004573868E-3</v>
      </c>
      <c r="C8" s="110" t="s">
        <v>2531</v>
      </c>
      <c r="D8" s="110" t="s">
        <v>2609</v>
      </c>
      <c r="E8" s="110" t="s">
        <v>2388</v>
      </c>
      <c r="J8" s="115" t="str">
        <f t="shared" si="0"/>
        <v>Water</v>
      </c>
      <c r="K8" s="116">
        <f>K$4*B6</f>
        <v>60342.659208000019</v>
      </c>
      <c r="L8" s="110" t="s">
        <v>2393</v>
      </c>
      <c r="M8" s="110"/>
    </row>
    <row r="9" spans="1:13" x14ac:dyDescent="0.25">
      <c r="A9" s="112" t="s">
        <v>2217</v>
      </c>
      <c r="B9" s="109">
        <v>0.49399999999999999</v>
      </c>
      <c r="C9" s="110" t="s">
        <v>2399</v>
      </c>
      <c r="D9" s="110" t="s">
        <v>2609</v>
      </c>
      <c r="E9" s="110" t="s">
        <v>2409</v>
      </c>
      <c r="J9" s="115" t="str">
        <f t="shared" si="0"/>
        <v>Capital Cost</v>
      </c>
      <c r="K9" s="116">
        <f>K$4*B7</f>
        <v>19980.124937760003</v>
      </c>
      <c r="L9" s="110" t="s">
        <v>2417</v>
      </c>
      <c r="M9" s="110"/>
    </row>
    <row r="10" spans="1:13" x14ac:dyDescent="0.25">
      <c r="A10" s="273" t="s">
        <v>2111</v>
      </c>
      <c r="B10" s="274">
        <v>8.6999999999999994E-2</v>
      </c>
      <c r="C10" s="275" t="s">
        <v>2399</v>
      </c>
      <c r="D10" s="275" t="s">
        <v>2609</v>
      </c>
      <c r="E10" s="275" t="s">
        <v>2409</v>
      </c>
      <c r="J10" s="115" t="str">
        <f t="shared" si="0"/>
        <v>Labor</v>
      </c>
      <c r="K10" s="116">
        <f>K$4*B8</f>
        <v>325.06590822015562</v>
      </c>
      <c r="L10" s="110" t="s">
        <v>2418</v>
      </c>
      <c r="M10" s="110"/>
    </row>
    <row r="11" spans="1:13" x14ac:dyDescent="0.25">
      <c r="A11" s="294" t="s">
        <v>2035</v>
      </c>
      <c r="B11" s="271">
        <v>5.3999999999999999E-2</v>
      </c>
      <c r="C11" s="272" t="s">
        <v>2399</v>
      </c>
      <c r="D11" s="272" t="s">
        <v>2609</v>
      </c>
      <c r="E11" s="258" t="s">
        <v>2409</v>
      </c>
      <c r="J11" s="89"/>
      <c r="K11" s="88"/>
      <c r="L11" s="88"/>
      <c r="M11" s="88"/>
    </row>
    <row r="12" spans="1:13" x14ac:dyDescent="0.25">
      <c r="A12" s="270" t="s">
        <v>2227</v>
      </c>
      <c r="B12" s="271">
        <v>4.2000000000000003E-2</v>
      </c>
      <c r="C12" s="272" t="s">
        <v>2399</v>
      </c>
      <c r="D12" s="272" t="s">
        <v>2609</v>
      </c>
      <c r="E12" s="258" t="s">
        <v>2409</v>
      </c>
      <c r="J12" s="277" t="s">
        <v>2423</v>
      </c>
      <c r="K12" s="277"/>
      <c r="L12" s="277"/>
      <c r="M12" s="277"/>
    </row>
    <row r="13" spans="1:13" x14ac:dyDescent="0.25">
      <c r="A13" s="270" t="s">
        <v>2223</v>
      </c>
      <c r="B13" s="271">
        <v>0.06</v>
      </c>
      <c r="C13" s="272" t="s">
        <v>2399</v>
      </c>
      <c r="D13" s="272" t="s">
        <v>2609</v>
      </c>
      <c r="E13" s="258" t="s">
        <v>2409</v>
      </c>
      <c r="J13" s="278" t="s">
        <v>2389</v>
      </c>
      <c r="K13" s="278" t="s">
        <v>2390</v>
      </c>
      <c r="L13" s="279" t="s">
        <v>2378</v>
      </c>
      <c r="M13" s="280" t="s">
        <v>2379</v>
      </c>
    </row>
    <row r="14" spans="1:13" x14ac:dyDescent="0.25">
      <c r="A14" s="270" t="s">
        <v>2205</v>
      </c>
      <c r="B14" s="271">
        <v>0.23300000000000001</v>
      </c>
      <c r="C14" s="272" t="s">
        <v>2399</v>
      </c>
      <c r="D14" s="272" t="s">
        <v>2609</v>
      </c>
      <c r="E14" s="258" t="s">
        <v>2409</v>
      </c>
      <c r="J14" s="281" t="str">
        <f t="shared" ref="J14:J20" si="1">A9</f>
        <v>Jet-A</v>
      </c>
      <c r="K14" s="282">
        <f t="shared" ref="K14:K20" si="2">B9*$K$4</f>
        <v>33121.415165280006</v>
      </c>
      <c r="L14" s="272" t="s">
        <v>2471</v>
      </c>
      <c r="M14" s="272" t="s">
        <v>2426</v>
      </c>
    </row>
    <row r="15" spans="1:13" x14ac:dyDescent="0.25">
      <c r="A15" s="270" t="s">
        <v>2211</v>
      </c>
      <c r="B15" s="271">
        <v>7.0000000000000007E-2</v>
      </c>
      <c r="C15" s="272" t="s">
        <v>2399</v>
      </c>
      <c r="D15" s="272" t="s">
        <v>2609</v>
      </c>
      <c r="E15" s="258" t="s">
        <v>2409</v>
      </c>
      <c r="J15" s="281" t="str">
        <f t="shared" si="1"/>
        <v>Water</v>
      </c>
      <c r="K15" s="282">
        <f t="shared" si="2"/>
        <v>5833.1237234400014</v>
      </c>
      <c r="L15" s="272" t="s">
        <v>2471</v>
      </c>
      <c r="M15" s="272"/>
    </row>
    <row r="16" spans="1:13" x14ac:dyDescent="0.25">
      <c r="J16" s="281" t="str">
        <f t="shared" si="1"/>
        <v>CO2, Commercial</v>
      </c>
      <c r="K16" s="282">
        <f t="shared" si="2"/>
        <v>3620.559552480001</v>
      </c>
      <c r="L16" s="272" t="s">
        <v>2471</v>
      </c>
      <c r="M16" s="258"/>
    </row>
    <row r="17" spans="10:13" x14ac:dyDescent="0.25">
      <c r="J17" s="281" t="str">
        <f t="shared" si="1"/>
        <v>Propane, Produced</v>
      </c>
      <c r="K17" s="282">
        <f t="shared" si="2"/>
        <v>2815.9907630400007</v>
      </c>
      <c r="L17" s="272" t="s">
        <v>2471</v>
      </c>
      <c r="M17" s="258"/>
    </row>
    <row r="18" spans="10:13" x14ac:dyDescent="0.25">
      <c r="J18" s="281" t="str">
        <f t="shared" si="1"/>
        <v>LPG, Produced</v>
      </c>
      <c r="K18" s="282">
        <f t="shared" si="2"/>
        <v>4022.8439472000009</v>
      </c>
      <c r="L18" s="272" t="s">
        <v>2471</v>
      </c>
      <c r="M18" s="258"/>
    </row>
    <row r="19" spans="10:13" x14ac:dyDescent="0.25">
      <c r="J19" s="281" t="str">
        <f t="shared" si="1"/>
        <v>Diesel, Produced</v>
      </c>
      <c r="K19" s="282">
        <f t="shared" si="2"/>
        <v>15622.043994960004</v>
      </c>
      <c r="L19" s="272" t="s">
        <v>2471</v>
      </c>
      <c r="M19" s="258"/>
    </row>
    <row r="20" spans="10:13" x14ac:dyDescent="0.25">
      <c r="J20" s="281" t="str">
        <f t="shared" si="1"/>
        <v>Gasoline, Produced</v>
      </c>
      <c r="K20" s="282">
        <f t="shared" si="2"/>
        <v>4693.3179384000014</v>
      </c>
      <c r="L20" s="272" t="s">
        <v>2471</v>
      </c>
      <c r="M20" s="258"/>
    </row>
    <row r="21" spans="10:13" x14ac:dyDescent="0.25">
      <c r="J21" s="276"/>
    </row>
  </sheetData>
  <mergeCells count="2">
    <mergeCell ref="J1:M1"/>
    <mergeCell ref="J2:M2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F1" sqref="F1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47</v>
      </c>
      <c r="L1" t="s">
        <v>67</v>
      </c>
      <c r="M1" t="s">
        <v>48</v>
      </c>
      <c r="N1" t="s">
        <v>49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5"/>
  <sheetViews>
    <sheetView tabSelected="1" workbookViewId="0">
      <selection activeCell="E63" sqref="E63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90" t="s">
        <v>73</v>
      </c>
      <c r="B1" s="140" t="s">
        <v>1</v>
      </c>
    </row>
    <row r="2" spans="1:17" x14ac:dyDescent="0.25">
      <c r="A2" s="9" t="s">
        <v>74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75</v>
      </c>
      <c r="D3" s="10"/>
      <c r="E3" s="10"/>
      <c r="F3" s="10"/>
    </row>
    <row r="4" spans="1:17" x14ac:dyDescent="0.25">
      <c r="A4" t="str">
        <f>I_O!N242</f>
        <v>Land Cost ($)</v>
      </c>
      <c r="B4" s="12">
        <f>I_O!O242</f>
        <v>1654900</v>
      </c>
      <c r="C4" s="12">
        <f>I_O!P242</f>
        <v>1654900</v>
      </c>
      <c r="D4" s="12">
        <f>I_O!Q242</f>
        <v>1654900</v>
      </c>
      <c r="E4" s="12">
        <f>I_O!R242</f>
        <v>1654900</v>
      </c>
      <c r="F4" s="12"/>
      <c r="G4" s="12">
        <f>I_O!S242</f>
        <v>0</v>
      </c>
      <c r="H4" s="12">
        <f>I_O!T242</f>
        <v>0</v>
      </c>
      <c r="I4" s="12">
        <f>I_O!U242</f>
        <v>508079</v>
      </c>
      <c r="J4" s="12">
        <f>I_O!V242</f>
        <v>0</v>
      </c>
      <c r="K4" s="12">
        <f>I_O!W242</f>
        <v>0</v>
      </c>
      <c r="L4" s="12">
        <f>I_O!X242</f>
        <v>0</v>
      </c>
    </row>
    <row r="5" spans="1:17" x14ac:dyDescent="0.25">
      <c r="A5" t="str">
        <f>I_O!N243</f>
        <v>Capital Cost ($)</v>
      </c>
      <c r="B5" s="12">
        <f>I_O!O243</f>
        <v>892360.31424937642</v>
      </c>
      <c r="C5" s="12">
        <f>I_O!P243</f>
        <v>867930.2880618216</v>
      </c>
      <c r="D5" s="12">
        <f>I_O!Q243</f>
        <v>3526700.6</v>
      </c>
      <c r="E5" s="12">
        <f>I_O!R243</f>
        <v>597740</v>
      </c>
      <c r="F5" s="12"/>
      <c r="G5" s="12">
        <f>I_O!S243</f>
        <v>0</v>
      </c>
      <c r="H5" s="12">
        <f>I_O!T243</f>
        <v>0</v>
      </c>
      <c r="I5" s="12">
        <f>I_O!U243</f>
        <v>43796587.548854999</v>
      </c>
      <c r="J5" s="12">
        <f>I_O!V243</f>
        <v>0</v>
      </c>
      <c r="K5" s="12">
        <f>I_O!W243</f>
        <v>0</v>
      </c>
      <c r="L5" s="12">
        <f>I_O!X243</f>
        <v>0</v>
      </c>
    </row>
    <row r="6" spans="1:17" x14ac:dyDescent="0.25">
      <c r="A6" t="str">
        <f>I_O!N244</f>
        <v>Labor ($/yr)</v>
      </c>
      <c r="B6" s="12">
        <f>I_O!O244</f>
        <v>7760.0671445288344</v>
      </c>
      <c r="C6" s="12">
        <f>I_O!P244</f>
        <v>7760.0671445288344</v>
      </c>
      <c r="D6" s="12">
        <f>I_O!Q244</f>
        <v>36296.839999999997</v>
      </c>
      <c r="E6" s="12">
        <f>I_O!R244</f>
        <v>8148.5300000000007</v>
      </c>
      <c r="F6" s="12"/>
      <c r="G6" s="12">
        <f>I_O!S244</f>
        <v>0</v>
      </c>
      <c r="H6" s="12">
        <f>I_O!T244</f>
        <v>0</v>
      </c>
      <c r="I6" s="12">
        <f>I_O!U244</f>
        <v>1374828.5328768231</v>
      </c>
      <c r="J6" s="12">
        <f>I_O!V244</f>
        <v>0</v>
      </c>
      <c r="K6" s="12">
        <f>I_O!W244</f>
        <v>0</v>
      </c>
      <c r="L6" s="12">
        <f>I_O!X244</f>
        <v>0</v>
      </c>
    </row>
    <row r="7" spans="1:17" x14ac:dyDescent="0.25">
      <c r="A7" t="str">
        <f>I_O!N245</f>
        <v>E&amp;M Cost ($/yr)</v>
      </c>
      <c r="B7" s="12">
        <f>I_O!O245</f>
        <v>21777.423459186804</v>
      </c>
      <c r="C7" s="12">
        <f>I_O!P245</f>
        <v>30441.528697789232</v>
      </c>
      <c r="D7" s="12" t="e">
        <f>I_O!Q245</f>
        <v>#VALUE!</v>
      </c>
      <c r="E7" s="12" t="e">
        <f>I_O!R245</f>
        <v>#VALUE!</v>
      </c>
      <c r="F7" s="12"/>
      <c r="G7" s="12">
        <f>I_O!S245</f>
        <v>0</v>
      </c>
      <c r="H7" s="12">
        <f>I_O!T245</f>
        <v>0</v>
      </c>
      <c r="I7" s="12">
        <f>I_O!U245</f>
        <v>2531580.1635603141</v>
      </c>
      <c r="J7" s="12">
        <f>I_O!V245</f>
        <v>0</v>
      </c>
      <c r="K7" s="12">
        <f>I_O!W245</f>
        <v>0</v>
      </c>
      <c r="L7" s="12">
        <f>I_O!X245</f>
        <v>0</v>
      </c>
    </row>
    <row r="8" spans="1:17" x14ac:dyDescent="0.25">
      <c r="A8" t="str">
        <f>I_O!N246</f>
        <v>GHG Emissions Tax ($/yr)</v>
      </c>
      <c r="B8" s="12">
        <f>I_O!O246</f>
        <v>0</v>
      </c>
      <c r="C8" s="12">
        <f>I_O!P246</f>
        <v>0</v>
      </c>
      <c r="D8" s="12">
        <f>I_O!Q246</f>
        <v>0</v>
      </c>
      <c r="E8" s="12">
        <f>I_O!R246</f>
        <v>0</v>
      </c>
      <c r="F8" s="12"/>
      <c r="G8" s="12">
        <f>I_O!S246</f>
        <v>0</v>
      </c>
      <c r="H8" s="12">
        <f>I_O!T246</f>
        <v>0</v>
      </c>
      <c r="I8" s="12">
        <f>I_O!U246</f>
        <v>0</v>
      </c>
      <c r="J8" s="12">
        <f>I_O!V246</f>
        <v>0</v>
      </c>
      <c r="K8" s="12">
        <f>I_O!W246</f>
        <v>0</v>
      </c>
      <c r="L8" s="12">
        <f>I_O!X246</f>
        <v>0</v>
      </c>
    </row>
    <row r="9" spans="1:17" x14ac:dyDescent="0.25">
      <c r="A9" s="17" t="s">
        <v>76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I_O!N247</f>
        <v>Baseline Revenue ($/yr)</v>
      </c>
      <c r="B10" s="51">
        <f>I_O!O247</f>
        <v>113475.06433980539</v>
      </c>
      <c r="C10" s="51">
        <f>I_O!P247</f>
        <v>117324.43249341982</v>
      </c>
      <c r="D10" s="51">
        <f>I_O!Q247</f>
        <v>0</v>
      </c>
      <c r="E10" s="51">
        <f>I_O!R247</f>
        <v>0</v>
      </c>
      <c r="F10" s="51"/>
      <c r="G10" s="51">
        <f>I_O!S247</f>
        <v>0</v>
      </c>
      <c r="H10" s="51">
        <f>I_O!T247</f>
        <v>0</v>
      </c>
      <c r="I10" s="51">
        <f>I_O!U247</f>
        <v>1891497.374968762</v>
      </c>
      <c r="J10" s="51">
        <f>I_O!V247</f>
        <v>0</v>
      </c>
      <c r="K10" s="51">
        <f>I_O!W247</f>
        <v>0</v>
      </c>
      <c r="L10" s="51">
        <f>I_O!X247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77</v>
      </c>
      <c r="B12" s="60">
        <f>'Baseline NPV'!B33</f>
        <v>-1949009.9327950773</v>
      </c>
      <c r="C12" s="60">
        <f>'Baseline NPV'!C33</f>
        <v>-1961893.8207342608</v>
      </c>
      <c r="D12" s="60" t="e">
        <f>'Baseline NPV'!D33</f>
        <v>#VALUE!</v>
      </c>
      <c r="E12" s="60" t="e">
        <f>'Baseline NPV'!E33</f>
        <v>#VALUE!</v>
      </c>
      <c r="F12" s="60"/>
      <c r="G12" s="60">
        <f>'Baseline NPV'!G33</f>
        <v>0</v>
      </c>
      <c r="H12" s="60">
        <f>'Baseline NPV'!H33</f>
        <v>0</v>
      </c>
      <c r="I12" s="60">
        <f>'Baseline NPV'!I33</f>
        <v>-68490310.214712024</v>
      </c>
      <c r="J12" s="60">
        <f>'Baseline NPV'!J33</f>
        <v>0</v>
      </c>
      <c r="K12" s="60">
        <f>'Baseline NPV'!K33</f>
        <v>0</v>
      </c>
      <c r="L12" s="60">
        <f>'Baseline NPV'!L33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78</v>
      </c>
      <c r="B15" s="92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4" si="1">E15</f>
        <v>365</v>
      </c>
      <c r="H15" s="7">
        <f t="shared" si="0"/>
        <v>365</v>
      </c>
      <c r="I15" s="92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79</v>
      </c>
      <c r="B16" s="92">
        <v>0.1</v>
      </c>
      <c r="C16" s="7">
        <f t="shared" ref="C16:Q24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80</v>
      </c>
      <c r="B17" s="92">
        <v>0.2</v>
      </c>
      <c r="C17" s="7">
        <f t="shared" si="2"/>
        <v>0.2</v>
      </c>
      <c r="D17" s="7">
        <f t="shared" si="2"/>
        <v>0.2</v>
      </c>
      <c r="E17" s="7">
        <f t="shared" si="2"/>
        <v>0.2</v>
      </c>
      <c r="G17" s="7">
        <f t="shared" si="1"/>
        <v>0.2</v>
      </c>
      <c r="H17" s="7">
        <f t="shared" si="2"/>
        <v>0.2</v>
      </c>
      <c r="I17" s="7">
        <f t="shared" si="2"/>
        <v>0.2</v>
      </c>
      <c r="J17" s="7">
        <f t="shared" si="2"/>
        <v>0.2</v>
      </c>
      <c r="K17" s="7">
        <f t="shared" si="2"/>
        <v>0.2</v>
      </c>
      <c r="L17" s="7">
        <f t="shared" si="2"/>
        <v>0.2</v>
      </c>
      <c r="M17" s="7">
        <f t="shared" si="2"/>
        <v>0.2</v>
      </c>
      <c r="N17" s="7">
        <f t="shared" si="2"/>
        <v>0.2</v>
      </c>
      <c r="O17" s="7">
        <f t="shared" si="2"/>
        <v>0.2</v>
      </c>
      <c r="P17" s="7">
        <f t="shared" si="2"/>
        <v>0.2</v>
      </c>
      <c r="Q17" s="7">
        <f t="shared" si="2"/>
        <v>0.2</v>
      </c>
    </row>
    <row r="18" spans="1:17" x14ac:dyDescent="0.25">
      <c r="A18" t="s">
        <v>81</v>
      </c>
      <c r="B18" s="92">
        <v>0.4</v>
      </c>
      <c r="C18" s="7">
        <f t="shared" si="2"/>
        <v>0.4</v>
      </c>
      <c r="D18" s="7">
        <f t="shared" si="2"/>
        <v>0.4</v>
      </c>
      <c r="E18" s="7">
        <f t="shared" si="2"/>
        <v>0.4</v>
      </c>
      <c r="G18" s="7">
        <f t="shared" si="1"/>
        <v>0.4</v>
      </c>
      <c r="H18" s="7">
        <f t="shared" si="2"/>
        <v>0.4</v>
      </c>
      <c r="I18" s="7">
        <f t="shared" si="2"/>
        <v>0.4</v>
      </c>
      <c r="J18" s="7">
        <f t="shared" si="2"/>
        <v>0.4</v>
      </c>
      <c r="K18" s="7">
        <f t="shared" si="2"/>
        <v>0.4</v>
      </c>
      <c r="L18" s="7">
        <f t="shared" si="2"/>
        <v>0.4</v>
      </c>
      <c r="M18" s="7">
        <f t="shared" si="2"/>
        <v>0.4</v>
      </c>
      <c r="N18" s="7">
        <f t="shared" si="2"/>
        <v>0.4</v>
      </c>
      <c r="O18" s="7">
        <f t="shared" si="2"/>
        <v>0.4</v>
      </c>
      <c r="P18" s="7">
        <f t="shared" si="2"/>
        <v>0.4</v>
      </c>
      <c r="Q18" s="7">
        <f t="shared" si="2"/>
        <v>0.4</v>
      </c>
    </row>
    <row r="19" spans="1:17" x14ac:dyDescent="0.25">
      <c r="A19" t="s">
        <v>82</v>
      </c>
      <c r="B19" s="92">
        <v>0.08</v>
      </c>
      <c r="C19" s="7">
        <f t="shared" si="2"/>
        <v>0.08</v>
      </c>
      <c r="D19" s="7">
        <f t="shared" si="2"/>
        <v>0.08</v>
      </c>
      <c r="E19" s="7">
        <f t="shared" si="2"/>
        <v>0.08</v>
      </c>
      <c r="G19" s="7">
        <f t="shared" si="1"/>
        <v>0.08</v>
      </c>
      <c r="H19" s="7">
        <f t="shared" si="2"/>
        <v>0.08</v>
      </c>
      <c r="I19" s="7">
        <f t="shared" si="2"/>
        <v>0.08</v>
      </c>
      <c r="J19" s="7">
        <f t="shared" si="2"/>
        <v>0.08</v>
      </c>
      <c r="K19" s="7">
        <f t="shared" si="2"/>
        <v>0.08</v>
      </c>
      <c r="L19" s="7">
        <f t="shared" si="2"/>
        <v>0.08</v>
      </c>
      <c r="M19" s="7">
        <f t="shared" si="2"/>
        <v>0.08</v>
      </c>
      <c r="N19" s="7">
        <f t="shared" si="2"/>
        <v>0.08</v>
      </c>
      <c r="O19" s="7">
        <f t="shared" si="2"/>
        <v>0.08</v>
      </c>
      <c r="P19" s="7">
        <f t="shared" si="2"/>
        <v>0.08</v>
      </c>
      <c r="Q19" s="7">
        <f t="shared" si="2"/>
        <v>0.08</v>
      </c>
    </row>
    <row r="20" spans="1:17" x14ac:dyDescent="0.25">
      <c r="A20" t="s">
        <v>83</v>
      </c>
      <c r="B20" s="92">
        <v>10</v>
      </c>
      <c r="C20" s="7">
        <f t="shared" si="2"/>
        <v>10</v>
      </c>
      <c r="D20" s="7">
        <f t="shared" si="2"/>
        <v>10</v>
      </c>
      <c r="E20" s="7">
        <f t="shared" si="2"/>
        <v>10</v>
      </c>
      <c r="G20" s="7">
        <f t="shared" si="1"/>
        <v>10</v>
      </c>
      <c r="H20" s="7">
        <f t="shared" si="2"/>
        <v>10</v>
      </c>
      <c r="I20" s="7">
        <f t="shared" si="2"/>
        <v>10</v>
      </c>
      <c r="J20" s="7">
        <f t="shared" si="2"/>
        <v>10</v>
      </c>
      <c r="K20" s="7">
        <f t="shared" si="2"/>
        <v>10</v>
      </c>
      <c r="L20" s="7">
        <f t="shared" si="2"/>
        <v>10</v>
      </c>
      <c r="M20" s="7">
        <f t="shared" si="2"/>
        <v>10</v>
      </c>
      <c r="N20" s="7">
        <f t="shared" si="2"/>
        <v>10</v>
      </c>
      <c r="O20" s="7">
        <f t="shared" si="2"/>
        <v>10</v>
      </c>
      <c r="P20" s="7">
        <f t="shared" si="2"/>
        <v>10</v>
      </c>
      <c r="Q20" s="7">
        <f t="shared" si="2"/>
        <v>10</v>
      </c>
    </row>
    <row r="21" spans="1:17" x14ac:dyDescent="0.25">
      <c r="A21" t="s">
        <v>84</v>
      </c>
      <c r="B21" s="92">
        <v>0.03</v>
      </c>
      <c r="C21" s="7">
        <f t="shared" si="2"/>
        <v>0.03</v>
      </c>
      <c r="D21" s="7">
        <f t="shared" si="2"/>
        <v>0.03</v>
      </c>
      <c r="E21" s="7">
        <f t="shared" si="2"/>
        <v>0.03</v>
      </c>
      <c r="G21" s="7">
        <f t="shared" si="1"/>
        <v>0.03</v>
      </c>
      <c r="H21" s="7">
        <f t="shared" si="2"/>
        <v>0.03</v>
      </c>
      <c r="I21" s="92">
        <v>0.01</v>
      </c>
      <c r="J21" s="7">
        <f t="shared" si="2"/>
        <v>0.01</v>
      </c>
      <c r="K21" s="7">
        <f>H21</f>
        <v>0.03</v>
      </c>
      <c r="L21" s="7">
        <f t="shared" si="2"/>
        <v>0.03</v>
      </c>
      <c r="M21" s="7">
        <f t="shared" si="2"/>
        <v>0.03</v>
      </c>
      <c r="N21" s="7">
        <f t="shared" si="2"/>
        <v>0.03</v>
      </c>
      <c r="O21" s="7">
        <f t="shared" si="2"/>
        <v>0.03</v>
      </c>
      <c r="P21" s="7">
        <f t="shared" si="2"/>
        <v>0.03</v>
      </c>
      <c r="Q21" s="7">
        <f t="shared" si="2"/>
        <v>0.03</v>
      </c>
    </row>
    <row r="22" spans="1:17" x14ac:dyDescent="0.25">
      <c r="A22" t="s">
        <v>85</v>
      </c>
      <c r="B22" s="92">
        <v>0.01</v>
      </c>
      <c r="C22" s="7">
        <f t="shared" si="2"/>
        <v>0.01</v>
      </c>
      <c r="D22" s="7">
        <f t="shared" si="2"/>
        <v>0.01</v>
      </c>
      <c r="E22" s="7">
        <f t="shared" si="2"/>
        <v>0.01</v>
      </c>
      <c r="G22" s="7">
        <f t="shared" si="1"/>
        <v>0.01</v>
      </c>
      <c r="H22" s="7">
        <f t="shared" si="2"/>
        <v>0.01</v>
      </c>
      <c r="I22" s="7">
        <f t="shared" si="2"/>
        <v>0.01</v>
      </c>
      <c r="J22" s="7">
        <f t="shared" si="2"/>
        <v>0.01</v>
      </c>
      <c r="K22" s="7">
        <f t="shared" si="2"/>
        <v>0.01</v>
      </c>
      <c r="L22" s="7">
        <f t="shared" si="2"/>
        <v>0.01</v>
      </c>
      <c r="M22" s="7">
        <f t="shared" si="2"/>
        <v>0.01</v>
      </c>
      <c r="N22" s="7">
        <f t="shared" si="2"/>
        <v>0.01</v>
      </c>
      <c r="O22" s="7">
        <f t="shared" si="2"/>
        <v>0.01</v>
      </c>
      <c r="P22" s="7">
        <f t="shared" si="2"/>
        <v>0.01</v>
      </c>
      <c r="Q22" s="7">
        <f t="shared" si="2"/>
        <v>0.01</v>
      </c>
    </row>
    <row r="23" spans="1:17" x14ac:dyDescent="0.25">
      <c r="A23" t="s">
        <v>86</v>
      </c>
      <c r="B23" s="92">
        <v>0.9</v>
      </c>
      <c r="C23" s="7">
        <f t="shared" si="2"/>
        <v>0.9</v>
      </c>
      <c r="D23" s="7">
        <f t="shared" si="2"/>
        <v>0.9</v>
      </c>
      <c r="E23" s="7">
        <f t="shared" si="2"/>
        <v>0.9</v>
      </c>
      <c r="G23" s="7">
        <f t="shared" si="1"/>
        <v>0.9</v>
      </c>
      <c r="H23" s="7">
        <f t="shared" si="2"/>
        <v>0.9</v>
      </c>
      <c r="I23" s="7">
        <f t="shared" si="2"/>
        <v>0.9</v>
      </c>
      <c r="J23" s="7">
        <f t="shared" si="2"/>
        <v>0.9</v>
      </c>
      <c r="K23" s="7">
        <f t="shared" si="2"/>
        <v>0.9</v>
      </c>
      <c r="L23" s="7">
        <f t="shared" si="2"/>
        <v>0.9</v>
      </c>
      <c r="M23" s="7">
        <f t="shared" si="2"/>
        <v>0.9</v>
      </c>
      <c r="N23" s="7">
        <f t="shared" si="2"/>
        <v>0.9</v>
      </c>
      <c r="O23" s="7">
        <f t="shared" si="2"/>
        <v>0.9</v>
      </c>
      <c r="P23" s="7">
        <f t="shared" si="2"/>
        <v>0.9</v>
      </c>
      <c r="Q23" s="7">
        <f t="shared" si="2"/>
        <v>0.9</v>
      </c>
    </row>
    <row r="24" spans="1:17" x14ac:dyDescent="0.25">
      <c r="A24" t="s">
        <v>87</v>
      </c>
      <c r="B24" s="52">
        <v>0</v>
      </c>
      <c r="C24" s="7">
        <v>0</v>
      </c>
      <c r="D24" s="7">
        <f t="shared" si="2"/>
        <v>0</v>
      </c>
      <c r="E24" s="7">
        <f t="shared" si="2"/>
        <v>0</v>
      </c>
      <c r="G24" s="7">
        <f t="shared" si="1"/>
        <v>0</v>
      </c>
      <c r="H24" s="7">
        <f t="shared" si="2"/>
        <v>0</v>
      </c>
      <c r="I24" s="52">
        <v>567379</v>
      </c>
      <c r="J24" s="7">
        <f t="shared" si="2"/>
        <v>567379</v>
      </c>
      <c r="K24" s="7">
        <f>H24</f>
        <v>0</v>
      </c>
      <c r="L24" s="7">
        <f t="shared" si="2"/>
        <v>0</v>
      </c>
      <c r="M24" s="7">
        <f t="shared" si="2"/>
        <v>0</v>
      </c>
      <c r="N24" s="7">
        <f t="shared" si="2"/>
        <v>0</v>
      </c>
      <c r="O24" s="7">
        <f t="shared" si="2"/>
        <v>0</v>
      </c>
      <c r="P24" s="7">
        <f t="shared" si="2"/>
        <v>0</v>
      </c>
      <c r="Q24" s="7">
        <f t="shared" si="2"/>
        <v>0</v>
      </c>
    </row>
    <row r="25" spans="1:17" x14ac:dyDescent="0.25">
      <c r="A25" t="s">
        <v>88</v>
      </c>
      <c r="B25" s="139">
        <f>B4</f>
        <v>1654900</v>
      </c>
      <c r="C25" s="139">
        <f t="shared" ref="C25:Q25" si="3">C4</f>
        <v>1654900</v>
      </c>
      <c r="D25" s="139">
        <f t="shared" si="3"/>
        <v>1654900</v>
      </c>
      <c r="E25" s="139">
        <f t="shared" si="3"/>
        <v>1654900</v>
      </c>
      <c r="F25" s="139"/>
      <c r="G25" s="139">
        <f t="shared" si="3"/>
        <v>0</v>
      </c>
      <c r="H25" s="139">
        <f t="shared" si="3"/>
        <v>0</v>
      </c>
      <c r="I25" s="139">
        <f t="shared" si="3"/>
        <v>508079</v>
      </c>
      <c r="J25" s="139">
        <f t="shared" si="3"/>
        <v>0</v>
      </c>
      <c r="K25" s="139">
        <f t="shared" si="3"/>
        <v>0</v>
      </c>
      <c r="L25" s="139">
        <f t="shared" si="3"/>
        <v>0</v>
      </c>
      <c r="M25" s="139">
        <f t="shared" si="3"/>
        <v>0</v>
      </c>
      <c r="N25" s="139">
        <f t="shared" si="3"/>
        <v>0</v>
      </c>
      <c r="O25" s="139">
        <f t="shared" si="3"/>
        <v>0</v>
      </c>
      <c r="P25" s="139">
        <f t="shared" si="3"/>
        <v>0</v>
      </c>
      <c r="Q25" s="139">
        <f t="shared" si="3"/>
        <v>0</v>
      </c>
    </row>
    <row r="26" spans="1:17" x14ac:dyDescent="0.25">
      <c r="A26" t="s">
        <v>89</v>
      </c>
      <c r="B26" s="7" t="s">
        <v>90</v>
      </c>
    </row>
    <row r="27" spans="1:17" x14ac:dyDescent="0.25">
      <c r="A27">
        <v>0</v>
      </c>
      <c r="B27" s="92">
        <v>0</v>
      </c>
      <c r="C27" s="7">
        <f>B27</f>
        <v>0</v>
      </c>
      <c r="D27" s="7">
        <f t="shared" ref="D27:Q27" si="4">C27</f>
        <v>0</v>
      </c>
      <c r="E27" s="7">
        <f t="shared" si="4"/>
        <v>0</v>
      </c>
      <c r="G27" s="7">
        <f t="shared" ref="G27:G35" si="5">E27</f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0</v>
      </c>
      <c r="M27" s="7">
        <f t="shared" si="4"/>
        <v>0</v>
      </c>
      <c r="N27" s="7">
        <f t="shared" si="4"/>
        <v>0</v>
      </c>
      <c r="O27" s="7">
        <f t="shared" si="4"/>
        <v>0</v>
      </c>
      <c r="P27" s="7">
        <f t="shared" si="4"/>
        <v>0</v>
      </c>
      <c r="Q27" s="7">
        <f t="shared" si="4"/>
        <v>0</v>
      </c>
    </row>
    <row r="28" spans="1:17" x14ac:dyDescent="0.25">
      <c r="A28">
        <v>1</v>
      </c>
      <c r="B28" s="92">
        <v>0.14299999999999999</v>
      </c>
      <c r="C28" s="7">
        <f>B28</f>
        <v>0.14299999999999999</v>
      </c>
      <c r="D28" s="7">
        <f t="shared" ref="C28:Q35" si="6">C28</f>
        <v>0.14299999999999999</v>
      </c>
      <c r="E28" s="7">
        <f t="shared" si="6"/>
        <v>0.14299999999999999</v>
      </c>
      <c r="G28" s="7">
        <f t="shared" si="5"/>
        <v>0.14299999999999999</v>
      </c>
      <c r="H28" s="7">
        <f t="shared" si="6"/>
        <v>0.14299999999999999</v>
      </c>
      <c r="I28" s="7">
        <f t="shared" si="6"/>
        <v>0.14299999999999999</v>
      </c>
      <c r="J28" s="7">
        <f t="shared" si="6"/>
        <v>0.14299999999999999</v>
      </c>
      <c r="K28" s="7">
        <f t="shared" si="6"/>
        <v>0.14299999999999999</v>
      </c>
      <c r="L28" s="7">
        <f t="shared" si="6"/>
        <v>0.14299999999999999</v>
      </c>
      <c r="M28" s="7">
        <f t="shared" si="6"/>
        <v>0.14299999999999999</v>
      </c>
      <c r="N28" s="7">
        <f t="shared" si="6"/>
        <v>0.14299999999999999</v>
      </c>
      <c r="O28" s="7">
        <f t="shared" si="6"/>
        <v>0.14299999999999999</v>
      </c>
      <c r="P28" s="7">
        <f t="shared" si="6"/>
        <v>0.14299999999999999</v>
      </c>
      <c r="Q28" s="7">
        <f t="shared" si="6"/>
        <v>0.14299999999999999</v>
      </c>
    </row>
    <row r="29" spans="1:17" x14ac:dyDescent="0.25">
      <c r="A29">
        <v>2</v>
      </c>
      <c r="B29" s="92">
        <v>0.245</v>
      </c>
      <c r="C29" s="7">
        <f t="shared" si="6"/>
        <v>0.245</v>
      </c>
      <c r="D29" s="7">
        <f t="shared" si="6"/>
        <v>0.245</v>
      </c>
      <c r="E29" s="7">
        <f t="shared" si="6"/>
        <v>0.245</v>
      </c>
      <c r="G29" s="7">
        <f t="shared" si="5"/>
        <v>0.245</v>
      </c>
      <c r="H29" s="7">
        <f t="shared" si="6"/>
        <v>0.245</v>
      </c>
      <c r="I29" s="7">
        <f t="shared" si="6"/>
        <v>0.245</v>
      </c>
      <c r="J29" s="7">
        <f t="shared" si="6"/>
        <v>0.245</v>
      </c>
      <c r="K29" s="7">
        <f t="shared" si="6"/>
        <v>0.245</v>
      </c>
      <c r="L29" s="7">
        <f t="shared" si="6"/>
        <v>0.245</v>
      </c>
      <c r="M29" s="7">
        <f t="shared" si="6"/>
        <v>0.245</v>
      </c>
      <c r="N29" s="7">
        <f t="shared" si="6"/>
        <v>0.245</v>
      </c>
      <c r="O29" s="7">
        <f t="shared" si="6"/>
        <v>0.245</v>
      </c>
      <c r="P29" s="7">
        <f t="shared" si="6"/>
        <v>0.245</v>
      </c>
      <c r="Q29" s="7">
        <f t="shared" si="6"/>
        <v>0.245</v>
      </c>
    </row>
    <row r="30" spans="1:17" x14ac:dyDescent="0.25">
      <c r="A30">
        <v>3</v>
      </c>
      <c r="B30" s="92">
        <v>0.17499999999999999</v>
      </c>
      <c r="C30" s="7">
        <f t="shared" si="6"/>
        <v>0.17499999999999999</v>
      </c>
      <c r="D30" s="7">
        <f t="shared" si="6"/>
        <v>0.17499999999999999</v>
      </c>
      <c r="E30" s="7">
        <f t="shared" si="6"/>
        <v>0.17499999999999999</v>
      </c>
      <c r="G30" s="7">
        <f t="shared" si="5"/>
        <v>0.17499999999999999</v>
      </c>
      <c r="H30" s="7">
        <f t="shared" si="6"/>
        <v>0.17499999999999999</v>
      </c>
      <c r="I30" s="7">
        <f t="shared" si="6"/>
        <v>0.17499999999999999</v>
      </c>
      <c r="J30" s="7">
        <f t="shared" si="6"/>
        <v>0.17499999999999999</v>
      </c>
      <c r="K30" s="7">
        <f t="shared" si="6"/>
        <v>0.17499999999999999</v>
      </c>
      <c r="L30" s="7">
        <f t="shared" si="6"/>
        <v>0.17499999999999999</v>
      </c>
      <c r="M30" s="7">
        <f t="shared" si="6"/>
        <v>0.17499999999999999</v>
      </c>
      <c r="N30" s="7">
        <f t="shared" si="6"/>
        <v>0.17499999999999999</v>
      </c>
      <c r="O30" s="7">
        <f t="shared" si="6"/>
        <v>0.17499999999999999</v>
      </c>
      <c r="P30" s="7">
        <f t="shared" si="6"/>
        <v>0.17499999999999999</v>
      </c>
      <c r="Q30" s="7">
        <f t="shared" si="6"/>
        <v>0.17499999999999999</v>
      </c>
    </row>
    <row r="31" spans="1:17" x14ac:dyDescent="0.25">
      <c r="A31">
        <v>4</v>
      </c>
      <c r="B31" s="92">
        <v>0.125</v>
      </c>
      <c r="C31" s="7">
        <f t="shared" si="6"/>
        <v>0.125</v>
      </c>
      <c r="D31" s="7">
        <f t="shared" si="6"/>
        <v>0.125</v>
      </c>
      <c r="E31" s="7">
        <f t="shared" si="6"/>
        <v>0.125</v>
      </c>
      <c r="G31" s="7">
        <f t="shared" si="5"/>
        <v>0.125</v>
      </c>
      <c r="H31" s="7">
        <f t="shared" si="6"/>
        <v>0.125</v>
      </c>
      <c r="I31" s="7">
        <f t="shared" si="6"/>
        <v>0.125</v>
      </c>
      <c r="J31" s="7">
        <f t="shared" si="6"/>
        <v>0.125</v>
      </c>
      <c r="K31" s="7">
        <f t="shared" si="6"/>
        <v>0.125</v>
      </c>
      <c r="L31" s="7">
        <f t="shared" si="6"/>
        <v>0.125</v>
      </c>
      <c r="M31" s="7">
        <f t="shared" si="6"/>
        <v>0.125</v>
      </c>
      <c r="N31" s="7">
        <f t="shared" si="6"/>
        <v>0.125</v>
      </c>
      <c r="O31" s="7">
        <f t="shared" si="6"/>
        <v>0.125</v>
      </c>
      <c r="P31" s="7">
        <f t="shared" si="6"/>
        <v>0.125</v>
      </c>
      <c r="Q31" s="7">
        <f t="shared" si="6"/>
        <v>0.125</v>
      </c>
    </row>
    <row r="32" spans="1:17" x14ac:dyDescent="0.25">
      <c r="A32">
        <v>5</v>
      </c>
      <c r="B32" s="92">
        <v>8.8999999999999996E-2</v>
      </c>
      <c r="C32" s="7">
        <f t="shared" si="6"/>
        <v>8.8999999999999996E-2</v>
      </c>
      <c r="D32" s="7">
        <f t="shared" si="6"/>
        <v>8.8999999999999996E-2</v>
      </c>
      <c r="E32" s="7">
        <f t="shared" si="6"/>
        <v>8.8999999999999996E-2</v>
      </c>
      <c r="G32" s="7">
        <f t="shared" si="5"/>
        <v>8.8999999999999996E-2</v>
      </c>
      <c r="H32" s="7">
        <f t="shared" si="6"/>
        <v>8.8999999999999996E-2</v>
      </c>
      <c r="I32" s="7">
        <f t="shared" si="6"/>
        <v>8.8999999999999996E-2</v>
      </c>
      <c r="J32" s="7">
        <f t="shared" si="6"/>
        <v>8.8999999999999996E-2</v>
      </c>
      <c r="K32" s="7">
        <f t="shared" si="6"/>
        <v>8.8999999999999996E-2</v>
      </c>
      <c r="L32" s="7">
        <f t="shared" si="6"/>
        <v>8.8999999999999996E-2</v>
      </c>
      <c r="M32" s="7">
        <f t="shared" si="6"/>
        <v>8.8999999999999996E-2</v>
      </c>
      <c r="N32" s="7">
        <f t="shared" si="6"/>
        <v>8.8999999999999996E-2</v>
      </c>
      <c r="O32" s="7">
        <f t="shared" si="6"/>
        <v>8.8999999999999996E-2</v>
      </c>
      <c r="P32" s="7">
        <f t="shared" si="6"/>
        <v>8.8999999999999996E-2</v>
      </c>
      <c r="Q32" s="7">
        <f t="shared" si="6"/>
        <v>8.8999999999999996E-2</v>
      </c>
    </row>
    <row r="33" spans="1:17" x14ac:dyDescent="0.25">
      <c r="A33">
        <v>6</v>
      </c>
      <c r="B33" s="92">
        <v>8.8999999999999996E-2</v>
      </c>
      <c r="C33" s="7">
        <f t="shared" si="6"/>
        <v>8.8999999999999996E-2</v>
      </c>
      <c r="D33" s="7">
        <f t="shared" si="6"/>
        <v>8.8999999999999996E-2</v>
      </c>
      <c r="E33" s="7">
        <f t="shared" si="6"/>
        <v>8.8999999999999996E-2</v>
      </c>
      <c r="G33" s="7">
        <f t="shared" si="5"/>
        <v>8.8999999999999996E-2</v>
      </c>
      <c r="H33" s="7">
        <f t="shared" si="6"/>
        <v>8.8999999999999996E-2</v>
      </c>
      <c r="I33" s="7">
        <f t="shared" si="6"/>
        <v>8.8999999999999996E-2</v>
      </c>
      <c r="J33" s="7">
        <f t="shared" si="6"/>
        <v>8.8999999999999996E-2</v>
      </c>
      <c r="K33" s="7">
        <f t="shared" si="6"/>
        <v>8.8999999999999996E-2</v>
      </c>
      <c r="L33" s="7">
        <f t="shared" si="6"/>
        <v>8.8999999999999996E-2</v>
      </c>
      <c r="M33" s="7">
        <f t="shared" si="6"/>
        <v>8.8999999999999996E-2</v>
      </c>
      <c r="N33" s="7">
        <f t="shared" si="6"/>
        <v>8.8999999999999996E-2</v>
      </c>
      <c r="O33" s="7">
        <f t="shared" si="6"/>
        <v>8.8999999999999996E-2</v>
      </c>
      <c r="P33" s="7">
        <f t="shared" si="6"/>
        <v>8.8999999999999996E-2</v>
      </c>
      <c r="Q33" s="7">
        <f t="shared" si="6"/>
        <v>8.8999999999999996E-2</v>
      </c>
    </row>
    <row r="34" spans="1:17" x14ac:dyDescent="0.25">
      <c r="A34">
        <v>7</v>
      </c>
      <c r="B34" s="92">
        <v>8.8999999999999996E-2</v>
      </c>
      <c r="C34" s="7">
        <f t="shared" si="6"/>
        <v>8.8999999999999996E-2</v>
      </c>
      <c r="D34" s="7">
        <f t="shared" si="6"/>
        <v>8.8999999999999996E-2</v>
      </c>
      <c r="E34" s="7">
        <f t="shared" si="6"/>
        <v>8.8999999999999996E-2</v>
      </c>
      <c r="G34" s="7">
        <f t="shared" si="5"/>
        <v>8.8999999999999996E-2</v>
      </c>
      <c r="H34" s="7">
        <f t="shared" si="6"/>
        <v>8.8999999999999996E-2</v>
      </c>
      <c r="I34" s="7">
        <f t="shared" si="6"/>
        <v>8.8999999999999996E-2</v>
      </c>
      <c r="J34" s="7">
        <f t="shared" si="6"/>
        <v>8.8999999999999996E-2</v>
      </c>
      <c r="K34" s="7">
        <f t="shared" si="6"/>
        <v>8.8999999999999996E-2</v>
      </c>
      <c r="L34" s="7">
        <f t="shared" si="6"/>
        <v>8.8999999999999996E-2</v>
      </c>
      <c r="M34" s="7">
        <f t="shared" si="6"/>
        <v>8.8999999999999996E-2</v>
      </c>
      <c r="N34" s="7">
        <f t="shared" si="6"/>
        <v>8.8999999999999996E-2</v>
      </c>
      <c r="O34" s="7">
        <f t="shared" si="6"/>
        <v>8.8999999999999996E-2</v>
      </c>
      <c r="P34" s="7">
        <f t="shared" si="6"/>
        <v>8.8999999999999996E-2</v>
      </c>
      <c r="Q34" s="7">
        <f t="shared" si="6"/>
        <v>8.8999999999999996E-2</v>
      </c>
    </row>
    <row r="35" spans="1:17" x14ac:dyDescent="0.25">
      <c r="A35">
        <v>8</v>
      </c>
      <c r="B35" s="92">
        <v>4.4999999999999998E-2</v>
      </c>
      <c r="C35" s="7">
        <f t="shared" si="6"/>
        <v>4.4999999999999998E-2</v>
      </c>
      <c r="D35" s="7">
        <f t="shared" si="6"/>
        <v>4.4999999999999998E-2</v>
      </c>
      <c r="E35" s="7">
        <f t="shared" si="6"/>
        <v>4.4999999999999998E-2</v>
      </c>
      <c r="G35" s="7">
        <f t="shared" si="5"/>
        <v>4.4999999999999998E-2</v>
      </c>
      <c r="H35" s="7">
        <f t="shared" si="6"/>
        <v>4.4999999999999998E-2</v>
      </c>
      <c r="I35" s="7">
        <f t="shared" si="6"/>
        <v>4.4999999999999998E-2</v>
      </c>
      <c r="J35" s="7">
        <f t="shared" si="6"/>
        <v>4.4999999999999998E-2</v>
      </c>
      <c r="K35" s="7">
        <f t="shared" si="6"/>
        <v>4.4999999999999998E-2</v>
      </c>
      <c r="L35" s="7">
        <f t="shared" si="6"/>
        <v>4.4999999999999998E-2</v>
      </c>
      <c r="M35" s="7">
        <f t="shared" si="6"/>
        <v>4.4999999999999998E-2</v>
      </c>
      <c r="N35" s="7">
        <f t="shared" si="6"/>
        <v>4.4999999999999998E-2</v>
      </c>
      <c r="O35" s="7">
        <f t="shared" si="6"/>
        <v>4.4999999999999998E-2</v>
      </c>
      <c r="P35" s="7">
        <f t="shared" si="6"/>
        <v>4.4999999999999998E-2</v>
      </c>
      <c r="Q35" s="7">
        <f t="shared" si="6"/>
        <v>4.4999999999999998E-2</v>
      </c>
    </row>
    <row r="37" spans="1:17" x14ac:dyDescent="0.25">
      <c r="A37" t="s">
        <v>91</v>
      </c>
      <c r="B37" s="12">
        <f>B23*B5</f>
        <v>803124.28282443876</v>
      </c>
      <c r="C37" s="12">
        <f t="shared" ref="C37:Q37" si="7">C23*C5</f>
        <v>781137.25925563951</v>
      </c>
      <c r="D37" s="12">
        <f t="shared" si="7"/>
        <v>3174030.54</v>
      </c>
      <c r="E37" s="12">
        <f t="shared" si="7"/>
        <v>537966</v>
      </c>
      <c r="F37" s="12"/>
      <c r="G37" s="12">
        <f t="shared" si="7"/>
        <v>0</v>
      </c>
      <c r="H37" s="12">
        <f t="shared" si="7"/>
        <v>0</v>
      </c>
      <c r="I37" s="12">
        <f t="shared" si="7"/>
        <v>39416928.793969497</v>
      </c>
      <c r="J37" s="12">
        <f t="shared" si="7"/>
        <v>0</v>
      </c>
      <c r="K37" s="12">
        <f t="shared" si="7"/>
        <v>0</v>
      </c>
      <c r="L37" s="12">
        <f t="shared" si="7"/>
        <v>0</v>
      </c>
      <c r="M37" s="12">
        <f t="shared" si="7"/>
        <v>0</v>
      </c>
      <c r="N37" s="12">
        <f t="shared" si="7"/>
        <v>0</v>
      </c>
      <c r="O37" s="12">
        <f t="shared" si="7"/>
        <v>0</v>
      </c>
      <c r="P37" s="12">
        <f t="shared" si="7"/>
        <v>0</v>
      </c>
      <c r="Q37" s="12">
        <f t="shared" si="7"/>
        <v>0</v>
      </c>
    </row>
    <row r="38" spans="1:17" x14ac:dyDescent="0.25">
      <c r="A38" t="s">
        <v>92</v>
      </c>
      <c r="B38" s="12">
        <f>SUM(B4:B5)*(1-B18)</f>
        <v>1528356.1885496257</v>
      </c>
      <c r="C38" s="12">
        <f t="shared" ref="C38:Q38" si="8">SUM(C4:C5)*(1-C18)</f>
        <v>1513698.172837093</v>
      </c>
      <c r="D38" s="12">
        <f t="shared" si="8"/>
        <v>3108960.36</v>
      </c>
      <c r="E38" s="12">
        <f t="shared" si="8"/>
        <v>1351584</v>
      </c>
      <c r="F38" s="12"/>
      <c r="G38" s="12">
        <f t="shared" si="8"/>
        <v>0</v>
      </c>
      <c r="H38" s="12">
        <f t="shared" si="8"/>
        <v>0</v>
      </c>
      <c r="I38" s="12">
        <f t="shared" si="8"/>
        <v>26582799.929313</v>
      </c>
      <c r="J38" s="12">
        <f t="shared" si="8"/>
        <v>0</v>
      </c>
      <c r="K38" s="12">
        <f t="shared" si="8"/>
        <v>0</v>
      </c>
      <c r="L38" s="12">
        <f t="shared" si="8"/>
        <v>0</v>
      </c>
      <c r="M38" s="12">
        <f t="shared" si="8"/>
        <v>0</v>
      </c>
      <c r="N38" s="12">
        <f t="shared" si="8"/>
        <v>0</v>
      </c>
      <c r="O38" s="12">
        <f t="shared" si="8"/>
        <v>0</v>
      </c>
      <c r="P38" s="12">
        <f t="shared" si="8"/>
        <v>0</v>
      </c>
      <c r="Q38" s="12">
        <f t="shared" si="8"/>
        <v>0</v>
      </c>
    </row>
    <row r="39" spans="1:17" x14ac:dyDescent="0.25">
      <c r="A39" t="s">
        <v>93</v>
      </c>
      <c r="B39" s="12">
        <f>-PMT(B19,B20,B38)</f>
        <v>227770.14132656169</v>
      </c>
      <c r="C39" s="12">
        <f t="shared" ref="C39:Q39" si="9">-PMT(C19,C20,C38)</f>
        <v>225585.66473960926</v>
      </c>
      <c r="D39" s="12">
        <f t="shared" si="9"/>
        <v>463326.77283027547</v>
      </c>
      <c r="E39" s="12">
        <f t="shared" si="9"/>
        <v>201425.87245114797</v>
      </c>
      <c r="F39" s="12"/>
      <c r="G39" s="12">
        <f t="shared" si="9"/>
        <v>0</v>
      </c>
      <c r="H39" s="12">
        <f t="shared" si="9"/>
        <v>0</v>
      </c>
      <c r="I39" s="12">
        <f t="shared" si="9"/>
        <v>3961621.0816021687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0</v>
      </c>
      <c r="O39" s="12">
        <f t="shared" si="9"/>
        <v>0</v>
      </c>
      <c r="P39" s="12">
        <f t="shared" si="9"/>
        <v>0</v>
      </c>
      <c r="Q39" s="12">
        <f t="shared" si="9"/>
        <v>0</v>
      </c>
    </row>
    <row r="40" spans="1:17" x14ac:dyDescent="0.25">
      <c r="A40" t="s">
        <v>94</v>
      </c>
      <c r="B40" s="12">
        <f>SUM(B4:B5)*B18</f>
        <v>1018904.1256997506</v>
      </c>
      <c r="C40" s="12">
        <f t="shared" ref="C40:Q40" si="10">SUM(C4:C5)*C18</f>
        <v>1009132.1152247288</v>
      </c>
      <c r="D40" s="12">
        <f t="shared" si="10"/>
        <v>2072640.24</v>
      </c>
      <c r="E40" s="12">
        <f t="shared" si="10"/>
        <v>901056</v>
      </c>
      <c r="F40" s="12"/>
      <c r="G40" s="12">
        <f t="shared" si="10"/>
        <v>0</v>
      </c>
      <c r="H40" s="12">
        <f t="shared" si="10"/>
        <v>0</v>
      </c>
      <c r="I40" s="12">
        <f t="shared" si="10"/>
        <v>17721866.619541999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</row>
    <row r="41" spans="1:17" x14ac:dyDescent="0.25">
      <c r="A41" t="s">
        <v>95</v>
      </c>
      <c r="B41" s="12">
        <f>B22*B37</f>
        <v>8031.242828244388</v>
      </c>
      <c r="C41" s="12">
        <f t="shared" ref="C41:Q41" si="11">C22*C37</f>
        <v>7811.3725925563949</v>
      </c>
      <c r="D41" s="12">
        <f t="shared" si="11"/>
        <v>31740.305400000001</v>
      </c>
      <c r="E41" s="12">
        <f t="shared" si="11"/>
        <v>5379.66</v>
      </c>
      <c r="F41" s="12"/>
      <c r="G41" s="12">
        <f t="shared" si="11"/>
        <v>0</v>
      </c>
      <c r="H41" s="12">
        <f t="shared" si="11"/>
        <v>0</v>
      </c>
      <c r="I41" s="12">
        <f t="shared" si="11"/>
        <v>394169.287939695</v>
      </c>
      <c r="J41" s="12">
        <f t="shared" si="11"/>
        <v>0</v>
      </c>
      <c r="K41" s="12">
        <f t="shared" si="11"/>
        <v>0</v>
      </c>
      <c r="L41" s="12">
        <f t="shared" si="11"/>
        <v>0</v>
      </c>
      <c r="M41" s="12">
        <f t="shared" si="11"/>
        <v>0</v>
      </c>
      <c r="N41" s="12">
        <f t="shared" si="11"/>
        <v>0</v>
      </c>
      <c r="O41" s="12">
        <f t="shared" si="11"/>
        <v>0</v>
      </c>
      <c r="P41" s="12">
        <f t="shared" si="11"/>
        <v>0</v>
      </c>
      <c r="Q41" s="12">
        <f t="shared" si="11"/>
        <v>0</v>
      </c>
    </row>
    <row r="42" spans="1:17" x14ac:dyDescent="0.25">
      <c r="A42" t="s">
        <v>96</v>
      </c>
      <c r="B42" s="12">
        <f>B21*B37</f>
        <v>24093.728484733161</v>
      </c>
      <c r="C42" s="12">
        <f t="shared" ref="C42:Q42" si="12">C21*C37</f>
        <v>23434.117777669184</v>
      </c>
      <c r="D42" s="12">
        <f t="shared" si="12"/>
        <v>95220.916199999992</v>
      </c>
      <c r="E42" s="12">
        <f t="shared" si="12"/>
        <v>16138.98</v>
      </c>
      <c r="F42" s="12"/>
      <c r="G42" s="12">
        <f t="shared" si="12"/>
        <v>0</v>
      </c>
      <c r="H42" s="12">
        <f t="shared" si="12"/>
        <v>0</v>
      </c>
      <c r="I42" s="12">
        <f t="shared" si="12"/>
        <v>394169.287939695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2">
        <f t="shared" si="12"/>
        <v>0</v>
      </c>
      <c r="N42" s="12">
        <f t="shared" si="12"/>
        <v>0</v>
      </c>
      <c r="O42" s="12">
        <f t="shared" si="12"/>
        <v>0</v>
      </c>
      <c r="P42" s="12">
        <f t="shared" si="12"/>
        <v>0</v>
      </c>
      <c r="Q42" s="12">
        <f t="shared" si="12"/>
        <v>0</v>
      </c>
    </row>
    <row r="43" spans="1:17" x14ac:dyDescent="0.25">
      <c r="A43" t="s">
        <v>97</v>
      </c>
      <c r="B43" s="12">
        <f>B41+B42+B7+B6</f>
        <v>61662.461916693181</v>
      </c>
      <c r="C43" s="12">
        <f t="shared" ref="C43:Q43" si="13">C41+C42+C7+C6</f>
        <v>69447.08621254364</v>
      </c>
      <c r="D43" s="12" t="e">
        <f t="shared" si="13"/>
        <v>#VALUE!</v>
      </c>
      <c r="E43" s="12" t="e">
        <f t="shared" si="13"/>
        <v>#VALUE!</v>
      </c>
      <c r="F43" s="12"/>
      <c r="G43" s="12">
        <f t="shared" si="13"/>
        <v>0</v>
      </c>
      <c r="H43" s="12">
        <f t="shared" si="13"/>
        <v>0</v>
      </c>
      <c r="I43" s="12">
        <f t="shared" si="13"/>
        <v>4694747.2723165266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0</v>
      </c>
      <c r="O43" s="12">
        <f t="shared" si="13"/>
        <v>0</v>
      </c>
      <c r="P43" s="12">
        <f t="shared" si="13"/>
        <v>0</v>
      </c>
      <c r="Q43" s="12">
        <f t="shared" si="13"/>
        <v>0</v>
      </c>
    </row>
    <row r="45" spans="1:17" x14ac:dyDescent="0.25">
      <c r="A45" s="2" t="s">
        <v>98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</row>
    <row r="46" spans="1:17" x14ac:dyDescent="0.25">
      <c r="A46" s="2" t="s">
        <v>99</v>
      </c>
      <c r="B46" s="70">
        <f>'NPV Solver'!B33</f>
        <v>2.3919710656628013E-10</v>
      </c>
      <c r="C46" s="70">
        <f>'NPV Solver'!C33</f>
        <v>-4.6929926611483097E-10</v>
      </c>
      <c r="D46" s="70" t="e">
        <f>'NPV Solver'!D33</f>
        <v>#VALUE!</v>
      </c>
      <c r="E46" s="70" t="e">
        <f>'NPV Solver'!E33</f>
        <v>#VALUE!</v>
      </c>
      <c r="F46" s="70"/>
      <c r="G46" s="70">
        <f>'NPV Solver'!G33</f>
        <v>0</v>
      </c>
      <c r="H46" s="70">
        <f>'NPV Solver'!H33</f>
        <v>0</v>
      </c>
      <c r="I46" s="70">
        <f>'NPV Solver'!I33</f>
        <v>5460360.5584278991</v>
      </c>
      <c r="J46" s="70">
        <f>'NPV Solver'!J33</f>
        <v>0</v>
      </c>
      <c r="K46" s="70">
        <f>'NPV Solver'!K33</f>
        <v>0</v>
      </c>
      <c r="L46" s="70">
        <f>'NPV Solver'!L33</f>
        <v>0</v>
      </c>
      <c r="M46" s="70">
        <f>'NPV Solver'!M33</f>
        <v>0</v>
      </c>
      <c r="N46" s="70">
        <f>'NPV Solver'!N33</f>
        <v>0</v>
      </c>
      <c r="O46" s="70">
        <f>'NPV Solver'!O33</f>
        <v>0</v>
      </c>
      <c r="P46" s="70">
        <f>'NPV Solver'!P33</f>
        <v>0</v>
      </c>
      <c r="Q46" s="70">
        <f>'NPV Solver'!R33</f>
        <v>0</v>
      </c>
    </row>
    <row r="47" spans="1:17" x14ac:dyDescent="0.25">
      <c r="A47" s="2" t="s">
        <v>100</v>
      </c>
      <c r="B47" s="142">
        <f>SUM(B96:B135)</f>
        <v>355864.06273031607</v>
      </c>
      <c r="C47" s="142">
        <f t="shared" ref="C47:Q47" si="14">SUM(C96:C135)</f>
        <v>361116.97730658628</v>
      </c>
      <c r="D47" s="142">
        <f t="shared" si="14"/>
        <v>0</v>
      </c>
      <c r="E47" s="142">
        <f t="shared" si="14"/>
        <v>0</v>
      </c>
      <c r="F47" s="142"/>
      <c r="G47" s="142">
        <f t="shared" si="14"/>
        <v>0</v>
      </c>
      <c r="H47" s="142">
        <f t="shared" si="14"/>
        <v>0</v>
      </c>
      <c r="I47" s="142">
        <f t="shared" si="14"/>
        <v>9898499.6954037677</v>
      </c>
      <c r="J47" s="142">
        <f t="shared" si="14"/>
        <v>0</v>
      </c>
      <c r="K47" s="142">
        <f t="shared" si="14"/>
        <v>0</v>
      </c>
      <c r="L47" s="142">
        <f t="shared" si="14"/>
        <v>0</v>
      </c>
      <c r="M47" s="142">
        <f t="shared" si="14"/>
        <v>0</v>
      </c>
      <c r="N47" s="142">
        <f t="shared" si="14"/>
        <v>22.619969052209314</v>
      </c>
      <c r="O47" s="142">
        <f t="shared" si="14"/>
        <v>81963.068570371019</v>
      </c>
      <c r="P47" s="142">
        <f t="shared" si="14"/>
        <v>100963.82531715745</v>
      </c>
      <c r="Q47" s="142">
        <f t="shared" si="14"/>
        <v>0</v>
      </c>
    </row>
    <row r="48" spans="1:17" s="6" customFormat="1" x14ac:dyDescent="0.25">
      <c r="A48" s="2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</row>
    <row r="49" spans="1:17" s="6" customFormat="1" x14ac:dyDescent="0.25">
      <c r="A49" s="2" t="s">
        <v>101</v>
      </c>
      <c r="B49" s="61">
        <v>5.1389945574831559</v>
      </c>
      <c r="C49" s="61">
        <v>4.6591527573512899</v>
      </c>
      <c r="D49" s="61">
        <v>2</v>
      </c>
      <c r="E49" s="61">
        <v>2</v>
      </c>
      <c r="F49" s="61"/>
      <c r="G49" s="61">
        <v>2</v>
      </c>
      <c r="H49" s="61">
        <v>2</v>
      </c>
      <c r="I49" s="61">
        <v>9.7373602362318739</v>
      </c>
      <c r="J49" s="61">
        <v>2</v>
      </c>
      <c r="K49" s="61">
        <v>2</v>
      </c>
      <c r="L49" s="61">
        <v>2</v>
      </c>
      <c r="M49" s="61">
        <v>2</v>
      </c>
      <c r="N49" s="61">
        <v>2</v>
      </c>
      <c r="O49" s="61">
        <v>2</v>
      </c>
      <c r="P49" s="61">
        <v>2</v>
      </c>
      <c r="Q49" s="61">
        <v>2</v>
      </c>
    </row>
    <row r="50" spans="1:17" s="6" customFormat="1" x14ac:dyDescent="0.25">
      <c r="A50" s="2" t="s">
        <v>102</v>
      </c>
      <c r="B50" s="61">
        <f>(B49*0.87)*3.785</f>
        <v>16.922452128064158</v>
      </c>
      <c r="C50" s="61">
        <f t="shared" ref="C50:M50" si="15">(C49*0.87)*3.785</f>
        <v>15.342357072319931</v>
      </c>
      <c r="D50" s="61">
        <f t="shared" si="15"/>
        <v>6.5859000000000005</v>
      </c>
      <c r="E50" s="61">
        <f t="shared" si="15"/>
        <v>6.5859000000000005</v>
      </c>
      <c r="F50" s="61"/>
      <c r="G50" s="61">
        <f t="shared" si="15"/>
        <v>6.5859000000000005</v>
      </c>
      <c r="H50" s="61">
        <f t="shared" si="15"/>
        <v>6.5859000000000005</v>
      </c>
      <c r="I50" s="61">
        <f t="shared" si="15"/>
        <v>32.064640389899751</v>
      </c>
      <c r="J50" s="61">
        <f t="shared" si="15"/>
        <v>6.5859000000000005</v>
      </c>
      <c r="K50" s="61">
        <f t="shared" si="15"/>
        <v>6.5859000000000005</v>
      </c>
      <c r="L50" s="61">
        <f t="shared" si="15"/>
        <v>6.5859000000000005</v>
      </c>
      <c r="M50" s="61">
        <f t="shared" si="15"/>
        <v>6.5859000000000005</v>
      </c>
      <c r="N50" s="61">
        <f>(N49*0.87)*3.785</f>
        <v>6.5859000000000005</v>
      </c>
      <c r="O50" s="61">
        <f t="shared" ref="O50" si="16">(O49*0.87)*3.785</f>
        <v>6.5859000000000005</v>
      </c>
      <c r="P50" s="61">
        <f t="shared" ref="P50" si="17">(P49*0.87)*3.785</f>
        <v>6.5859000000000005</v>
      </c>
      <c r="Q50" s="61">
        <f t="shared" ref="Q50" si="18">(Q49*0.87)*3.785</f>
        <v>6.5859000000000005</v>
      </c>
    </row>
    <row r="51" spans="1:17" x14ac:dyDescent="0.25">
      <c r="A51" s="56" t="str">
        <f>I_O!A199</f>
        <v>Outputs</v>
      </c>
      <c r="B51" s="55" t="s">
        <v>103</v>
      </c>
      <c r="C51" s="55" t="s">
        <v>103</v>
      </c>
      <c r="D51" s="55" t="s">
        <v>103</v>
      </c>
      <c r="E51" s="55" t="s">
        <v>103</v>
      </c>
      <c r="F51" s="55"/>
      <c r="G51" s="55" t="s">
        <v>103</v>
      </c>
      <c r="H51" s="55" t="s">
        <v>103</v>
      </c>
      <c r="I51" s="55" t="s">
        <v>103</v>
      </c>
      <c r="J51" s="55" t="s">
        <v>103</v>
      </c>
      <c r="K51" s="55" t="s">
        <v>103</v>
      </c>
      <c r="L51" s="55" t="s">
        <v>103</v>
      </c>
      <c r="M51" s="55" t="s">
        <v>103</v>
      </c>
      <c r="N51" s="55" t="s">
        <v>103</v>
      </c>
      <c r="O51" s="55" t="s">
        <v>103</v>
      </c>
      <c r="P51" s="55" t="s">
        <v>103</v>
      </c>
      <c r="Q51" s="55" t="s">
        <v>103</v>
      </c>
    </row>
    <row r="52" spans="1:17" x14ac:dyDescent="0.25">
      <c r="A52" s="57" t="str">
        <f>I_O!A200</f>
        <v>CH4 Emissions (kg/yr)</v>
      </c>
      <c r="B52" s="58">
        <f>I_O!$N200</f>
        <v>0</v>
      </c>
      <c r="C52" s="58">
        <f>I_O!$N200</f>
        <v>0</v>
      </c>
      <c r="D52" s="58">
        <f>I_O!$N200</f>
        <v>0</v>
      </c>
      <c r="E52" s="58">
        <f>I_O!$N200</f>
        <v>0</v>
      </c>
      <c r="F52" s="58"/>
      <c r="G52" s="58">
        <f>I_O!$N200</f>
        <v>0</v>
      </c>
      <c r="H52" s="58">
        <f>I_O!$N200</f>
        <v>0</v>
      </c>
      <c r="I52" s="58">
        <f>I_O!$N200</f>
        <v>0</v>
      </c>
      <c r="J52" s="58">
        <f>I_O!$N200</f>
        <v>0</v>
      </c>
      <c r="K52" s="58">
        <f>I_O!$N200</f>
        <v>0</v>
      </c>
      <c r="L52" s="58">
        <f>I_O!$N200</f>
        <v>0</v>
      </c>
      <c r="M52" s="58">
        <f>I_O!$N200</f>
        <v>0</v>
      </c>
      <c r="N52" s="58">
        <f>I_O!$N200</f>
        <v>0</v>
      </c>
      <c r="O52" s="58">
        <f>I_O!$N200</f>
        <v>0</v>
      </c>
      <c r="P52" s="58">
        <f>I_O!$N200</f>
        <v>0</v>
      </c>
      <c r="Q52" s="58">
        <f>I_O!$N200</f>
        <v>0</v>
      </c>
    </row>
    <row r="53" spans="1:17" x14ac:dyDescent="0.25">
      <c r="A53" s="57" t="str">
        <f>I_O!A201</f>
        <v>CO2 Emissions (kg/yr)</v>
      </c>
      <c r="B53" s="58">
        <f>I_O!$N201</f>
        <v>0</v>
      </c>
      <c r="C53" s="58">
        <f>I_O!$N201</f>
        <v>0</v>
      </c>
      <c r="D53" s="58">
        <f>I_O!$N201</f>
        <v>0</v>
      </c>
      <c r="E53" s="58">
        <f>I_O!$N201</f>
        <v>0</v>
      </c>
      <c r="F53" s="58"/>
      <c r="G53" s="58">
        <f>I_O!$N201</f>
        <v>0</v>
      </c>
      <c r="H53" s="58">
        <f>I_O!$N201</f>
        <v>0</v>
      </c>
      <c r="I53" s="58">
        <f>I_O!$N201</f>
        <v>0</v>
      </c>
      <c r="J53" s="58">
        <f>I_O!$N201</f>
        <v>0</v>
      </c>
      <c r="K53" s="58">
        <f>I_O!$N201</f>
        <v>0</v>
      </c>
      <c r="L53" s="58">
        <f>I_O!$N201</f>
        <v>0</v>
      </c>
      <c r="M53" s="58">
        <f>I_O!$N201</f>
        <v>0</v>
      </c>
      <c r="N53" s="58">
        <f>I_O!$N201</f>
        <v>0</v>
      </c>
      <c r="O53" s="58">
        <f>I_O!$N201</f>
        <v>0</v>
      </c>
      <c r="P53" s="58">
        <f>I_O!$N201</f>
        <v>0</v>
      </c>
      <c r="Q53" s="58">
        <f>I_O!$N201</f>
        <v>0</v>
      </c>
    </row>
    <row r="54" spans="1:17" x14ac:dyDescent="0.25">
      <c r="A54" s="57" t="str">
        <f>I_O!A202</f>
        <v>CO Emissions (kg/yr)</v>
      </c>
      <c r="B54" s="58">
        <f>I_O!$N202</f>
        <v>0</v>
      </c>
      <c r="C54" s="58">
        <f>I_O!$N202</f>
        <v>0</v>
      </c>
      <c r="D54" s="58">
        <f>I_O!$N202</f>
        <v>0</v>
      </c>
      <c r="E54" s="58">
        <f>I_O!$N202</f>
        <v>0</v>
      </c>
      <c r="F54" s="58"/>
      <c r="G54" s="58">
        <f>I_O!$N202</f>
        <v>0</v>
      </c>
      <c r="H54" s="58">
        <f>I_O!$N202</f>
        <v>0</v>
      </c>
      <c r="I54" s="58">
        <f>I_O!$N202</f>
        <v>0</v>
      </c>
      <c r="J54" s="58">
        <f>I_O!$N202</f>
        <v>0</v>
      </c>
      <c r="K54" s="58">
        <f>I_O!$N202</f>
        <v>0</v>
      </c>
      <c r="L54" s="58">
        <f>I_O!$N202</f>
        <v>0</v>
      </c>
      <c r="M54" s="58">
        <f>I_O!$N202</f>
        <v>0</v>
      </c>
      <c r="N54" s="58">
        <f>I_O!$N202</f>
        <v>0</v>
      </c>
      <c r="O54" s="58">
        <f>I_O!$N202</f>
        <v>0</v>
      </c>
      <c r="P54" s="58">
        <f>I_O!$N202</f>
        <v>0</v>
      </c>
      <c r="Q54" s="58">
        <f>I_O!$N202</f>
        <v>0</v>
      </c>
    </row>
    <row r="55" spans="1:17" x14ac:dyDescent="0.25">
      <c r="A55" s="57" t="str">
        <f>I_O!A203</f>
        <v>LUC Emissions (kg CO2e/yr)</v>
      </c>
      <c r="B55" s="58">
        <f>I_O!$N203</f>
        <v>0</v>
      </c>
      <c r="C55" s="58">
        <f>I_O!$N203</f>
        <v>0</v>
      </c>
      <c r="D55" s="58">
        <f>I_O!$N203</f>
        <v>0</v>
      </c>
      <c r="E55" s="58">
        <f>I_O!$N203</f>
        <v>0</v>
      </c>
      <c r="F55" s="58"/>
      <c r="G55" s="58">
        <f>I_O!$N203</f>
        <v>0</v>
      </c>
      <c r="H55" s="58">
        <f>I_O!$N203</f>
        <v>0</v>
      </c>
      <c r="I55" s="58">
        <f>I_O!$N203</f>
        <v>0</v>
      </c>
      <c r="J55" s="58">
        <f>I_O!$N203</f>
        <v>0</v>
      </c>
      <c r="K55" s="58">
        <f>I_O!$N203</f>
        <v>0</v>
      </c>
      <c r="L55" s="58">
        <f>I_O!$N203</f>
        <v>0</v>
      </c>
      <c r="M55" s="58">
        <f>I_O!$N203</f>
        <v>0</v>
      </c>
      <c r="N55" s="58">
        <f>I_O!$N203</f>
        <v>0</v>
      </c>
      <c r="O55" s="58">
        <f>I_O!$N203</f>
        <v>0</v>
      </c>
      <c r="P55" s="58">
        <f>I_O!$N203</f>
        <v>0</v>
      </c>
      <c r="Q55" s="58">
        <f>I_O!$N203</f>
        <v>0</v>
      </c>
    </row>
    <row r="56" spans="1:17" x14ac:dyDescent="0.25">
      <c r="A56" s="57" t="str">
        <f>I_O!A204</f>
        <v>N2O Emissions (kg/yr)</v>
      </c>
      <c r="B56" s="58">
        <f>I_O!$N204</f>
        <v>0</v>
      </c>
      <c r="C56" s="58">
        <f>I_O!$N204</f>
        <v>0</v>
      </c>
      <c r="D56" s="58">
        <f>I_O!$N204</f>
        <v>0</v>
      </c>
      <c r="E56" s="58">
        <f>I_O!$N204</f>
        <v>0</v>
      </c>
      <c r="F56" s="58"/>
      <c r="G56" s="58">
        <f>I_O!$N204</f>
        <v>0</v>
      </c>
      <c r="H56" s="58">
        <f>I_O!$N204</f>
        <v>0</v>
      </c>
      <c r="I56" s="58">
        <f>I_O!$N204</f>
        <v>0</v>
      </c>
      <c r="J56" s="58">
        <f>I_O!$N204</f>
        <v>0</v>
      </c>
      <c r="K56" s="58">
        <f>I_O!$N204</f>
        <v>0</v>
      </c>
      <c r="L56" s="58">
        <f>I_O!$N204</f>
        <v>0</v>
      </c>
      <c r="M56" s="58">
        <f>I_O!$N204</f>
        <v>0</v>
      </c>
      <c r="N56" s="58">
        <f>I_O!$N204</f>
        <v>0</v>
      </c>
      <c r="O56" s="58">
        <f>I_O!$N204</f>
        <v>0</v>
      </c>
      <c r="P56" s="58">
        <f>I_O!$N204</f>
        <v>0</v>
      </c>
      <c r="Q56" s="58">
        <f>I_O!$N204</f>
        <v>0</v>
      </c>
    </row>
    <row r="57" spans="1:17" x14ac:dyDescent="0.25">
      <c r="A57" s="57" t="str">
        <f>I_O!A205</f>
        <v>NOx Emissions (kg/yr)</v>
      </c>
      <c r="B57" s="58">
        <f>I_O!$N205</f>
        <v>0</v>
      </c>
      <c r="C57" s="58">
        <f>I_O!$N205</f>
        <v>0</v>
      </c>
      <c r="D57" s="58">
        <f>I_O!$N205</f>
        <v>0</v>
      </c>
      <c r="E57" s="58">
        <f>I_O!$N205</f>
        <v>0</v>
      </c>
      <c r="F57" s="58"/>
      <c r="G57" s="58">
        <f>I_O!$N205</f>
        <v>0</v>
      </c>
      <c r="H57" s="58">
        <f>I_O!$N205</f>
        <v>0</v>
      </c>
      <c r="I57" s="58">
        <f>I_O!$N205</f>
        <v>0</v>
      </c>
      <c r="J57" s="58">
        <f>I_O!$N205</f>
        <v>0</v>
      </c>
      <c r="K57" s="58">
        <f>I_O!$N205</f>
        <v>0</v>
      </c>
      <c r="L57" s="58">
        <f>I_O!$N205</f>
        <v>0</v>
      </c>
      <c r="M57" s="58">
        <f>I_O!$N205</f>
        <v>0</v>
      </c>
      <c r="N57" s="58">
        <f>I_O!$N205</f>
        <v>0</v>
      </c>
      <c r="O57" s="58">
        <f>I_O!$N205</f>
        <v>0</v>
      </c>
      <c r="P57" s="58">
        <f>I_O!$N205</f>
        <v>0</v>
      </c>
      <c r="Q57" s="58">
        <f>I_O!$N205</f>
        <v>0</v>
      </c>
    </row>
    <row r="58" spans="1:17" x14ac:dyDescent="0.25">
      <c r="A58" s="57" t="str">
        <f>I_O!A206</f>
        <v>Algal Biomass, Whole (kg/yr)</v>
      </c>
      <c r="B58" s="58">
        <f>I_O!$N206</f>
        <v>0</v>
      </c>
      <c r="C58" s="58">
        <f>I_O!$N206</f>
        <v>0</v>
      </c>
      <c r="D58" s="58">
        <f>I_O!$N206</f>
        <v>0</v>
      </c>
      <c r="E58" s="58">
        <f>I_O!$N206</f>
        <v>0</v>
      </c>
      <c r="F58" s="58"/>
      <c r="G58" s="58">
        <f>I_O!$N206</f>
        <v>0</v>
      </c>
      <c r="H58" s="58">
        <f>I_O!$N206</f>
        <v>0</v>
      </c>
      <c r="I58" s="58">
        <f>I_O!$N206</f>
        <v>0</v>
      </c>
      <c r="J58" s="58">
        <f>I_O!$N206</f>
        <v>0</v>
      </c>
      <c r="K58" s="58">
        <f>I_O!$N206</f>
        <v>0</v>
      </c>
      <c r="L58" s="58">
        <f>I_O!$N206</f>
        <v>0</v>
      </c>
      <c r="M58" s="58">
        <f>I_O!$N206</f>
        <v>0</v>
      </c>
      <c r="N58" s="58">
        <f>I_O!$N206</f>
        <v>0</v>
      </c>
      <c r="O58" s="58">
        <f>I_O!$N206</f>
        <v>0</v>
      </c>
      <c r="P58" s="58">
        <f>I_O!$N206</f>
        <v>0</v>
      </c>
      <c r="Q58" s="58">
        <f>I_O!$N206</f>
        <v>0</v>
      </c>
    </row>
    <row r="59" spans="1:17" x14ac:dyDescent="0.25">
      <c r="A59" s="57" t="str">
        <f>I_O!A207</f>
        <v>Algal Biomass, LEA Meal (kg/yr)</v>
      </c>
      <c r="B59" s="58">
        <f>I_O!$N207</f>
        <v>0.35</v>
      </c>
      <c r="C59" s="58">
        <f>I_O!$N207</f>
        <v>0.35</v>
      </c>
      <c r="D59" s="58">
        <f>I_O!$N207</f>
        <v>0.35</v>
      </c>
      <c r="E59" s="58">
        <f>I_O!$N207</f>
        <v>0.35</v>
      </c>
      <c r="F59" s="58"/>
      <c r="G59" s="58">
        <f>I_O!$N207</f>
        <v>0.35</v>
      </c>
      <c r="H59" s="58">
        <f>I_O!$N207</f>
        <v>0.35</v>
      </c>
      <c r="I59" s="58">
        <f>I_O!$N207</f>
        <v>0.35</v>
      </c>
      <c r="J59" s="58">
        <f>I_O!$N207</f>
        <v>0.35</v>
      </c>
      <c r="K59" s="58">
        <f>I_O!$N207</f>
        <v>0.35</v>
      </c>
      <c r="L59" s="58">
        <f>I_O!$N207</f>
        <v>0.35</v>
      </c>
      <c r="M59" s="58">
        <f>I_O!$N207</f>
        <v>0.35</v>
      </c>
      <c r="N59" s="58">
        <f>I_O!$N207</f>
        <v>0.35</v>
      </c>
      <c r="O59" s="58">
        <f>I_O!$N207</f>
        <v>0.35</v>
      </c>
      <c r="P59" s="58">
        <f>I_O!$N207</f>
        <v>0.35</v>
      </c>
      <c r="Q59" s="58">
        <f>I_O!$N207</f>
        <v>0.35</v>
      </c>
    </row>
    <row r="60" spans="1:17" x14ac:dyDescent="0.25">
      <c r="A60" s="57" t="str">
        <f>I_O!A208</f>
        <v>Algal Oil (kg/yr)</v>
      </c>
      <c r="B60" s="58">
        <f>I_O!$N208</f>
        <v>0</v>
      </c>
      <c r="C60" s="58">
        <f>I_O!$N208</f>
        <v>0</v>
      </c>
      <c r="D60" s="58">
        <f>I_O!$N208</f>
        <v>0</v>
      </c>
      <c r="E60" s="58">
        <f>I_O!$N208</f>
        <v>0</v>
      </c>
      <c r="F60" s="58"/>
      <c r="G60" s="58">
        <f>I_O!$N208</f>
        <v>0</v>
      </c>
      <c r="H60" s="58">
        <f>I_O!$N208</f>
        <v>0</v>
      </c>
      <c r="I60" s="58">
        <f>I_O!$N208</f>
        <v>0</v>
      </c>
      <c r="J60" s="58">
        <f>I_O!$N208</f>
        <v>0</v>
      </c>
      <c r="K60" s="58">
        <f>I_O!$N208</f>
        <v>0</v>
      </c>
      <c r="L60" s="58">
        <f>I_O!$N208</f>
        <v>0</v>
      </c>
      <c r="M60" s="58">
        <f>I_O!$N208</f>
        <v>0</v>
      </c>
      <c r="N60" s="58">
        <f>I_O!$N208</f>
        <v>0</v>
      </c>
      <c r="O60" s="58">
        <f>I_O!$N208</f>
        <v>0</v>
      </c>
      <c r="P60" s="58">
        <f>I_O!$N208</f>
        <v>0</v>
      </c>
      <c r="Q60" s="58">
        <f>I_O!$N208</f>
        <v>0</v>
      </c>
    </row>
    <row r="61" spans="1:17" x14ac:dyDescent="0.25">
      <c r="A61" s="57" t="str">
        <f>I_O!A209</f>
        <v>Corn Grain (kg/yr)</v>
      </c>
      <c r="B61" s="58">
        <f>I_O!$N209</f>
        <v>0</v>
      </c>
      <c r="C61" s="58">
        <f>I_O!$N209</f>
        <v>0</v>
      </c>
      <c r="D61" s="58">
        <f>I_O!$N209</f>
        <v>0</v>
      </c>
      <c r="E61" s="58">
        <f>I_O!$N209</f>
        <v>0</v>
      </c>
      <c r="F61" s="58"/>
      <c r="G61" s="58">
        <f>I_O!$N209</f>
        <v>0</v>
      </c>
      <c r="H61" s="58">
        <f>I_O!$N209</f>
        <v>0</v>
      </c>
      <c r="I61" s="58">
        <f>I_O!$N209</f>
        <v>0</v>
      </c>
      <c r="J61" s="58">
        <f>I_O!$N209</f>
        <v>0</v>
      </c>
      <c r="K61" s="58">
        <f>I_O!$N209</f>
        <v>0</v>
      </c>
      <c r="L61" s="58">
        <f>I_O!$N209</f>
        <v>0</v>
      </c>
      <c r="M61" s="58">
        <f>I_O!$N209</f>
        <v>0</v>
      </c>
      <c r="N61" s="58">
        <f>I_O!$N209</f>
        <v>0</v>
      </c>
      <c r="O61" s="58">
        <f>I_O!$N209</f>
        <v>0</v>
      </c>
      <c r="P61" s="58">
        <f>I_O!$N209</f>
        <v>0</v>
      </c>
      <c r="Q61" s="58">
        <f>I_O!$N209</f>
        <v>0</v>
      </c>
    </row>
    <row r="62" spans="1:17" x14ac:dyDescent="0.25">
      <c r="A62" s="57" t="str">
        <f>I_O!A210</f>
        <v>Corn Stover, Collected (kg/yr)</v>
      </c>
      <c r="B62" s="58">
        <f>I_O!$N210</f>
        <v>0</v>
      </c>
      <c r="C62" s="58">
        <f>I_O!$N210</f>
        <v>0</v>
      </c>
      <c r="D62" s="58">
        <f>I_O!$N210</f>
        <v>0</v>
      </c>
      <c r="E62" s="58">
        <f>I_O!$N210</f>
        <v>0</v>
      </c>
      <c r="F62" s="58"/>
      <c r="G62" s="58">
        <f>I_O!$N210</f>
        <v>0</v>
      </c>
      <c r="H62" s="58">
        <f>I_O!$N210</f>
        <v>0</v>
      </c>
      <c r="I62" s="58">
        <f>I_O!$N210</f>
        <v>0</v>
      </c>
      <c r="J62" s="58">
        <f>I_O!$N210</f>
        <v>0</v>
      </c>
      <c r="K62" s="58">
        <f>I_O!$N210</f>
        <v>0</v>
      </c>
      <c r="L62" s="58">
        <f>I_O!$N210</f>
        <v>0</v>
      </c>
      <c r="M62" s="58">
        <f>I_O!$N210</f>
        <v>0</v>
      </c>
      <c r="N62" s="58">
        <f>I_O!$N210</f>
        <v>0</v>
      </c>
      <c r="O62" s="58">
        <f>I_O!$N210</f>
        <v>0</v>
      </c>
      <c r="P62" s="58">
        <f>I_O!$N210</f>
        <v>0</v>
      </c>
      <c r="Q62" s="58">
        <f>I_O!$N210</f>
        <v>0</v>
      </c>
    </row>
    <row r="63" spans="1:17" x14ac:dyDescent="0.25">
      <c r="A63" s="57" t="str">
        <f>I_O!A211</f>
        <v>Corn Stover, Left (kg/yr)</v>
      </c>
      <c r="B63" s="58">
        <f>I_O!$N211</f>
        <v>0</v>
      </c>
      <c r="C63" s="58">
        <f>I_O!$N211</f>
        <v>0</v>
      </c>
      <c r="D63" s="58">
        <f>I_O!$N211</f>
        <v>0</v>
      </c>
      <c r="E63" s="58">
        <f>I_O!$N211</f>
        <v>0</v>
      </c>
      <c r="F63" s="58"/>
      <c r="G63" s="58">
        <f>I_O!$N211</f>
        <v>0</v>
      </c>
      <c r="H63" s="58">
        <f>I_O!$N211</f>
        <v>0</v>
      </c>
      <c r="I63" s="58">
        <f>I_O!$N211</f>
        <v>0</v>
      </c>
      <c r="J63" s="58">
        <f>I_O!$N211</f>
        <v>0</v>
      </c>
      <c r="K63" s="58">
        <f>I_O!$N211</f>
        <v>0</v>
      </c>
      <c r="L63" s="58">
        <f>I_O!$N211</f>
        <v>0</v>
      </c>
      <c r="M63" s="58">
        <f>I_O!$N211</f>
        <v>0</v>
      </c>
      <c r="N63" s="58">
        <f>I_O!$N211</f>
        <v>0</v>
      </c>
      <c r="O63" s="58">
        <f>I_O!$N211</f>
        <v>0</v>
      </c>
      <c r="P63" s="58">
        <f>I_O!$N211</f>
        <v>0</v>
      </c>
      <c r="Q63" s="58">
        <f>I_O!$N211</f>
        <v>0</v>
      </c>
    </row>
    <row r="64" spans="1:17" x14ac:dyDescent="0.25">
      <c r="A64" s="57" t="str">
        <f>I_O!A212</f>
        <v>DDGS (kg/yr)</v>
      </c>
      <c r="B64" s="58">
        <f>I_O!$N212</f>
        <v>0.15435501700000001</v>
      </c>
      <c r="C64" s="58">
        <f>I_O!$N212</f>
        <v>0.15435501700000001</v>
      </c>
      <c r="D64" s="58">
        <f>I_O!$N212</f>
        <v>0.15435501700000001</v>
      </c>
      <c r="E64" s="58">
        <f>I_O!$N212</f>
        <v>0.15435501700000001</v>
      </c>
      <c r="F64" s="58"/>
      <c r="G64" s="58">
        <f>I_O!$N212</f>
        <v>0.15435501700000001</v>
      </c>
      <c r="H64" s="58">
        <f>I_O!$N212</f>
        <v>0.15435501700000001</v>
      </c>
      <c r="I64" s="58">
        <f>I_O!$N212</f>
        <v>0.15435501700000001</v>
      </c>
      <c r="J64" s="58">
        <f>I_O!$N212</f>
        <v>0.15435501700000001</v>
      </c>
      <c r="K64" s="58">
        <f>I_O!$N212</f>
        <v>0.15435501700000001</v>
      </c>
      <c r="L64" s="58">
        <f>I_O!$N212</f>
        <v>0.15435501700000001</v>
      </c>
      <c r="M64" s="58">
        <f>I_O!$N212</f>
        <v>0.15435501700000001</v>
      </c>
      <c r="N64" s="58">
        <f>I_O!$N212</f>
        <v>0.15435501700000001</v>
      </c>
      <c r="O64" s="58">
        <f>I_O!$N212</f>
        <v>0.15435501700000001</v>
      </c>
      <c r="P64" s="58">
        <f>I_O!$N212</f>
        <v>0.15435501700000001</v>
      </c>
      <c r="Q64" s="58">
        <f>I_O!$N212</f>
        <v>0.15435501700000001</v>
      </c>
    </row>
    <row r="65" spans="1:17" x14ac:dyDescent="0.25">
      <c r="A65" s="57" t="str">
        <f>I_O!A213</f>
        <v>Glycerin (kg/yr)</v>
      </c>
      <c r="B65" s="58">
        <f>I_O!$N213</f>
        <v>0.13200000000000001</v>
      </c>
      <c r="C65" s="58">
        <f>I_O!$N213</f>
        <v>0.13200000000000001</v>
      </c>
      <c r="D65" s="58">
        <f>I_O!$N213</f>
        <v>0.13200000000000001</v>
      </c>
      <c r="E65" s="58">
        <f>I_O!$N213</f>
        <v>0.13200000000000001</v>
      </c>
      <c r="F65" s="58"/>
      <c r="G65" s="58">
        <f>I_O!$N213</f>
        <v>0.13200000000000001</v>
      </c>
      <c r="H65" s="58">
        <f>I_O!$N213</f>
        <v>0.13200000000000001</v>
      </c>
      <c r="I65" s="58">
        <f>I_O!$N213</f>
        <v>0.13200000000000001</v>
      </c>
      <c r="J65" s="58">
        <f>I_O!$N213</f>
        <v>0.13200000000000001</v>
      </c>
      <c r="K65" s="58">
        <f>I_O!$N213</f>
        <v>0.13200000000000001</v>
      </c>
      <c r="L65" s="58">
        <f>I_O!$N213</f>
        <v>0.13200000000000001</v>
      </c>
      <c r="M65" s="58">
        <f>I_O!$N213</f>
        <v>0.13200000000000001</v>
      </c>
      <c r="N65" s="58">
        <f>I_O!$N213</f>
        <v>0.13200000000000001</v>
      </c>
      <c r="O65" s="58">
        <f>I_O!$N213</f>
        <v>0.13200000000000001</v>
      </c>
      <c r="P65" s="58">
        <f>I_O!$N213</f>
        <v>0.13200000000000001</v>
      </c>
      <c r="Q65" s="58">
        <f>I_O!$N213</f>
        <v>0.13200000000000001</v>
      </c>
    </row>
    <row r="66" spans="1:17" x14ac:dyDescent="0.25">
      <c r="A66" s="57" t="str">
        <f>I_O!A214</f>
        <v>MSW Co-Products (kg/yr)</v>
      </c>
      <c r="B66" s="58">
        <f>I_O!$N214</f>
        <v>0.33</v>
      </c>
      <c r="C66" s="58">
        <f>I_O!$N214</f>
        <v>0.33</v>
      </c>
      <c r="D66" s="58">
        <f>I_O!$N214</f>
        <v>0.33</v>
      </c>
      <c r="E66" s="58">
        <f>I_O!$N214</f>
        <v>0.33</v>
      </c>
      <c r="F66" s="58"/>
      <c r="G66" s="58">
        <f>I_O!$N214</f>
        <v>0.33</v>
      </c>
      <c r="H66" s="58">
        <f>I_O!$N214</f>
        <v>0.33</v>
      </c>
      <c r="I66" s="58">
        <f>I_O!$N214</f>
        <v>0.33</v>
      </c>
      <c r="J66" s="58">
        <f>I_O!$N214</f>
        <v>0.33</v>
      </c>
      <c r="K66" s="58">
        <f>I_O!$N214</f>
        <v>0.33</v>
      </c>
      <c r="L66" s="58">
        <f>I_O!$N214</f>
        <v>0.33</v>
      </c>
      <c r="M66" s="58">
        <f>I_O!$N214</f>
        <v>0.33</v>
      </c>
      <c r="N66" s="58">
        <f>I_O!$N214</f>
        <v>0.33</v>
      </c>
      <c r="O66" s="58">
        <f>I_O!$N214</f>
        <v>0.33</v>
      </c>
      <c r="P66" s="58">
        <f>I_O!$N214</f>
        <v>0.33</v>
      </c>
      <c r="Q66" s="58">
        <f>I_O!$N214</f>
        <v>0.33</v>
      </c>
    </row>
    <row r="67" spans="1:17" x14ac:dyDescent="0.25">
      <c r="A67" s="57" t="str">
        <f>I_O!A215</f>
        <v>Nitrogen Gas (kg/yr)</v>
      </c>
      <c r="B67" s="58">
        <f>I_O!$N215</f>
        <v>0</v>
      </c>
      <c r="C67" s="58">
        <f>I_O!$N215</f>
        <v>0</v>
      </c>
      <c r="D67" s="58">
        <f>I_O!$N215</f>
        <v>0</v>
      </c>
      <c r="E67" s="58">
        <f>I_O!$N215</f>
        <v>0</v>
      </c>
      <c r="F67" s="58"/>
      <c r="G67" s="58">
        <f>I_O!$N215</f>
        <v>0</v>
      </c>
      <c r="H67" s="58">
        <f>I_O!$N215</f>
        <v>0</v>
      </c>
      <c r="I67" s="58">
        <f>I_O!$N215</f>
        <v>0</v>
      </c>
      <c r="J67" s="58">
        <f>I_O!$N215</f>
        <v>0</v>
      </c>
      <c r="K67" s="58">
        <f>I_O!$N215</f>
        <v>0</v>
      </c>
      <c r="L67" s="58">
        <f>I_O!$N215</f>
        <v>0</v>
      </c>
      <c r="M67" s="58">
        <f>I_O!$N215</f>
        <v>0</v>
      </c>
      <c r="N67" s="58">
        <f>I_O!$N215</f>
        <v>0</v>
      </c>
      <c r="O67" s="58">
        <f>I_O!$N215</f>
        <v>0</v>
      </c>
      <c r="P67" s="58">
        <f>I_O!$N215</f>
        <v>0</v>
      </c>
      <c r="Q67" s="58">
        <f>I_O!$N215</f>
        <v>0</v>
      </c>
    </row>
    <row r="68" spans="1:17" x14ac:dyDescent="0.25">
      <c r="A68" s="57" t="str">
        <f>I_O!A216</f>
        <v>Refused Derived Fuel (kg/yr)</v>
      </c>
      <c r="B68" s="58">
        <f>I_O!$N216</f>
        <v>0</v>
      </c>
      <c r="C68" s="58">
        <f>I_O!$N216</f>
        <v>0</v>
      </c>
      <c r="D68" s="58">
        <f>I_O!$N216</f>
        <v>0</v>
      </c>
      <c r="E68" s="58">
        <f>I_O!$N216</f>
        <v>0</v>
      </c>
      <c r="F68" s="58"/>
      <c r="G68" s="58">
        <f>I_O!$N216</f>
        <v>0</v>
      </c>
      <c r="H68" s="58">
        <f>I_O!$N216</f>
        <v>0</v>
      </c>
      <c r="I68" s="58">
        <f>I_O!$N216</f>
        <v>0</v>
      </c>
      <c r="J68" s="58">
        <f>I_O!$N216</f>
        <v>0</v>
      </c>
      <c r="K68" s="58">
        <f>I_O!$N216</f>
        <v>0</v>
      </c>
      <c r="L68" s="58">
        <f>I_O!$N216</f>
        <v>0</v>
      </c>
      <c r="M68" s="58">
        <f>I_O!$N216</f>
        <v>0</v>
      </c>
      <c r="N68" s="58">
        <f>I_O!$N216</f>
        <v>0</v>
      </c>
      <c r="O68" s="58">
        <f>I_O!$N216</f>
        <v>0</v>
      </c>
      <c r="P68" s="58">
        <f>I_O!$N216</f>
        <v>0</v>
      </c>
      <c r="Q68" s="58">
        <f>I_O!$N216</f>
        <v>0</v>
      </c>
    </row>
    <row r="69" spans="1:17" x14ac:dyDescent="0.25">
      <c r="A69" s="57" t="str">
        <f>I_O!A217</f>
        <v>Slag (kg/yr)</v>
      </c>
      <c r="B69" s="58">
        <f>I_O!$N217</f>
        <v>-2.5899999999999999E-2</v>
      </c>
      <c r="C69" s="58">
        <f>I_O!$N217</f>
        <v>-2.5899999999999999E-2</v>
      </c>
      <c r="D69" s="58">
        <f>I_O!$N217</f>
        <v>-2.5899999999999999E-2</v>
      </c>
      <c r="E69" s="58">
        <f>I_O!$N217</f>
        <v>-2.5899999999999999E-2</v>
      </c>
      <c r="F69" s="58"/>
      <c r="G69" s="58">
        <f>I_O!$N217</f>
        <v>-2.5899999999999999E-2</v>
      </c>
      <c r="H69" s="58">
        <f>I_O!$N217</f>
        <v>-2.5899999999999999E-2</v>
      </c>
      <c r="I69" s="58">
        <f>I_O!$N217</f>
        <v>-2.5899999999999999E-2</v>
      </c>
      <c r="J69" s="58">
        <f>I_O!$N217</f>
        <v>-2.5899999999999999E-2</v>
      </c>
      <c r="K69" s="58">
        <f>I_O!$N217</f>
        <v>-2.5899999999999999E-2</v>
      </c>
      <c r="L69" s="58">
        <f>I_O!$N217</f>
        <v>-2.5899999999999999E-2</v>
      </c>
      <c r="M69" s="58">
        <f>I_O!$N217</f>
        <v>-2.5899999999999999E-2</v>
      </c>
      <c r="N69" s="58">
        <f>I_O!$N217</f>
        <v>-2.5899999999999999E-2</v>
      </c>
      <c r="O69" s="58">
        <f>I_O!$N217</f>
        <v>-2.5899999999999999E-2</v>
      </c>
      <c r="P69" s="58">
        <f>I_O!$N217</f>
        <v>-2.5899999999999999E-2</v>
      </c>
      <c r="Q69" s="58">
        <f>I_O!$N217</f>
        <v>-2.5899999999999999E-2</v>
      </c>
    </row>
    <row r="70" spans="1:17" x14ac:dyDescent="0.25">
      <c r="A70" s="57" t="str">
        <f>I_O!A218</f>
        <v>Soybean Meal (kg/yr)</v>
      </c>
      <c r="B70" s="58">
        <f>I_O!$N218</f>
        <v>0.35</v>
      </c>
      <c r="C70" s="58">
        <f>I_O!$N218</f>
        <v>0.35</v>
      </c>
      <c r="D70" s="58">
        <f>I_O!$N218</f>
        <v>0.35</v>
      </c>
      <c r="E70" s="58">
        <f>I_O!$N218</f>
        <v>0.35</v>
      </c>
      <c r="F70" s="58"/>
      <c r="G70" s="58">
        <f>I_O!$N218</f>
        <v>0.35</v>
      </c>
      <c r="H70" s="58">
        <f>I_O!$N218</f>
        <v>0.35</v>
      </c>
      <c r="I70" s="58">
        <f>I_O!$N218</f>
        <v>0.35</v>
      </c>
      <c r="J70" s="58">
        <f>I_O!$N218</f>
        <v>0.35</v>
      </c>
      <c r="K70" s="58">
        <f>I_O!$N218</f>
        <v>0.35</v>
      </c>
      <c r="L70" s="58">
        <f>I_O!$N218</f>
        <v>0.35</v>
      </c>
      <c r="M70" s="58">
        <f>I_O!$N218</f>
        <v>0.35</v>
      </c>
      <c r="N70" s="58">
        <f>I_O!$N218</f>
        <v>0.35</v>
      </c>
      <c r="O70" s="58">
        <f>I_O!$N218</f>
        <v>0.35</v>
      </c>
      <c r="P70" s="58">
        <f>I_O!$N218</f>
        <v>0.35</v>
      </c>
      <c r="Q70" s="58">
        <f>I_O!$N218</f>
        <v>0.35</v>
      </c>
    </row>
    <row r="71" spans="1:17" x14ac:dyDescent="0.25">
      <c r="A71" s="57" t="str">
        <f>I_O!A219</f>
        <v>Soybean Oil (kg/yr)</v>
      </c>
      <c r="B71" s="58">
        <f>I_O!$N219</f>
        <v>0</v>
      </c>
      <c r="C71" s="58">
        <f>I_O!$N219</f>
        <v>0</v>
      </c>
      <c r="D71" s="58">
        <f>I_O!$N219</f>
        <v>0</v>
      </c>
      <c r="E71" s="58">
        <f>I_O!$N219</f>
        <v>0</v>
      </c>
      <c r="F71" s="58"/>
      <c r="G71" s="58">
        <f>I_O!$N219</f>
        <v>0</v>
      </c>
      <c r="H71" s="58">
        <f>I_O!$N219</f>
        <v>0</v>
      </c>
      <c r="I71" s="58">
        <f>I_O!$N219</f>
        <v>0</v>
      </c>
      <c r="J71" s="58">
        <f>I_O!$N219</f>
        <v>0</v>
      </c>
      <c r="K71" s="58">
        <f>I_O!$N219</f>
        <v>0</v>
      </c>
      <c r="L71" s="58">
        <f>I_O!$N219</f>
        <v>0</v>
      </c>
      <c r="M71" s="58">
        <f>I_O!$N219</f>
        <v>0</v>
      </c>
      <c r="N71" s="58">
        <f>I_O!$N219</f>
        <v>0</v>
      </c>
      <c r="O71" s="58">
        <f>I_O!$N219</f>
        <v>0</v>
      </c>
      <c r="P71" s="58">
        <f>I_O!$N219</f>
        <v>0</v>
      </c>
      <c r="Q71" s="58">
        <f>I_O!$N219</f>
        <v>0</v>
      </c>
    </row>
    <row r="72" spans="1:17" x14ac:dyDescent="0.25">
      <c r="A72" s="57" t="str">
        <f>I_O!A220</f>
        <v>Soybeans (kg/yr)</v>
      </c>
      <c r="B72" s="58">
        <f>I_O!$N220</f>
        <v>0.55000000000000004</v>
      </c>
      <c r="C72" s="58">
        <f>I_O!$N220</f>
        <v>0.55000000000000004</v>
      </c>
      <c r="D72" s="58">
        <f>I_O!$N220</f>
        <v>0.55000000000000004</v>
      </c>
      <c r="E72" s="58">
        <f>I_O!$N220</f>
        <v>0.55000000000000004</v>
      </c>
      <c r="F72" s="58"/>
      <c r="G72" s="58">
        <f>I_O!$N220</f>
        <v>0.55000000000000004</v>
      </c>
      <c r="H72" s="58">
        <f>I_O!$N220</f>
        <v>0.55000000000000004</v>
      </c>
      <c r="I72" s="58">
        <f>I_O!$N220</f>
        <v>0.55000000000000004</v>
      </c>
      <c r="J72" s="58">
        <f>I_O!$N220</f>
        <v>0.55000000000000004</v>
      </c>
      <c r="K72" s="58">
        <f>I_O!$N220</f>
        <v>0.55000000000000004</v>
      </c>
      <c r="L72" s="58">
        <f>I_O!$N220</f>
        <v>0.55000000000000004</v>
      </c>
      <c r="M72" s="58">
        <f>I_O!$N220</f>
        <v>0.55000000000000004</v>
      </c>
      <c r="N72" s="58">
        <f>I_O!$N220</f>
        <v>0.55000000000000004</v>
      </c>
      <c r="O72" s="58">
        <f>I_O!$N220</f>
        <v>0.55000000000000004</v>
      </c>
      <c r="P72" s="58">
        <f>I_O!$N220</f>
        <v>0.55000000000000004</v>
      </c>
      <c r="Q72" s="58">
        <f>I_O!$N220</f>
        <v>0.55000000000000004</v>
      </c>
    </row>
    <row r="73" spans="1:17" x14ac:dyDescent="0.25">
      <c r="A73" s="57" t="str">
        <f>I_O!A221</f>
        <v>Syncrude (kg/yr)</v>
      </c>
      <c r="B73" s="58">
        <f>I_O!$N221</f>
        <v>0</v>
      </c>
      <c r="C73" s="58">
        <f>I_O!$N221</f>
        <v>0</v>
      </c>
      <c r="D73" s="58">
        <f>I_O!$N221</f>
        <v>0</v>
      </c>
      <c r="E73" s="58">
        <f>I_O!$N221</f>
        <v>0</v>
      </c>
      <c r="F73" s="58"/>
      <c r="G73" s="58">
        <f>I_O!$N221</f>
        <v>0</v>
      </c>
      <c r="H73" s="58">
        <f>I_O!$N221</f>
        <v>0</v>
      </c>
      <c r="I73" s="58">
        <f>I_O!$N221</f>
        <v>0</v>
      </c>
      <c r="J73" s="58">
        <f>I_O!$N221</f>
        <v>0</v>
      </c>
      <c r="K73" s="58">
        <f>I_O!$N221</f>
        <v>0</v>
      </c>
      <c r="L73" s="58">
        <f>I_O!$N221</f>
        <v>0</v>
      </c>
      <c r="M73" s="58">
        <f>I_O!$N221</f>
        <v>0</v>
      </c>
      <c r="N73" s="58">
        <f>I_O!$N221</f>
        <v>0</v>
      </c>
      <c r="O73" s="58">
        <f>I_O!$N221</f>
        <v>0</v>
      </c>
      <c r="P73" s="58">
        <f>I_O!$N221</f>
        <v>0</v>
      </c>
      <c r="Q73" s="58">
        <f>I_O!$N221</f>
        <v>0</v>
      </c>
    </row>
    <row r="74" spans="1:17" x14ac:dyDescent="0.25">
      <c r="A74" s="57" t="str">
        <f>I_O!A222</f>
        <v>Wastewater, Gasification (kg/yr)</v>
      </c>
      <c r="B74" s="58">
        <f>I_O!$N222</f>
        <v>-1.17E-3</v>
      </c>
      <c r="C74" s="58">
        <f>I_O!$N222</f>
        <v>-1.17E-3</v>
      </c>
      <c r="D74" s="58">
        <f>I_O!$N222</f>
        <v>-1.17E-3</v>
      </c>
      <c r="E74" s="58">
        <f>I_O!$N222</f>
        <v>-1.17E-3</v>
      </c>
      <c r="F74" s="58"/>
      <c r="G74" s="58">
        <f>I_O!$N222</f>
        <v>-1.17E-3</v>
      </c>
      <c r="H74" s="58">
        <f>I_O!$N222</f>
        <v>-1.17E-3</v>
      </c>
      <c r="I74" s="58">
        <f>I_O!$N222</f>
        <v>-1.17E-3</v>
      </c>
      <c r="J74" s="58">
        <f>I_O!$N222</f>
        <v>-1.17E-3</v>
      </c>
      <c r="K74" s="58">
        <f>I_O!$N222</f>
        <v>-1.17E-3</v>
      </c>
      <c r="L74" s="58">
        <f>I_O!$N222</f>
        <v>-1.17E-3</v>
      </c>
      <c r="M74" s="58">
        <f>I_O!$N222</f>
        <v>-1.17E-3</v>
      </c>
      <c r="N74" s="58">
        <f>I_O!$N222</f>
        <v>-1.17E-3</v>
      </c>
      <c r="O74" s="58">
        <f>I_O!$N222</f>
        <v>-1.17E-3</v>
      </c>
      <c r="P74" s="58">
        <f>I_O!$N222</f>
        <v>-1.17E-3</v>
      </c>
      <c r="Q74" s="58">
        <f>I_O!$N222</f>
        <v>-1.17E-3</v>
      </c>
    </row>
    <row r="75" spans="1:17" x14ac:dyDescent="0.25">
      <c r="A75" s="57" t="str">
        <f>I_O!A223</f>
        <v>Water, Output (kg/yr)</v>
      </c>
      <c r="B75" s="58">
        <f>I_O!$N223</f>
        <v>0</v>
      </c>
      <c r="C75" s="58">
        <f>I_O!$N223</f>
        <v>0</v>
      </c>
      <c r="D75" s="58">
        <f>I_O!$N223</f>
        <v>0</v>
      </c>
      <c r="E75" s="58">
        <f>I_O!$N223</f>
        <v>0</v>
      </c>
      <c r="F75" s="58"/>
      <c r="G75" s="58">
        <f>I_O!$N223</f>
        <v>0</v>
      </c>
      <c r="H75" s="58">
        <f>I_O!$N223</f>
        <v>0</v>
      </c>
      <c r="I75" s="58">
        <f>I_O!$N223</f>
        <v>0</v>
      </c>
      <c r="J75" s="58">
        <f>I_O!$N223</f>
        <v>0</v>
      </c>
      <c r="K75" s="58">
        <f>I_O!$N223</f>
        <v>0</v>
      </c>
      <c r="L75" s="58">
        <f>I_O!$N223</f>
        <v>0</v>
      </c>
      <c r="M75" s="58">
        <f>I_O!$N223</f>
        <v>0</v>
      </c>
      <c r="N75" s="58">
        <f>I_O!$N223</f>
        <v>0</v>
      </c>
      <c r="O75" s="58">
        <f>I_O!$N223</f>
        <v>0</v>
      </c>
      <c r="P75" s="58">
        <f>I_O!$N223</f>
        <v>0</v>
      </c>
      <c r="Q75" s="58">
        <f>I_O!$N223</f>
        <v>0</v>
      </c>
    </row>
    <row r="76" spans="1:17" x14ac:dyDescent="0.25">
      <c r="A76" s="57" t="str">
        <f>I_O!A224</f>
        <v>WDGS (kg/yr)</v>
      </c>
      <c r="B76" s="58">
        <f>I_O!$N224</f>
        <v>0</v>
      </c>
      <c r="C76" s="58">
        <f>I_O!$N224</f>
        <v>0</v>
      </c>
      <c r="D76" s="58">
        <f>I_O!$N224</f>
        <v>0</v>
      </c>
      <c r="E76" s="58">
        <f>I_O!$N224</f>
        <v>0</v>
      </c>
      <c r="F76" s="58"/>
      <c r="G76" s="58">
        <f>I_O!$N224</f>
        <v>0</v>
      </c>
      <c r="H76" s="58">
        <f>I_O!$N224</f>
        <v>0</v>
      </c>
      <c r="I76" s="58">
        <f>I_O!$N224</f>
        <v>0</v>
      </c>
      <c r="J76" s="58">
        <f>I_O!$N224</f>
        <v>0</v>
      </c>
      <c r="K76" s="58">
        <f>I_O!$N224</f>
        <v>0</v>
      </c>
      <c r="L76" s="58">
        <f>I_O!$N224</f>
        <v>0</v>
      </c>
      <c r="M76" s="58">
        <f>I_O!$N224</f>
        <v>0</v>
      </c>
      <c r="N76" s="58">
        <f>I_O!$N224</f>
        <v>0</v>
      </c>
      <c r="O76" s="58">
        <f>I_O!$N224</f>
        <v>0</v>
      </c>
      <c r="P76" s="58">
        <f>I_O!$N224</f>
        <v>0</v>
      </c>
      <c r="Q76" s="58">
        <f>I_O!$N224</f>
        <v>0</v>
      </c>
    </row>
    <row r="77" spans="1:17" x14ac:dyDescent="0.25">
      <c r="A77" s="57" t="str">
        <f>I_O!A225</f>
        <v>WOG, Delivered (kg/yr)</v>
      </c>
      <c r="B77" s="58">
        <f>I_O!$N225</f>
        <v>0</v>
      </c>
      <c r="C77" s="58">
        <f>I_O!$N225</f>
        <v>0</v>
      </c>
      <c r="D77" s="58">
        <f>I_O!$N225</f>
        <v>0</v>
      </c>
      <c r="E77" s="58">
        <f>I_O!$N225</f>
        <v>0</v>
      </c>
      <c r="F77" s="58"/>
      <c r="G77" s="58">
        <f>I_O!$N225</f>
        <v>0</v>
      </c>
      <c r="H77" s="58">
        <f>I_O!$N225</f>
        <v>0</v>
      </c>
      <c r="I77" s="58">
        <f>I_O!$N225</f>
        <v>0</v>
      </c>
      <c r="J77" s="58">
        <f>I_O!$N225</f>
        <v>0</v>
      </c>
      <c r="K77" s="58">
        <f>I_O!$N225</f>
        <v>0</v>
      </c>
      <c r="L77" s="58">
        <f>I_O!$N225</f>
        <v>0</v>
      </c>
      <c r="M77" s="58">
        <f>I_O!$N225</f>
        <v>0</v>
      </c>
      <c r="N77" s="58">
        <f>I_O!$N225</f>
        <v>0</v>
      </c>
      <c r="O77" s="58">
        <f>I_O!$N225</f>
        <v>0</v>
      </c>
      <c r="P77" s="58">
        <f>I_O!$N225</f>
        <v>0</v>
      </c>
      <c r="Q77" s="58">
        <f>I_O!$N225</f>
        <v>0</v>
      </c>
    </row>
    <row r="78" spans="1:17" x14ac:dyDescent="0.25">
      <c r="A78" s="57" t="str">
        <f>I_O!A226</f>
        <v>Woody Biomass (kg/yr)</v>
      </c>
      <c r="B78" s="58">
        <f>I_O!$N226</f>
        <v>0</v>
      </c>
      <c r="C78" s="58">
        <f>I_O!$N226</f>
        <v>0</v>
      </c>
      <c r="D78" s="58">
        <f>I_O!$N226</f>
        <v>0</v>
      </c>
      <c r="E78" s="58">
        <f>I_O!$N226</f>
        <v>0</v>
      </c>
      <c r="F78" s="58"/>
      <c r="G78" s="58">
        <f>I_O!$N226</f>
        <v>0</v>
      </c>
      <c r="H78" s="58">
        <f>I_O!$N226</f>
        <v>0</v>
      </c>
      <c r="I78" s="58">
        <f>I_O!$N226</f>
        <v>0</v>
      </c>
      <c r="J78" s="58">
        <f>I_O!$N226</f>
        <v>0</v>
      </c>
      <c r="K78" s="58">
        <f>I_O!$N226</f>
        <v>0</v>
      </c>
      <c r="L78" s="58">
        <f>I_O!$N226</f>
        <v>0</v>
      </c>
      <c r="M78" s="58">
        <f>I_O!$N226</f>
        <v>0</v>
      </c>
      <c r="N78" s="58">
        <f>I_O!$N226</f>
        <v>0</v>
      </c>
      <c r="O78" s="58">
        <f>I_O!$N226</f>
        <v>0</v>
      </c>
      <c r="P78" s="58">
        <f>I_O!$N226</f>
        <v>0</v>
      </c>
      <c r="Q78" s="58">
        <f>I_O!$N226</f>
        <v>0</v>
      </c>
    </row>
    <row r="79" spans="1:17" x14ac:dyDescent="0.25">
      <c r="A79" s="57" t="str">
        <f>I_O!A227</f>
        <v>Biodiesel, Produced (kg/yr)</v>
      </c>
      <c r="B79" s="295">
        <f>B$49*(LCI!$E87/LCI!$E$91)</f>
        <v>4.4658619830798605</v>
      </c>
      <c r="C79" s="295">
        <f>C$49*(LCI!$E87/LCI!$E$91)</f>
        <v>4.0488723892728178</v>
      </c>
      <c r="D79" s="70">
        <f>D$49*(LCI!$E87/LCI!$E$91)</f>
        <v>1.7380294659300186</v>
      </c>
      <c r="E79" s="70">
        <f>E$49*(LCI!$E87/LCI!$E$91)</f>
        <v>1.7380294659300186</v>
      </c>
      <c r="F79" s="70"/>
      <c r="G79" s="70">
        <f>G$49*(LCI!$E87/LCI!$E$91)</f>
        <v>1.7380294659300186</v>
      </c>
      <c r="H79" s="70">
        <f>H$49*(LCI!$E87/LCI!$E$91)</f>
        <v>1.7380294659300186</v>
      </c>
      <c r="I79" s="70">
        <f>I$49*(LCI!$E87/LCI!$E$91)</f>
        <v>8.461909505473141</v>
      </c>
      <c r="J79" s="70">
        <f>J$49*(LCI!$E87/LCI!$E$91)</f>
        <v>1.7380294659300186</v>
      </c>
      <c r="K79" s="70">
        <f>K$49*(LCI!$E87/LCI!$E$91)</f>
        <v>1.7380294659300186</v>
      </c>
      <c r="L79" s="70">
        <f>L$49*(LCI!$E87/LCI!$E$91)</f>
        <v>1.7380294659300186</v>
      </c>
      <c r="M79" s="70">
        <f>M$49*(LCI!$E87/LCI!$E$91)</f>
        <v>1.7380294659300186</v>
      </c>
      <c r="N79" s="70">
        <f>N$49*(LCI!$E87/LCI!$E$91)</f>
        <v>1.7380294659300186</v>
      </c>
      <c r="O79" s="70">
        <f>O$49*(LCI!$E87/LCI!$E$91)</f>
        <v>1.7380294659300186</v>
      </c>
      <c r="P79" s="70">
        <f>P$49*(LCI!$E87/LCI!$E$91)</f>
        <v>1.7380294659300186</v>
      </c>
      <c r="Q79" s="70">
        <f>Q$49*(LCI!$E87/LCI!$E$91)</f>
        <v>1.7380294659300186</v>
      </c>
    </row>
    <row r="80" spans="1:17" x14ac:dyDescent="0.25">
      <c r="A80" s="57" t="str">
        <f>I_O!A228</f>
        <v>Diesel, Produced (kg/yr)</v>
      </c>
      <c r="B80" s="70">
        <f>B$49*(LCI!$E88/LCI!$E$91)</f>
        <v>5.0839846019299877</v>
      </c>
      <c r="C80" s="70">
        <f>C$49*(LCI!$E88/LCI!$E$91)</f>
        <v>4.6092792299072674</v>
      </c>
      <c r="D80" s="70">
        <f>D$49*(LCI!$E88/LCI!$E$91)</f>
        <v>1.9785911602209947</v>
      </c>
      <c r="E80" s="70">
        <f>E$49*(LCI!$E88/LCI!$E$91)</f>
        <v>1.9785911602209947</v>
      </c>
      <c r="F80" s="70"/>
      <c r="G80" s="70">
        <f>G$49*(LCI!$E88/LCI!$E$91)</f>
        <v>1.9785911602209947</v>
      </c>
      <c r="H80" s="70">
        <f>H$49*(LCI!$E88/LCI!$E$91)</f>
        <v>1.9785911602209947</v>
      </c>
      <c r="I80" s="70">
        <f>I$49*(LCI!$E88/LCI!$E$91)</f>
        <v>9.6331274436479006</v>
      </c>
      <c r="J80" s="70">
        <f>J$49*(LCI!$E88/LCI!$E$91)</f>
        <v>1.9785911602209947</v>
      </c>
      <c r="K80" s="70">
        <f>K$49*(LCI!$E88/LCI!$E$91)</f>
        <v>1.9785911602209947</v>
      </c>
      <c r="L80" s="70">
        <f>L$49*(LCI!$E88/LCI!$E$91)</f>
        <v>1.9785911602209947</v>
      </c>
      <c r="M80" s="70">
        <f>M$49*(LCI!$E88/LCI!$E$91)</f>
        <v>1.9785911602209947</v>
      </c>
      <c r="N80" s="70">
        <f>N$49*(LCI!$E88/LCI!$E$91)</f>
        <v>1.9785911602209947</v>
      </c>
      <c r="O80" s="70">
        <f>O$49*(LCI!$E88/LCI!$E$91)</f>
        <v>1.9785911602209947</v>
      </c>
      <c r="P80" s="70">
        <f>P$49*(LCI!$E88/LCI!$E$91)</f>
        <v>1.9785911602209947</v>
      </c>
      <c r="Q80" s="70">
        <f>Q$49*(LCI!$E88/LCI!$E$91)</f>
        <v>1.9785911602209947</v>
      </c>
    </row>
    <row r="81" spans="1:17" x14ac:dyDescent="0.25">
      <c r="A81" s="57" t="str">
        <f>I_O!A229</f>
        <v>Electricity, Generated (MJ/yr)</v>
      </c>
      <c r="B81" s="58">
        <f>I_O!$N229</f>
        <v>1.8722222E-2</v>
      </c>
      <c r="C81" s="58">
        <f>I_O!$N229</f>
        <v>1.8722222E-2</v>
      </c>
      <c r="D81" s="58">
        <f>I_O!$N229</f>
        <v>1.8722222E-2</v>
      </c>
      <c r="E81" s="58">
        <f>I_O!$N229</f>
        <v>1.8722222E-2</v>
      </c>
      <c r="F81" s="58"/>
      <c r="G81" s="58">
        <f>I_O!$N229</f>
        <v>1.8722222E-2</v>
      </c>
      <c r="H81" s="58">
        <f>I_O!$N229</f>
        <v>1.8722222E-2</v>
      </c>
      <c r="I81" s="58">
        <f>I_O!$N229</f>
        <v>1.8722222E-2</v>
      </c>
      <c r="J81" s="58">
        <f>I_O!$N229</f>
        <v>1.8722222E-2</v>
      </c>
      <c r="K81" s="58">
        <f>I_O!$N229</f>
        <v>1.8722222E-2</v>
      </c>
      <c r="L81" s="58">
        <f>I_O!$N229</f>
        <v>1.8722222E-2</v>
      </c>
      <c r="M81" s="58">
        <f>I_O!$N229</f>
        <v>1.8722222E-2</v>
      </c>
      <c r="N81" s="58">
        <f>I_O!$N229</f>
        <v>1.8722222E-2</v>
      </c>
      <c r="O81" s="58">
        <f>I_O!$N229</f>
        <v>1.8722222E-2</v>
      </c>
      <c r="P81" s="58">
        <f>I_O!$N229</f>
        <v>1.8722222E-2</v>
      </c>
      <c r="Q81" s="58">
        <f>I_O!$N229</f>
        <v>1.8722222E-2</v>
      </c>
    </row>
    <row r="82" spans="1:17" x14ac:dyDescent="0.25">
      <c r="A82" s="57" t="str">
        <f>I_O!A230</f>
        <v>Ethanol (kg/yr)</v>
      </c>
      <c r="B82" s="70">
        <f>B$49*(LCI!$E90/LCI!$E$91)</f>
        <v>3.188211402490126</v>
      </c>
      <c r="C82" s="70">
        <f>C$49*(LCI!$E90/LCI!$E$91)</f>
        <v>2.8905194937987404</v>
      </c>
      <c r="D82" s="70">
        <f>D$49*(LCI!$E90/LCI!$E$91)</f>
        <v>1.2407918968692451</v>
      </c>
      <c r="E82" s="70">
        <f>E$49*(LCI!$E90/LCI!$E$91)</f>
        <v>1.2407918968692451</v>
      </c>
      <c r="F82" s="70"/>
      <c r="G82" s="70">
        <f>G$49*(LCI!$E90/LCI!$E$91)</f>
        <v>1.2407918968692451</v>
      </c>
      <c r="H82" s="70">
        <f>H$49*(LCI!$E90/LCI!$E$91)</f>
        <v>1.2407918968692451</v>
      </c>
      <c r="I82" s="70">
        <f>I$49*(LCI!$E90/LCI!$E$91)</f>
        <v>6.0410188390066537</v>
      </c>
      <c r="J82" s="70">
        <f>J$49*(LCI!$E90/LCI!$E$91)</f>
        <v>1.2407918968692451</v>
      </c>
      <c r="K82" s="70">
        <f>K$49*(LCI!$E90/LCI!$E$91)</f>
        <v>1.2407918968692451</v>
      </c>
      <c r="L82" s="70">
        <f>L$49*(LCI!$E90/LCI!$E$91)</f>
        <v>1.2407918968692451</v>
      </c>
      <c r="M82" s="70">
        <f>M$49*(LCI!$E90/LCI!$E$91)</f>
        <v>1.2407918968692451</v>
      </c>
      <c r="N82" s="70">
        <f>N$49*(LCI!$E90/LCI!$E$91)</f>
        <v>1.2407918968692451</v>
      </c>
      <c r="O82" s="70">
        <f>O$49*(LCI!$E90/LCI!$E$91)</f>
        <v>1.2407918968692451</v>
      </c>
      <c r="P82" s="70">
        <f>P$49*(LCI!$E90/LCI!$E$91)</f>
        <v>1.2407918968692451</v>
      </c>
      <c r="Q82" s="70">
        <f>Q$49*(LCI!$E90/LCI!$E$91)</f>
        <v>1.2407918968692451</v>
      </c>
    </row>
    <row r="83" spans="1:17" x14ac:dyDescent="0.25">
      <c r="A83" s="57" t="str">
        <f>I_O!A231</f>
        <v>Gasoline, Produced (kg/yr)</v>
      </c>
      <c r="B83" s="70">
        <f>B$49*(LCI!$E91/LCI!$E$91)</f>
        <v>5.1389945574831559</v>
      </c>
      <c r="C83" s="70">
        <f>C$49*(LCI!$E91/LCI!$E$91)</f>
        <v>4.6591527573512899</v>
      </c>
      <c r="D83" s="70">
        <f>D$49*(LCI!$E91/LCI!$E$91)</f>
        <v>2</v>
      </c>
      <c r="E83" s="70">
        <f>E$49*(LCI!$E91/LCI!$E$91)</f>
        <v>2</v>
      </c>
      <c r="F83" s="70"/>
      <c r="G83" s="70">
        <f>G$49*(LCI!$E91/LCI!$E$91)</f>
        <v>2</v>
      </c>
      <c r="H83" s="70">
        <f>H$49*(LCI!$E91/LCI!$E$91)</f>
        <v>2</v>
      </c>
      <c r="I83" s="70">
        <f>I$49*(LCI!$E91/LCI!$E$91)</f>
        <v>9.7373602362318739</v>
      </c>
      <c r="J83" s="70">
        <f>J$49*(LCI!$E91/LCI!$E$91)</f>
        <v>2</v>
      </c>
      <c r="K83" s="70">
        <f>K$49*(LCI!$E91/LCI!$E$91)</f>
        <v>2</v>
      </c>
      <c r="L83" s="70">
        <f>L$49*(LCI!$E91/LCI!$E$91)</f>
        <v>2</v>
      </c>
      <c r="M83" s="70">
        <f>M$49*(LCI!$E91/LCI!$E$91)</f>
        <v>2</v>
      </c>
      <c r="N83" s="70">
        <f>N$49*(LCI!$E91/LCI!$E$91)</f>
        <v>2</v>
      </c>
      <c r="O83" s="70">
        <f>O$49*(LCI!$E91/LCI!$E$91)</f>
        <v>2</v>
      </c>
      <c r="P83" s="70">
        <f>P$49*(LCI!$E91/LCI!$E$91)</f>
        <v>2</v>
      </c>
      <c r="Q83" s="70">
        <f>Q$49*(LCI!$E91/LCI!$E$91)</f>
        <v>2</v>
      </c>
    </row>
    <row r="84" spans="1:17" x14ac:dyDescent="0.25">
      <c r="A84" s="57" t="str">
        <f>I_O!A232</f>
        <v>Hydrogen, Produced (kg/yr)</v>
      </c>
      <c r="B84" s="58">
        <f>I_O!$N232</f>
        <v>3.2160000000000002</v>
      </c>
      <c r="C84" s="58">
        <f>I_O!$N232</f>
        <v>3.2160000000000002</v>
      </c>
      <c r="D84" s="58">
        <f>I_O!$N232</f>
        <v>3.2160000000000002</v>
      </c>
      <c r="E84" s="58">
        <f>I_O!$N232</f>
        <v>3.2160000000000002</v>
      </c>
      <c r="F84" s="58"/>
      <c r="G84" s="58">
        <f>I_O!$N232</f>
        <v>3.2160000000000002</v>
      </c>
      <c r="H84" s="58">
        <f>I_O!$N232</f>
        <v>3.2160000000000002</v>
      </c>
      <c r="I84" s="58">
        <f>I_O!$N232</f>
        <v>3.2160000000000002</v>
      </c>
      <c r="J84" s="58">
        <f>I_O!$N232</f>
        <v>3.2160000000000002</v>
      </c>
      <c r="K84" s="58">
        <f>I_O!$N232</f>
        <v>3.2160000000000002</v>
      </c>
      <c r="L84" s="58">
        <f>I_O!$N232</f>
        <v>3.2160000000000002</v>
      </c>
      <c r="M84" s="58">
        <f>I_O!$N232</f>
        <v>3.2160000000000002</v>
      </c>
      <c r="N84" s="58">
        <f>I_O!$N232</f>
        <v>3.2160000000000002</v>
      </c>
      <c r="O84" s="58">
        <f>I_O!$N232</f>
        <v>3.2160000000000002</v>
      </c>
      <c r="P84" s="58">
        <f>I_O!$N232</f>
        <v>3.2160000000000002</v>
      </c>
      <c r="Q84" s="58">
        <f>I_O!$N232</f>
        <v>3.2160000000000002</v>
      </c>
    </row>
    <row r="85" spans="1:17" x14ac:dyDescent="0.25">
      <c r="A85" s="57" t="str">
        <f>I_O!A233</f>
        <v>Jet A-1 (kg/yr)</v>
      </c>
      <c r="B85" s="70">
        <f>B$49*(LCI!$E93/LCI!$E$91)</f>
        <v>5.441845065474797</v>
      </c>
      <c r="C85" s="70">
        <f>C$49*(LCI!$E93/LCI!$E$91)</f>
        <v>4.9337252955377382</v>
      </c>
      <c r="D85" s="70">
        <f>D$49*(LCI!$E93/LCI!$E$91)</f>
        <v>2.117863720073665</v>
      </c>
      <c r="E85" s="70">
        <f>E$49*(LCI!$E93/LCI!$E$91)</f>
        <v>2.117863720073665</v>
      </c>
      <c r="F85" s="70"/>
      <c r="G85" s="70">
        <f>G$49*(LCI!$E93/LCI!$E$91)</f>
        <v>2.117863720073665</v>
      </c>
      <c r="H85" s="70">
        <f>H$49*(LCI!$E93/LCI!$E$91)</f>
        <v>2.117863720073665</v>
      </c>
      <c r="I85" s="70">
        <f>I$49*(LCI!$E93/LCI!$E$91)</f>
        <v>10.311200986801708</v>
      </c>
      <c r="J85" s="70">
        <f>J$49*(LCI!$E93/LCI!$E$91)</f>
        <v>2.117863720073665</v>
      </c>
      <c r="K85" s="70">
        <f>K$49*(LCI!$E93/LCI!$E$91)</f>
        <v>2.117863720073665</v>
      </c>
      <c r="L85" s="70">
        <f>L$49*(LCI!$E93/LCI!$E$91)</f>
        <v>2.117863720073665</v>
      </c>
      <c r="M85" s="70">
        <f>M$49*(LCI!$E93/LCI!$E$91)</f>
        <v>2.117863720073665</v>
      </c>
      <c r="N85" s="70">
        <f>N$49*(LCI!$E93/LCI!$E$91)</f>
        <v>2.117863720073665</v>
      </c>
      <c r="O85" s="70">
        <f>O$49*(LCI!$E93/LCI!$E$91)</f>
        <v>2.117863720073665</v>
      </c>
      <c r="P85" s="70">
        <f>P$49*(LCI!$E93/LCI!$E$91)</f>
        <v>2.117863720073665</v>
      </c>
      <c r="Q85" s="70">
        <f>Q$49*(LCI!$E93/LCI!$E$91)</f>
        <v>2.117863720073665</v>
      </c>
    </row>
    <row r="86" spans="1:17" x14ac:dyDescent="0.25">
      <c r="A86" s="57" t="str">
        <f>I_O!A234</f>
        <v>Jet-A (kg/yr)</v>
      </c>
      <c r="B86" s="70">
        <f>B$49*(LCI!$E94/LCI!$E$91)</f>
        <v>5.441845065474797</v>
      </c>
      <c r="C86" s="70">
        <f>C$49*(LCI!$E94/LCI!$E$91)</f>
        <v>4.9337252955377382</v>
      </c>
      <c r="D86" s="70">
        <f>D$49*(LCI!$E94/LCI!$E$91)</f>
        <v>2.117863720073665</v>
      </c>
      <c r="E86" s="70">
        <f>E$49*(LCI!$E94/LCI!$E$91)</f>
        <v>2.117863720073665</v>
      </c>
      <c r="F86" s="70"/>
      <c r="G86" s="70">
        <f>G$49*(LCI!$E94/LCI!$E$91)</f>
        <v>2.117863720073665</v>
      </c>
      <c r="H86" s="70">
        <f>H$49*(LCI!$E94/LCI!$E$91)</f>
        <v>2.117863720073665</v>
      </c>
      <c r="I86" s="70">
        <f>I$49*(LCI!$E94/LCI!$E$91)</f>
        <v>10.311200986801708</v>
      </c>
      <c r="J86" s="70">
        <f>J$49*(LCI!$E94/LCI!$E$91)</f>
        <v>2.117863720073665</v>
      </c>
      <c r="K86" s="70">
        <f>K$49*(LCI!$E94/LCI!$E$91)</f>
        <v>2.117863720073665</v>
      </c>
      <c r="L86" s="70">
        <f>L$49*(LCI!$E94/LCI!$E$91)</f>
        <v>2.117863720073665</v>
      </c>
      <c r="M86" s="70">
        <f>M$49*(LCI!$E94/LCI!$E$91)</f>
        <v>2.117863720073665</v>
      </c>
      <c r="N86" s="70">
        <f>N$49*(LCI!$E94/LCI!$E$91)</f>
        <v>2.117863720073665</v>
      </c>
      <c r="O86" s="70">
        <f>O$49*(LCI!$E94/LCI!$E$91)</f>
        <v>2.117863720073665</v>
      </c>
      <c r="P86" s="70">
        <f>P$49*(LCI!$E94/LCI!$E$91)</f>
        <v>2.117863720073665</v>
      </c>
      <c r="Q86" s="70">
        <f>Q$49*(LCI!$E94/LCI!$E$91)</f>
        <v>2.117863720073665</v>
      </c>
    </row>
    <row r="87" spans="1:17" x14ac:dyDescent="0.25">
      <c r="A87" s="57" t="str">
        <f>I_O!A235</f>
        <v>JP-5 (kg/yr)</v>
      </c>
      <c r="B87" s="70">
        <f>B$49*(LCI!$E95/LCI!$E$91)</f>
        <v>5.441845065474797</v>
      </c>
      <c r="C87" s="70">
        <f>C$49*(LCI!$E95/LCI!$E$91)</f>
        <v>4.9337252955377382</v>
      </c>
      <c r="D87" s="70">
        <f>D$49*(LCI!$E95/LCI!$E$91)</f>
        <v>2.117863720073665</v>
      </c>
      <c r="E87" s="70">
        <f>E$49*(LCI!$E95/LCI!$E$91)</f>
        <v>2.117863720073665</v>
      </c>
      <c r="F87" s="70"/>
      <c r="G87" s="70">
        <f>G$49*(LCI!$E95/LCI!$E$91)</f>
        <v>2.117863720073665</v>
      </c>
      <c r="H87" s="70">
        <f>H$49*(LCI!$E95/LCI!$E$91)</f>
        <v>2.117863720073665</v>
      </c>
      <c r="I87" s="70">
        <f>I$49*(LCI!$E95/LCI!$E$91)</f>
        <v>10.311200986801708</v>
      </c>
      <c r="J87" s="70">
        <f>J$49*(LCI!$E95/LCI!$E$91)</f>
        <v>2.117863720073665</v>
      </c>
      <c r="K87" s="70">
        <f>K$49*(LCI!$E95/LCI!$E$91)</f>
        <v>2.117863720073665</v>
      </c>
      <c r="L87" s="70">
        <f>L$49*(LCI!$E95/LCI!$E$91)</f>
        <v>2.117863720073665</v>
      </c>
      <c r="M87" s="70">
        <f>M$49*(LCI!$E95/LCI!$E$91)</f>
        <v>2.117863720073665</v>
      </c>
      <c r="N87" s="70">
        <f>N$49*(LCI!$E95/LCI!$E$91)</f>
        <v>2.117863720073665</v>
      </c>
      <c r="O87" s="70">
        <f>O$49*(LCI!$E95/LCI!$E$91)</f>
        <v>2.117863720073665</v>
      </c>
      <c r="P87" s="70">
        <f>P$49*(LCI!$E95/LCI!$E$91)</f>
        <v>2.117863720073665</v>
      </c>
      <c r="Q87" s="70">
        <f>Q$49*(LCI!$E95/LCI!$E$91)</f>
        <v>2.117863720073665</v>
      </c>
    </row>
    <row r="88" spans="1:17" x14ac:dyDescent="0.25">
      <c r="A88" s="57" t="str">
        <f>I_O!A236</f>
        <v>JP-8 (kg/yr)</v>
      </c>
      <c r="B88" s="70">
        <f>B$49*(LCI!$E96/LCI!$E$91)</f>
        <v>5.441845065474797</v>
      </c>
      <c r="C88" s="70">
        <f>C$49*(LCI!$E96/LCI!$E$91)</f>
        <v>4.9337252955377382</v>
      </c>
      <c r="D88" s="70">
        <f>D$49*(LCI!$E96/LCI!$E$91)</f>
        <v>2.117863720073665</v>
      </c>
      <c r="E88" s="70">
        <f>E$49*(LCI!$E96/LCI!$E$91)</f>
        <v>2.117863720073665</v>
      </c>
      <c r="F88" s="70"/>
      <c r="G88" s="70">
        <f>G$49*(LCI!$E96/LCI!$E$91)</f>
        <v>2.117863720073665</v>
      </c>
      <c r="H88" s="70">
        <f>H$49*(LCI!$E96/LCI!$E$91)</f>
        <v>2.117863720073665</v>
      </c>
      <c r="I88" s="70">
        <f>I$49*(LCI!$E96/LCI!$E$91)</f>
        <v>10.311200986801708</v>
      </c>
      <c r="J88" s="70">
        <f>J$49*(LCI!$E96/LCI!$E$91)</f>
        <v>2.117863720073665</v>
      </c>
      <c r="K88" s="70">
        <f>K$49*(LCI!$E96/LCI!$E$91)</f>
        <v>2.117863720073665</v>
      </c>
      <c r="L88" s="70">
        <f>L$49*(LCI!$E96/LCI!$E$91)</f>
        <v>2.117863720073665</v>
      </c>
      <c r="M88" s="70">
        <f>M$49*(LCI!$E96/LCI!$E$91)</f>
        <v>2.117863720073665</v>
      </c>
      <c r="N88" s="70">
        <f>N$49*(LCI!$E96/LCI!$E$91)</f>
        <v>2.117863720073665</v>
      </c>
      <c r="O88" s="70">
        <f>O$49*(LCI!$E96/LCI!$E$91)</f>
        <v>2.117863720073665</v>
      </c>
      <c r="P88" s="70">
        <f>P$49*(LCI!$E96/LCI!$E$91)</f>
        <v>2.117863720073665</v>
      </c>
      <c r="Q88" s="70">
        <f>Q$49*(LCI!$E96/LCI!$E$91)</f>
        <v>2.117863720073665</v>
      </c>
    </row>
    <row r="89" spans="1:17" x14ac:dyDescent="0.25">
      <c r="A89" s="57" t="str">
        <f>I_O!A237</f>
        <v>LPG, Produced (kg/yr)</v>
      </c>
      <c r="B89" s="70">
        <f>B$49*(LCI!$E97/LCI!$E$91)</f>
        <v>5.7967480045275011</v>
      </c>
      <c r="C89" s="70">
        <f>C$49*(LCI!$E97/LCI!$E$91)</f>
        <v>5.2554899887249817</v>
      </c>
      <c r="D89" s="70">
        <f>D$49*(LCI!$E97/LCI!$E$91)</f>
        <v>2.2559852670349909</v>
      </c>
      <c r="E89" s="70">
        <f>E$49*(LCI!$E97/LCI!$E$91)</f>
        <v>2.2559852670349909</v>
      </c>
      <c r="F89" s="70"/>
      <c r="G89" s="70">
        <f>G$49*(LCI!$E97/LCI!$E$91)</f>
        <v>2.2559852670349909</v>
      </c>
      <c r="H89" s="70">
        <f>H$49*(LCI!$E97/LCI!$E$91)</f>
        <v>2.2559852670349909</v>
      </c>
      <c r="I89" s="70">
        <f>I$49*(LCI!$E97/LCI!$E$91)</f>
        <v>10.983670616375733</v>
      </c>
      <c r="J89" s="70">
        <f>J$49*(LCI!$E97/LCI!$E$91)</f>
        <v>2.2559852670349909</v>
      </c>
      <c r="K89" s="70">
        <f>K$49*(LCI!$E97/LCI!$E$91)</f>
        <v>2.2559852670349909</v>
      </c>
      <c r="L89" s="70">
        <f>L$49*(LCI!$E97/LCI!$E$91)</f>
        <v>2.2559852670349909</v>
      </c>
      <c r="M89" s="70">
        <f>M$49*(LCI!$E97/LCI!$E$91)</f>
        <v>2.2559852670349909</v>
      </c>
      <c r="N89" s="70">
        <f>N$49*(LCI!$E97/LCI!$E$91)</f>
        <v>2.2559852670349909</v>
      </c>
      <c r="O89" s="70">
        <f>O$49*(LCI!$E97/LCI!$E$91)</f>
        <v>2.2559852670349909</v>
      </c>
      <c r="P89" s="70">
        <f>P$49*(LCI!$E97/LCI!$E$91)</f>
        <v>2.2559852670349909</v>
      </c>
      <c r="Q89" s="70">
        <f>Q$49*(LCI!$E97/LCI!$E$91)</f>
        <v>2.2559852670349909</v>
      </c>
    </row>
    <row r="90" spans="1:17" x14ac:dyDescent="0.25">
      <c r="A90" s="57" t="str">
        <f>I_O!A238</f>
        <v>Naptha (kg/yr)</v>
      </c>
      <c r="B90" s="70">
        <f>B$49*(LCI!$E98/LCI!$E$91)</f>
        <v>5.6784470248432664</v>
      </c>
      <c r="C90" s="70">
        <f>C$49*(LCI!$E98/LCI!$E$91)</f>
        <v>5.1482350909959003</v>
      </c>
      <c r="D90" s="70">
        <f>D$49*(LCI!$E98/LCI!$E$91)</f>
        <v>2.2099447513812156</v>
      </c>
      <c r="E90" s="70">
        <f>E$49*(LCI!$E98/LCI!$E$91)</f>
        <v>2.2099447513812156</v>
      </c>
      <c r="F90" s="70"/>
      <c r="G90" s="70">
        <f>G$49*(LCI!$E98/LCI!$E$91)</f>
        <v>2.2099447513812156</v>
      </c>
      <c r="H90" s="70">
        <f>H$49*(LCI!$E98/LCI!$E$91)</f>
        <v>2.2099447513812156</v>
      </c>
      <c r="I90" s="70">
        <f>I$49*(LCI!$E98/LCI!$E$91)</f>
        <v>10.759514073184391</v>
      </c>
      <c r="J90" s="70">
        <f>J$49*(LCI!$E98/LCI!$E$91)</f>
        <v>2.2099447513812156</v>
      </c>
      <c r="K90" s="70">
        <f>K$49*(LCI!$E98/LCI!$E$91)</f>
        <v>2.2099447513812156</v>
      </c>
      <c r="L90" s="70">
        <f>L$49*(LCI!$E98/LCI!$E$91)</f>
        <v>2.2099447513812156</v>
      </c>
      <c r="M90" s="70">
        <f>M$49*(LCI!$E98/LCI!$E$91)</f>
        <v>2.2099447513812156</v>
      </c>
      <c r="N90" s="70">
        <f>N$49*(LCI!$E98/LCI!$E$91)</f>
        <v>2.2099447513812156</v>
      </c>
      <c r="O90" s="70">
        <f>O$49*(LCI!$E98/LCI!$E$91)</f>
        <v>2.2099447513812156</v>
      </c>
      <c r="P90" s="70">
        <f>P$49*(LCI!$E98/LCI!$E$91)</f>
        <v>2.2099447513812156</v>
      </c>
      <c r="Q90" s="70">
        <f>Q$49*(LCI!$E98/LCI!$E$91)</f>
        <v>2.2099447513812156</v>
      </c>
    </row>
    <row r="91" spans="1:17" x14ac:dyDescent="0.25">
      <c r="A91" s="57" t="str">
        <f>I_O!A239</f>
        <v>Propane, Produced (kg/yr)</v>
      </c>
      <c r="B91" s="58">
        <f>I_O!$N239</f>
        <v>0.19768720400000001</v>
      </c>
      <c r="C91" s="58">
        <f>I_O!$N239</f>
        <v>0.19768720400000001</v>
      </c>
      <c r="D91" s="58">
        <f>I_O!$N239</f>
        <v>0.19768720400000001</v>
      </c>
      <c r="E91" s="58">
        <f>I_O!$N239</f>
        <v>0.19768720400000001</v>
      </c>
      <c r="F91" s="58"/>
      <c r="G91" s="58">
        <f>I_O!$N239</f>
        <v>0.19768720400000001</v>
      </c>
      <c r="H91" s="58">
        <f>I_O!$N239</f>
        <v>0.19768720400000001</v>
      </c>
      <c r="I91" s="58">
        <f>I_O!$N239</f>
        <v>0.19768720400000001</v>
      </c>
      <c r="J91" s="58">
        <f>I_O!$N239</f>
        <v>0.19768720400000001</v>
      </c>
      <c r="K91" s="58">
        <f>I_O!$N239</f>
        <v>0.19768720400000001</v>
      </c>
      <c r="L91" s="58">
        <f>I_O!$N239</f>
        <v>0.19768720400000001</v>
      </c>
      <c r="M91" s="58">
        <f>I_O!$N239</f>
        <v>0.19768720400000001</v>
      </c>
      <c r="N91" s="58">
        <f>I_O!$N239</f>
        <v>0.19768720400000001</v>
      </c>
      <c r="O91" s="58">
        <f>I_O!$N239</f>
        <v>0.19768720400000001</v>
      </c>
      <c r="P91" s="58">
        <f>I_O!$N239</f>
        <v>0.19768720400000001</v>
      </c>
      <c r="Q91" s="58">
        <f>I_O!$N239</f>
        <v>0.19768720400000001</v>
      </c>
    </row>
    <row r="94" spans="1:17" x14ac:dyDescent="0.25">
      <c r="A94" s="53"/>
      <c r="B94" s="143" t="s">
        <v>104</v>
      </c>
      <c r="C94" s="143" t="s">
        <v>104</v>
      </c>
      <c r="D94" s="143" t="s">
        <v>104</v>
      </c>
      <c r="E94" s="143" t="s">
        <v>104</v>
      </c>
      <c r="F94" s="143"/>
      <c r="G94" s="143" t="s">
        <v>104</v>
      </c>
      <c r="H94" s="143" t="s">
        <v>104</v>
      </c>
      <c r="I94" s="143" t="s">
        <v>104</v>
      </c>
      <c r="J94" s="143" t="s">
        <v>104</v>
      </c>
      <c r="K94" s="143" t="s">
        <v>104</v>
      </c>
      <c r="L94" s="143" t="s">
        <v>104</v>
      </c>
      <c r="M94" s="143" t="s">
        <v>104</v>
      </c>
      <c r="N94" s="143" t="s">
        <v>104</v>
      </c>
      <c r="O94" s="143" t="s">
        <v>104</v>
      </c>
      <c r="P94" s="143" t="s">
        <v>104</v>
      </c>
      <c r="Q94" s="143" t="s">
        <v>104</v>
      </c>
    </row>
    <row r="95" spans="1:17" x14ac:dyDescent="0.25">
      <c r="A95" s="54" t="str">
        <f>I_O!A199</f>
        <v>Outputs</v>
      </c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</row>
    <row r="96" spans="1:17" x14ac:dyDescent="0.25">
      <c r="A96" s="53" t="str">
        <f>I_O!A200</f>
        <v>CH4 Emissions (kg/yr)</v>
      </c>
      <c r="B96" s="145">
        <f>I_O!B200*TEA!B52</f>
        <v>0</v>
      </c>
      <c r="C96" s="145">
        <f>I_O!C200*TEA!C52</f>
        <v>0</v>
      </c>
      <c r="D96" s="145">
        <f>I_O!D200*TEA!D52</f>
        <v>0</v>
      </c>
      <c r="E96" s="145">
        <f>I_O!E200*TEA!E52</f>
        <v>0</v>
      </c>
      <c r="F96" s="145"/>
      <c r="G96" s="145">
        <f>I_O!G200*TEA!G52</f>
        <v>0</v>
      </c>
      <c r="H96" s="145">
        <f>I_O!H200*TEA!H52</f>
        <v>0</v>
      </c>
      <c r="I96" s="145">
        <f>I_O!I200*TEA!I52</f>
        <v>0</v>
      </c>
      <c r="J96" s="145">
        <f>I_O!J200*TEA!J52</f>
        <v>0</v>
      </c>
      <c r="K96" s="145">
        <f>I_O!K200*TEA!K52</f>
        <v>0</v>
      </c>
      <c r="L96" s="145">
        <f>I_O!L200*TEA!L52</f>
        <v>0</v>
      </c>
      <c r="M96" s="145">
        <f>I_O!M200*TEA!M52</f>
        <v>0</v>
      </c>
      <c r="N96" s="145">
        <f>I_O!N200*TEA!N52</f>
        <v>0</v>
      </c>
      <c r="O96" s="145">
        <f>I_O!O200*TEA!O52</f>
        <v>0</v>
      </c>
      <c r="P96" s="145">
        <f>I_O!P200*TEA!P52</f>
        <v>0</v>
      </c>
      <c r="Q96" s="145">
        <f>I_O!Q200*TEA!Q52</f>
        <v>0</v>
      </c>
    </row>
    <row r="97" spans="1:17" x14ac:dyDescent="0.25">
      <c r="A97" s="53" t="str">
        <f>I_O!A201</f>
        <v>CO2 Emissions (kg/yr)</v>
      </c>
      <c r="B97" s="145">
        <f>I_O!B201*TEA!B53</f>
        <v>0</v>
      </c>
      <c r="C97" s="145">
        <f>I_O!C201*TEA!C53</f>
        <v>0</v>
      </c>
      <c r="D97" s="145">
        <f>I_O!D201*TEA!D53</f>
        <v>0</v>
      </c>
      <c r="E97" s="145">
        <f>I_O!E201*TEA!E53</f>
        <v>0</v>
      </c>
      <c r="F97" s="145"/>
      <c r="G97" s="145">
        <f>I_O!G201*TEA!G53</f>
        <v>0</v>
      </c>
      <c r="H97" s="145">
        <f>I_O!H201*TEA!H53</f>
        <v>0</v>
      </c>
      <c r="I97" s="145">
        <f>I_O!I201*TEA!I53</f>
        <v>0</v>
      </c>
      <c r="J97" s="145">
        <f>I_O!J201*TEA!J53</f>
        <v>0</v>
      </c>
      <c r="K97" s="145">
        <f>I_O!K201*TEA!K53</f>
        <v>0</v>
      </c>
      <c r="L97" s="145">
        <f>I_O!L201*TEA!L53</f>
        <v>0</v>
      </c>
      <c r="M97" s="145">
        <f>I_O!M201*TEA!M53</f>
        <v>0</v>
      </c>
      <c r="N97" s="145">
        <f>I_O!N201*TEA!N53</f>
        <v>0</v>
      </c>
      <c r="O97" s="145">
        <f>I_O!O201*TEA!O53</f>
        <v>0</v>
      </c>
      <c r="P97" s="145">
        <f>I_O!P201*TEA!P53</f>
        <v>0</v>
      </c>
      <c r="Q97" s="145">
        <f>I_O!Q201*TEA!Q53</f>
        <v>0</v>
      </c>
    </row>
    <row r="98" spans="1:17" x14ac:dyDescent="0.25">
      <c r="A98" s="53" t="str">
        <f>I_O!A202</f>
        <v>CO Emissions (kg/yr)</v>
      </c>
      <c r="B98" s="145">
        <f>I_O!B202*TEA!B54</f>
        <v>0</v>
      </c>
      <c r="C98" s="145">
        <f>I_O!C202*TEA!C54</f>
        <v>0</v>
      </c>
      <c r="D98" s="145">
        <f>I_O!D202*TEA!D54</f>
        <v>0</v>
      </c>
      <c r="E98" s="145">
        <f>I_O!E202*TEA!E54</f>
        <v>0</v>
      </c>
      <c r="F98" s="145"/>
      <c r="G98" s="145">
        <f>I_O!G202*TEA!G54</f>
        <v>0</v>
      </c>
      <c r="H98" s="145">
        <f>I_O!H202*TEA!H54</f>
        <v>0</v>
      </c>
      <c r="I98" s="145">
        <f>I_O!I202*TEA!I54</f>
        <v>0</v>
      </c>
      <c r="J98" s="145">
        <f>I_O!J202*TEA!J54</f>
        <v>0</v>
      </c>
      <c r="K98" s="145">
        <f>I_O!K202*TEA!K54</f>
        <v>0</v>
      </c>
      <c r="L98" s="145">
        <f>I_O!L202*TEA!L54</f>
        <v>0</v>
      </c>
      <c r="M98" s="145">
        <f>I_O!M202*TEA!M54</f>
        <v>0</v>
      </c>
      <c r="N98" s="145">
        <f>I_O!N202*TEA!N54</f>
        <v>0</v>
      </c>
      <c r="O98" s="145">
        <f>I_O!O202*TEA!O54</f>
        <v>0</v>
      </c>
      <c r="P98" s="145">
        <f>I_O!P202*TEA!P54</f>
        <v>0</v>
      </c>
      <c r="Q98" s="145">
        <f>I_O!Q202*TEA!Q54</f>
        <v>0</v>
      </c>
    </row>
    <row r="99" spans="1:17" x14ac:dyDescent="0.25">
      <c r="A99" s="53" t="str">
        <f>I_O!A203</f>
        <v>LUC Emissions (kg CO2e/yr)</v>
      </c>
      <c r="B99" s="145">
        <f>I_O!B203*TEA!B55</f>
        <v>0</v>
      </c>
      <c r="C99" s="145">
        <f>I_O!C203*TEA!C55</f>
        <v>0</v>
      </c>
      <c r="D99" s="145">
        <f>I_O!D203*TEA!D55</f>
        <v>0</v>
      </c>
      <c r="E99" s="145">
        <f>I_O!E203*TEA!E55</f>
        <v>0</v>
      </c>
      <c r="F99" s="145"/>
      <c r="G99" s="145">
        <f>I_O!G203*TEA!G55</f>
        <v>0</v>
      </c>
      <c r="H99" s="145">
        <f>I_O!H203*TEA!H55</f>
        <v>0</v>
      </c>
      <c r="I99" s="145">
        <f>I_O!I203*TEA!I55</f>
        <v>0</v>
      </c>
      <c r="J99" s="145">
        <f>I_O!J203*TEA!J55</f>
        <v>0</v>
      </c>
      <c r="K99" s="145">
        <f>I_O!K203*TEA!K55</f>
        <v>0</v>
      </c>
      <c r="L99" s="145">
        <f>I_O!L203*TEA!L55</f>
        <v>0</v>
      </c>
      <c r="M99" s="145">
        <f>I_O!M203*TEA!M55</f>
        <v>0</v>
      </c>
      <c r="N99" s="145">
        <f>I_O!N203*TEA!N55</f>
        <v>0</v>
      </c>
      <c r="O99" s="145">
        <f>I_O!O203*TEA!O55</f>
        <v>0</v>
      </c>
      <c r="P99" s="145">
        <f>I_O!P203*TEA!P55</f>
        <v>0</v>
      </c>
      <c r="Q99" s="145">
        <f>I_O!Q203*TEA!Q55</f>
        <v>0</v>
      </c>
    </row>
    <row r="100" spans="1:17" x14ac:dyDescent="0.25">
      <c r="A100" s="53" t="str">
        <f>I_O!A204</f>
        <v>N2O Emissions (kg/yr)</v>
      </c>
      <c r="B100" s="145">
        <f>I_O!B204*TEA!B56</f>
        <v>0</v>
      </c>
      <c r="C100" s="145">
        <f>I_O!C204*TEA!C56</f>
        <v>0</v>
      </c>
      <c r="D100" s="145">
        <f>I_O!D204*TEA!D56</f>
        <v>0</v>
      </c>
      <c r="E100" s="145">
        <f>I_O!E204*TEA!E56</f>
        <v>0</v>
      </c>
      <c r="F100" s="145"/>
      <c r="G100" s="145">
        <f>I_O!G204*TEA!G56</f>
        <v>0</v>
      </c>
      <c r="H100" s="145">
        <f>I_O!H204*TEA!H56</f>
        <v>0</v>
      </c>
      <c r="I100" s="145">
        <f>I_O!I204*TEA!I56</f>
        <v>0</v>
      </c>
      <c r="J100" s="145">
        <f>I_O!J204*TEA!J56</f>
        <v>0</v>
      </c>
      <c r="K100" s="145">
        <f>I_O!K204*TEA!K56</f>
        <v>0</v>
      </c>
      <c r="L100" s="145">
        <f>I_O!L204*TEA!L56</f>
        <v>0</v>
      </c>
      <c r="M100" s="145">
        <f>I_O!M204*TEA!M56</f>
        <v>0</v>
      </c>
      <c r="N100" s="145">
        <f>I_O!N204*TEA!N56</f>
        <v>0</v>
      </c>
      <c r="O100" s="145">
        <f>I_O!O204*TEA!O56</f>
        <v>0</v>
      </c>
      <c r="P100" s="145">
        <f>I_O!P204*TEA!P56</f>
        <v>0</v>
      </c>
      <c r="Q100" s="145">
        <f>I_O!Q204*TEA!Q56</f>
        <v>0</v>
      </c>
    </row>
    <row r="101" spans="1:17" x14ac:dyDescent="0.25">
      <c r="A101" s="53" t="str">
        <f>I_O!A205</f>
        <v>NOx Emissions (kg/yr)</v>
      </c>
      <c r="B101" s="145">
        <f>I_O!B205*TEA!B57</f>
        <v>0</v>
      </c>
      <c r="C101" s="145">
        <f>I_O!C205*TEA!C57</f>
        <v>0</v>
      </c>
      <c r="D101" s="145">
        <f>I_O!D205*TEA!D57</f>
        <v>0</v>
      </c>
      <c r="E101" s="145">
        <f>I_O!E205*TEA!E57</f>
        <v>0</v>
      </c>
      <c r="F101" s="145"/>
      <c r="G101" s="145">
        <f>I_O!G205*TEA!G57</f>
        <v>0</v>
      </c>
      <c r="H101" s="145">
        <f>I_O!H205*TEA!H57</f>
        <v>0</v>
      </c>
      <c r="I101" s="145">
        <f>I_O!I205*TEA!I57</f>
        <v>0</v>
      </c>
      <c r="J101" s="145">
        <f>I_O!J205*TEA!J57</f>
        <v>0</v>
      </c>
      <c r="K101" s="145">
        <f>I_O!K205*TEA!K57</f>
        <v>0</v>
      </c>
      <c r="L101" s="145">
        <f>I_O!L205*TEA!L57</f>
        <v>0</v>
      </c>
      <c r="M101" s="145">
        <f>I_O!M205*TEA!M57</f>
        <v>0</v>
      </c>
      <c r="N101" s="145">
        <f>I_O!N205*TEA!N57</f>
        <v>0</v>
      </c>
      <c r="O101" s="145">
        <f>I_O!O205*TEA!O57</f>
        <v>0</v>
      </c>
      <c r="P101" s="145">
        <f>I_O!P205*TEA!P57</f>
        <v>0</v>
      </c>
      <c r="Q101" s="145">
        <f>I_O!Q205*TEA!Q57</f>
        <v>0</v>
      </c>
    </row>
    <row r="102" spans="1:17" x14ac:dyDescent="0.25">
      <c r="A102" s="53" t="str">
        <f>I_O!A206</f>
        <v>Algal Biomass, Whole (kg/yr)</v>
      </c>
      <c r="B102" s="145">
        <f>I_O!B206*TEA!B58</f>
        <v>0</v>
      </c>
      <c r="C102" s="145">
        <f>I_O!C206*TEA!C58</f>
        <v>0</v>
      </c>
      <c r="D102" s="145">
        <f>I_O!D206*TEA!D58</f>
        <v>0</v>
      </c>
      <c r="E102" s="145">
        <f>I_O!E206*TEA!E58</f>
        <v>0</v>
      </c>
      <c r="F102" s="145"/>
      <c r="G102" s="145">
        <f>I_O!G206*TEA!G58</f>
        <v>0</v>
      </c>
      <c r="H102" s="145">
        <f>I_O!H206*TEA!H58</f>
        <v>0</v>
      </c>
      <c r="I102" s="145">
        <f>I_O!I206*TEA!I58</f>
        <v>0</v>
      </c>
      <c r="J102" s="145">
        <f>I_O!J206*TEA!J58</f>
        <v>0</v>
      </c>
      <c r="K102" s="145">
        <f>I_O!K206*TEA!K58</f>
        <v>0</v>
      </c>
      <c r="L102" s="145">
        <f>I_O!L206*TEA!L58</f>
        <v>0</v>
      </c>
      <c r="M102" s="145">
        <f>I_O!M206*TEA!M58</f>
        <v>0</v>
      </c>
      <c r="N102" s="145">
        <f>I_O!N206*TEA!N58</f>
        <v>0</v>
      </c>
      <c r="O102" s="145">
        <f>I_O!O206*TEA!O58</f>
        <v>0</v>
      </c>
      <c r="P102" s="145">
        <f>I_O!P206*TEA!P58</f>
        <v>0</v>
      </c>
      <c r="Q102" s="145">
        <f>I_O!Q206*TEA!Q58</f>
        <v>0</v>
      </c>
    </row>
    <row r="103" spans="1:17" x14ac:dyDescent="0.25">
      <c r="A103" s="53" t="str">
        <f>I_O!A207</f>
        <v>Algal Biomass, LEA Meal (kg/yr)</v>
      </c>
      <c r="B103" s="145">
        <f>I_O!B207*TEA!B59</f>
        <v>0</v>
      </c>
      <c r="C103" s="145">
        <f>I_O!C207*TEA!C59</f>
        <v>0</v>
      </c>
      <c r="D103" s="145">
        <f>I_O!D207*TEA!D59</f>
        <v>0</v>
      </c>
      <c r="E103" s="145">
        <f>I_O!E207*TEA!E59</f>
        <v>0</v>
      </c>
      <c r="F103" s="145"/>
      <c r="G103" s="145">
        <f>I_O!G207*TEA!G59</f>
        <v>0</v>
      </c>
      <c r="H103" s="145">
        <f>I_O!H207*TEA!H59</f>
        <v>0</v>
      </c>
      <c r="I103" s="145">
        <f>I_O!I207*TEA!I59</f>
        <v>1376595.6749999998</v>
      </c>
      <c r="J103" s="145">
        <f>I_O!J207*TEA!J59</f>
        <v>0</v>
      </c>
      <c r="K103" s="145">
        <f>I_O!K207*TEA!K59</f>
        <v>0</v>
      </c>
      <c r="L103" s="145">
        <f>I_O!L207*TEA!L59</f>
        <v>0</v>
      </c>
      <c r="M103" s="145">
        <f>I_O!M207*TEA!M59</f>
        <v>0</v>
      </c>
      <c r="N103" s="145">
        <f>I_O!N207*TEA!N59</f>
        <v>0.12249999999999998</v>
      </c>
      <c r="O103" s="145">
        <f>I_O!O207*TEA!O59</f>
        <v>0</v>
      </c>
      <c r="P103" s="145">
        <f>I_O!P207*TEA!P59</f>
        <v>0</v>
      </c>
      <c r="Q103" s="145">
        <f>I_O!Q207*TEA!Q59</f>
        <v>0</v>
      </c>
    </row>
    <row r="104" spans="1:17" x14ac:dyDescent="0.25">
      <c r="A104" s="53" t="str">
        <f>I_O!A208</f>
        <v>Algal Oil (kg/yr)</v>
      </c>
      <c r="B104" s="145">
        <f>I_O!B208*TEA!B60</f>
        <v>0</v>
      </c>
      <c r="C104" s="145">
        <f>I_O!C208*TEA!C60</f>
        <v>0</v>
      </c>
      <c r="D104" s="145">
        <f>I_O!D208*TEA!D60</f>
        <v>0</v>
      </c>
      <c r="E104" s="145">
        <f>I_O!E208*TEA!E60</f>
        <v>0</v>
      </c>
      <c r="F104" s="145"/>
      <c r="G104" s="145">
        <f>I_O!G208*TEA!G60</f>
        <v>0</v>
      </c>
      <c r="H104" s="145">
        <f>I_O!H208*TEA!H60</f>
        <v>0</v>
      </c>
      <c r="I104" s="145">
        <f>I_O!I208*TEA!I60</f>
        <v>0</v>
      </c>
      <c r="J104" s="145">
        <f>I_O!J208*TEA!J60</f>
        <v>0</v>
      </c>
      <c r="K104" s="145">
        <f>I_O!K208*TEA!K60</f>
        <v>0</v>
      </c>
      <c r="L104" s="145">
        <f>I_O!L208*TEA!L60</f>
        <v>0</v>
      </c>
      <c r="M104" s="145">
        <f>I_O!M208*TEA!M60</f>
        <v>0</v>
      </c>
      <c r="N104" s="145">
        <f>I_O!N208*TEA!N60</f>
        <v>0</v>
      </c>
      <c r="O104" s="145">
        <f>I_O!O208*TEA!O60</f>
        <v>0</v>
      </c>
      <c r="P104" s="145">
        <f>I_O!P208*TEA!P60</f>
        <v>0</v>
      </c>
      <c r="Q104" s="145">
        <f>I_O!Q208*TEA!Q60</f>
        <v>0</v>
      </c>
    </row>
    <row r="105" spans="1:17" x14ac:dyDescent="0.25">
      <c r="A105" s="53" t="str">
        <f>I_O!A209</f>
        <v>Corn Grain (kg/yr)</v>
      </c>
      <c r="B105" s="145">
        <f>I_O!B209*TEA!B61</f>
        <v>0</v>
      </c>
      <c r="C105" s="145">
        <f>I_O!C209*TEA!C61</f>
        <v>0</v>
      </c>
      <c r="D105" s="145">
        <f>I_O!D209*TEA!D61</f>
        <v>0</v>
      </c>
      <c r="E105" s="145">
        <f>I_O!E209*TEA!E61</f>
        <v>0</v>
      </c>
      <c r="F105" s="145"/>
      <c r="G105" s="145">
        <f>I_O!G209*TEA!G61</f>
        <v>0</v>
      </c>
      <c r="H105" s="145">
        <f>I_O!H209*TEA!H61</f>
        <v>0</v>
      </c>
      <c r="I105" s="145">
        <f>I_O!I209*TEA!I61</f>
        <v>0</v>
      </c>
      <c r="J105" s="145">
        <f>I_O!J209*TEA!J61</f>
        <v>0</v>
      </c>
      <c r="K105" s="145">
        <f>I_O!K209*TEA!K61</f>
        <v>0</v>
      </c>
      <c r="L105" s="145">
        <f>I_O!L209*TEA!L61</f>
        <v>0</v>
      </c>
      <c r="M105" s="145">
        <f>I_O!M209*TEA!M61</f>
        <v>0</v>
      </c>
      <c r="N105" s="145">
        <f>I_O!N209*TEA!N61</f>
        <v>0</v>
      </c>
      <c r="O105" s="145">
        <f>I_O!O209*TEA!O61</f>
        <v>0</v>
      </c>
      <c r="P105" s="145">
        <f>I_O!P209*TEA!P61</f>
        <v>0</v>
      </c>
      <c r="Q105" s="145">
        <f>I_O!Q209*TEA!Q61</f>
        <v>0</v>
      </c>
    </row>
    <row r="106" spans="1:17" x14ac:dyDescent="0.25">
      <c r="A106" s="53" t="str">
        <f>I_O!A210</f>
        <v>Corn Stover, Collected (kg/yr)</v>
      </c>
      <c r="B106" s="145">
        <f>I_O!B210*TEA!B62</f>
        <v>0</v>
      </c>
      <c r="C106" s="145">
        <f>I_O!C210*TEA!C62</f>
        <v>0</v>
      </c>
      <c r="D106" s="145">
        <f>I_O!D210*TEA!D62</f>
        <v>0</v>
      </c>
      <c r="E106" s="145">
        <f>I_O!E210*TEA!E62</f>
        <v>0</v>
      </c>
      <c r="F106" s="145"/>
      <c r="G106" s="145">
        <f>I_O!G210*TEA!G62</f>
        <v>0</v>
      </c>
      <c r="H106" s="145">
        <f>I_O!H210*TEA!H62</f>
        <v>0</v>
      </c>
      <c r="I106" s="145">
        <f>I_O!I210*TEA!I62</f>
        <v>0</v>
      </c>
      <c r="J106" s="145">
        <f>I_O!J210*TEA!J62</f>
        <v>0</v>
      </c>
      <c r="K106" s="145">
        <f>I_O!K210*TEA!K62</f>
        <v>0</v>
      </c>
      <c r="L106" s="145">
        <f>I_O!L210*TEA!L62</f>
        <v>0</v>
      </c>
      <c r="M106" s="145">
        <f>I_O!M210*TEA!M62</f>
        <v>0</v>
      </c>
      <c r="N106" s="145">
        <f>I_O!N210*TEA!N62</f>
        <v>0</v>
      </c>
      <c r="O106" s="145">
        <f>I_O!O210*TEA!O62</f>
        <v>0</v>
      </c>
      <c r="P106" s="145">
        <f>I_O!P210*TEA!P62</f>
        <v>0</v>
      </c>
      <c r="Q106" s="145">
        <f>I_O!Q210*TEA!Q62</f>
        <v>0</v>
      </c>
    </row>
    <row r="107" spans="1:17" x14ac:dyDescent="0.25">
      <c r="A107" s="53" t="str">
        <f>I_O!A211</f>
        <v>Corn Stover, Left (kg/yr)</v>
      </c>
      <c r="B107" s="145">
        <f>I_O!B211*TEA!B63</f>
        <v>0</v>
      </c>
      <c r="C107" s="145">
        <f>I_O!C211*TEA!C63</f>
        <v>0</v>
      </c>
      <c r="D107" s="145">
        <f>I_O!D211*TEA!D63</f>
        <v>0</v>
      </c>
      <c r="E107" s="145">
        <f>I_O!E211*TEA!E63</f>
        <v>0</v>
      </c>
      <c r="F107" s="145"/>
      <c r="G107" s="145">
        <f>I_O!G211*TEA!G63</f>
        <v>0</v>
      </c>
      <c r="H107" s="145">
        <f>I_O!H211*TEA!H63</f>
        <v>0</v>
      </c>
      <c r="I107" s="145">
        <f>I_O!I211*TEA!I63</f>
        <v>0</v>
      </c>
      <c r="J107" s="145">
        <f>I_O!J211*TEA!J63</f>
        <v>0</v>
      </c>
      <c r="K107" s="145">
        <f>I_O!K211*TEA!K63</f>
        <v>0</v>
      </c>
      <c r="L107" s="145">
        <f>I_O!L211*TEA!L63</f>
        <v>0</v>
      </c>
      <c r="M107" s="145">
        <f>I_O!M211*TEA!M63</f>
        <v>0</v>
      </c>
      <c r="N107" s="145">
        <f>I_O!N211*TEA!N63</f>
        <v>0</v>
      </c>
      <c r="O107" s="145">
        <f>I_O!O211*TEA!O63</f>
        <v>0</v>
      </c>
      <c r="P107" s="145">
        <f>I_O!P211*TEA!P63</f>
        <v>0</v>
      </c>
      <c r="Q107" s="145">
        <f>I_O!Q211*TEA!Q63</f>
        <v>0</v>
      </c>
    </row>
    <row r="108" spans="1:17" x14ac:dyDescent="0.25">
      <c r="A108" s="53" t="str">
        <f>I_O!A212</f>
        <v>DDGS (kg/yr)</v>
      </c>
      <c r="B108" s="145">
        <f>I_O!B212*TEA!B64</f>
        <v>0</v>
      </c>
      <c r="C108" s="145">
        <f>I_O!C212*TEA!C64</f>
        <v>0</v>
      </c>
      <c r="D108" s="145">
        <f>I_O!D212*TEA!D64</f>
        <v>0</v>
      </c>
      <c r="E108" s="145">
        <f>I_O!E212*TEA!E64</f>
        <v>0</v>
      </c>
      <c r="F108" s="145"/>
      <c r="G108" s="145">
        <f>I_O!G212*TEA!G64</f>
        <v>0</v>
      </c>
      <c r="H108" s="145">
        <f>I_O!H212*TEA!H64</f>
        <v>0</v>
      </c>
      <c r="I108" s="145">
        <f>I_O!I212*TEA!I64</f>
        <v>0</v>
      </c>
      <c r="J108" s="145">
        <f>I_O!J212*TEA!J64</f>
        <v>0</v>
      </c>
      <c r="K108" s="145">
        <f>I_O!K212*TEA!K64</f>
        <v>0</v>
      </c>
      <c r="L108" s="145">
        <f>I_O!L212*TEA!L64</f>
        <v>0</v>
      </c>
      <c r="M108" s="145">
        <f>I_O!M212*TEA!M64</f>
        <v>0</v>
      </c>
      <c r="N108" s="145">
        <f>I_O!N212*TEA!N64</f>
        <v>2.3825471273070293E-2</v>
      </c>
      <c r="O108" s="145">
        <f>I_O!O212*TEA!O64</f>
        <v>0</v>
      </c>
      <c r="P108" s="145">
        <f>I_O!P212*TEA!P64</f>
        <v>0</v>
      </c>
      <c r="Q108" s="145">
        <f>I_O!Q212*TEA!Q64</f>
        <v>0</v>
      </c>
    </row>
    <row r="109" spans="1:17" x14ac:dyDescent="0.25">
      <c r="A109" s="53" t="str">
        <f>I_O!A213</f>
        <v>Glycerin (kg/yr)</v>
      </c>
      <c r="B109" s="145">
        <f>I_O!B213*TEA!B65</f>
        <v>782.56599665677334</v>
      </c>
      <c r="C109" s="145">
        <f>I_O!C213*TEA!C65</f>
        <v>0</v>
      </c>
      <c r="D109" s="145">
        <f>I_O!D213*TEA!D65</f>
        <v>0</v>
      </c>
      <c r="E109" s="145">
        <f>I_O!E213*TEA!E65</f>
        <v>0</v>
      </c>
      <c r="F109" s="145"/>
      <c r="G109" s="145">
        <f>I_O!G213*TEA!G65</f>
        <v>0</v>
      </c>
      <c r="H109" s="145">
        <f>I_O!H213*TEA!H65</f>
        <v>0</v>
      </c>
      <c r="I109" s="145">
        <f>I_O!I213*TEA!I65</f>
        <v>0</v>
      </c>
      <c r="J109" s="145">
        <f>I_O!J213*TEA!J65</f>
        <v>0</v>
      </c>
      <c r="K109" s="145">
        <f>I_O!K213*TEA!K65</f>
        <v>0</v>
      </c>
      <c r="L109" s="145">
        <f>I_O!L213*TEA!L65</f>
        <v>0</v>
      </c>
      <c r="M109" s="145">
        <f>I_O!M213*TEA!M65</f>
        <v>0</v>
      </c>
      <c r="N109" s="145">
        <f>I_O!N213*TEA!N65</f>
        <v>1.7424000000000002E-2</v>
      </c>
      <c r="O109" s="145">
        <f>I_O!O213*TEA!O65</f>
        <v>103.29871155869408</v>
      </c>
      <c r="P109" s="145">
        <f>I_O!P213*TEA!P65</f>
        <v>0</v>
      </c>
      <c r="Q109" s="145">
        <f>I_O!Q213*TEA!Q65</f>
        <v>0</v>
      </c>
    </row>
    <row r="110" spans="1:17" x14ac:dyDescent="0.25">
      <c r="A110" s="53" t="str">
        <f>I_O!A214</f>
        <v>MSW Co-Products (kg/yr)</v>
      </c>
      <c r="B110" s="145">
        <f>I_O!B214*TEA!B66</f>
        <v>0</v>
      </c>
      <c r="C110" s="145">
        <f>I_O!C214*TEA!C66</f>
        <v>0</v>
      </c>
      <c r="D110" s="145">
        <f>I_O!D214*TEA!D66</f>
        <v>0</v>
      </c>
      <c r="E110" s="145">
        <f>I_O!E214*TEA!E66</f>
        <v>0</v>
      </c>
      <c r="F110" s="145"/>
      <c r="G110" s="145">
        <f>I_O!G214*TEA!G66</f>
        <v>0</v>
      </c>
      <c r="H110" s="145">
        <f>I_O!H214*TEA!H66</f>
        <v>0</v>
      </c>
      <c r="I110" s="145">
        <f>I_O!I214*TEA!I66</f>
        <v>0</v>
      </c>
      <c r="J110" s="145">
        <f>I_O!J214*TEA!J66</f>
        <v>0</v>
      </c>
      <c r="K110" s="145">
        <f>I_O!K214*TEA!K66</f>
        <v>0</v>
      </c>
      <c r="L110" s="145">
        <f>I_O!L214*TEA!L66</f>
        <v>0</v>
      </c>
      <c r="M110" s="145">
        <f>I_O!M214*TEA!M66</f>
        <v>0</v>
      </c>
      <c r="N110" s="145">
        <f>I_O!N214*TEA!N66</f>
        <v>0.10890000000000001</v>
      </c>
      <c r="O110" s="145">
        <f>I_O!O214*TEA!O66</f>
        <v>0</v>
      </c>
      <c r="P110" s="145">
        <f>I_O!P214*TEA!P66</f>
        <v>0</v>
      </c>
      <c r="Q110" s="145">
        <f>I_O!Q214*TEA!Q66</f>
        <v>0</v>
      </c>
    </row>
    <row r="111" spans="1:17" x14ac:dyDescent="0.25">
      <c r="A111" s="53" t="str">
        <f>I_O!A215</f>
        <v>Nitrogen Gas (kg/yr)</v>
      </c>
      <c r="B111" s="145">
        <f>I_O!B215*TEA!B67</f>
        <v>0</v>
      </c>
      <c r="C111" s="145">
        <f>I_O!C215*TEA!C67</f>
        <v>0</v>
      </c>
      <c r="D111" s="145">
        <f>I_O!D215*TEA!D67</f>
        <v>0</v>
      </c>
      <c r="E111" s="145">
        <f>I_O!E215*TEA!E67</f>
        <v>0</v>
      </c>
      <c r="F111" s="145"/>
      <c r="G111" s="145">
        <f>I_O!G215*TEA!G67</f>
        <v>0</v>
      </c>
      <c r="H111" s="145">
        <f>I_O!H215*TEA!H67</f>
        <v>0</v>
      </c>
      <c r="I111" s="145">
        <f>I_O!I215*TEA!I67</f>
        <v>0</v>
      </c>
      <c r="J111" s="145">
        <f>I_O!J215*TEA!J67</f>
        <v>0</v>
      </c>
      <c r="K111" s="145">
        <f>I_O!K215*TEA!K67</f>
        <v>0</v>
      </c>
      <c r="L111" s="145">
        <f>I_O!L215*TEA!L67</f>
        <v>0</v>
      </c>
      <c r="M111" s="145">
        <f>I_O!M215*TEA!M67</f>
        <v>0</v>
      </c>
      <c r="N111" s="145">
        <f>I_O!N215*TEA!N67</f>
        <v>0</v>
      </c>
      <c r="O111" s="145">
        <f>I_O!O215*TEA!O67</f>
        <v>0</v>
      </c>
      <c r="P111" s="145">
        <f>I_O!P215*TEA!P67</f>
        <v>0</v>
      </c>
      <c r="Q111" s="145">
        <f>I_O!Q215*TEA!Q67</f>
        <v>0</v>
      </c>
    </row>
    <row r="112" spans="1:17" x14ac:dyDescent="0.25">
      <c r="A112" s="53" t="str">
        <f>I_O!A216</f>
        <v>Refused Derived Fuel (kg/yr)</v>
      </c>
      <c r="B112" s="145">
        <f>I_O!B216*TEA!B68</f>
        <v>0</v>
      </c>
      <c r="C112" s="145">
        <f>I_O!C216*TEA!C68</f>
        <v>0</v>
      </c>
      <c r="D112" s="145">
        <f>I_O!D216*TEA!D68</f>
        <v>0</v>
      </c>
      <c r="E112" s="145">
        <f>I_O!E216*TEA!E68</f>
        <v>0</v>
      </c>
      <c r="F112" s="145"/>
      <c r="G112" s="145">
        <f>I_O!G216*TEA!G68</f>
        <v>0</v>
      </c>
      <c r="H112" s="145">
        <f>I_O!H216*TEA!H68</f>
        <v>0</v>
      </c>
      <c r="I112" s="145">
        <f>I_O!I216*TEA!I68</f>
        <v>0</v>
      </c>
      <c r="J112" s="145">
        <f>I_O!J216*TEA!J68</f>
        <v>0</v>
      </c>
      <c r="K112" s="145">
        <f>I_O!K216*TEA!K68</f>
        <v>0</v>
      </c>
      <c r="L112" s="145">
        <f>I_O!L216*TEA!L68</f>
        <v>0</v>
      </c>
      <c r="M112" s="145">
        <f>I_O!M216*TEA!M68</f>
        <v>0</v>
      </c>
      <c r="N112" s="145">
        <f>I_O!N216*TEA!N68</f>
        <v>0</v>
      </c>
      <c r="O112" s="145">
        <f>I_O!O216*TEA!O68</f>
        <v>0</v>
      </c>
      <c r="P112" s="145">
        <f>I_O!P216*TEA!P68</f>
        <v>0</v>
      </c>
      <c r="Q112" s="145">
        <f>I_O!Q216*TEA!Q68</f>
        <v>0</v>
      </c>
    </row>
    <row r="113" spans="1:17" x14ac:dyDescent="0.25">
      <c r="A113" s="53" t="str">
        <f>I_O!A217</f>
        <v>Slag (kg/yr)</v>
      </c>
      <c r="B113" s="145">
        <f>I_O!B217*TEA!B69</f>
        <v>0</v>
      </c>
      <c r="C113" s="145">
        <f>I_O!C217*TEA!C69</f>
        <v>0</v>
      </c>
      <c r="D113" s="145">
        <f>I_O!D217*TEA!D69</f>
        <v>0</v>
      </c>
      <c r="E113" s="145">
        <f>I_O!E217*TEA!E69</f>
        <v>0</v>
      </c>
      <c r="F113" s="145"/>
      <c r="G113" s="145">
        <f>I_O!G217*TEA!G69</f>
        <v>0</v>
      </c>
      <c r="H113" s="145">
        <f>I_O!H217*TEA!H69</f>
        <v>0</v>
      </c>
      <c r="I113" s="145">
        <f>I_O!I217*TEA!I69</f>
        <v>0</v>
      </c>
      <c r="J113" s="145">
        <f>I_O!J217*TEA!J69</f>
        <v>0</v>
      </c>
      <c r="K113" s="145">
        <f>I_O!K217*TEA!K69</f>
        <v>0</v>
      </c>
      <c r="L113" s="145">
        <f>I_O!L217*TEA!L69</f>
        <v>0</v>
      </c>
      <c r="M113" s="145">
        <f>I_O!M217*TEA!M69</f>
        <v>0</v>
      </c>
      <c r="N113" s="145">
        <f>I_O!N217*TEA!N69</f>
        <v>6.7080999999999998E-4</v>
      </c>
      <c r="O113" s="145">
        <f>I_O!O217*TEA!O69</f>
        <v>0</v>
      </c>
      <c r="P113" s="145">
        <f>I_O!P217*TEA!P69</f>
        <v>0</v>
      </c>
      <c r="Q113" s="145">
        <f>I_O!Q217*TEA!Q69</f>
        <v>0</v>
      </c>
    </row>
    <row r="114" spans="1:17" x14ac:dyDescent="0.25">
      <c r="A114" s="53" t="str">
        <f>I_O!A218</f>
        <v>Soybean Meal (kg/yr)</v>
      </c>
      <c r="B114" s="145">
        <f>I_O!B218*TEA!B70</f>
        <v>82133.06392200003</v>
      </c>
      <c r="C114" s="145">
        <f>I_O!C218*TEA!C70</f>
        <v>82133.06392200003</v>
      </c>
      <c r="D114" s="145">
        <f>I_O!D218*TEA!D70</f>
        <v>0</v>
      </c>
      <c r="E114" s="145">
        <f>I_O!E218*TEA!E70</f>
        <v>0</v>
      </c>
      <c r="F114" s="145"/>
      <c r="G114" s="145">
        <f>I_O!G218*TEA!G70</f>
        <v>0</v>
      </c>
      <c r="H114" s="145">
        <f>I_O!H218*TEA!H70</f>
        <v>0</v>
      </c>
      <c r="I114" s="145">
        <f>I_O!I218*TEA!I70</f>
        <v>0</v>
      </c>
      <c r="J114" s="145">
        <f>I_O!J218*TEA!J70</f>
        <v>0</v>
      </c>
      <c r="K114" s="145">
        <f>I_O!K218*TEA!K70</f>
        <v>0</v>
      </c>
      <c r="L114" s="145">
        <f>I_O!L218*TEA!L70</f>
        <v>0</v>
      </c>
      <c r="M114" s="145">
        <f>I_O!M218*TEA!M70</f>
        <v>0</v>
      </c>
      <c r="N114" s="145">
        <f>I_O!N218*TEA!N70</f>
        <v>0.12249999999999998</v>
      </c>
      <c r="O114" s="145">
        <f>I_O!O218*TEA!O70</f>
        <v>28746.572372700008</v>
      </c>
      <c r="P114" s="145">
        <f>I_O!P218*TEA!P70</f>
        <v>28746.572372700008</v>
      </c>
      <c r="Q114" s="145">
        <f>I_O!Q218*TEA!Q70</f>
        <v>0</v>
      </c>
    </row>
    <row r="115" spans="1:17" x14ac:dyDescent="0.25">
      <c r="A115" s="53" t="str">
        <f>I_O!A219</f>
        <v>Soybean Oil (kg/yr)</v>
      </c>
      <c r="B115" s="145">
        <f>I_O!B219*TEA!B71</f>
        <v>0</v>
      </c>
      <c r="C115" s="145">
        <f>I_O!C219*TEA!C71</f>
        <v>0</v>
      </c>
      <c r="D115" s="145">
        <f>I_O!D219*TEA!D71</f>
        <v>0</v>
      </c>
      <c r="E115" s="145">
        <f>I_O!E219*TEA!E71</f>
        <v>0</v>
      </c>
      <c r="F115" s="145"/>
      <c r="G115" s="145">
        <f>I_O!G219*TEA!G71</f>
        <v>0</v>
      </c>
      <c r="H115" s="145">
        <f>I_O!H219*TEA!H71</f>
        <v>0</v>
      </c>
      <c r="I115" s="145">
        <f>I_O!I219*TEA!I71</f>
        <v>0</v>
      </c>
      <c r="J115" s="145">
        <f>I_O!J219*TEA!J71</f>
        <v>0</v>
      </c>
      <c r="K115" s="145">
        <f>I_O!K219*TEA!K71</f>
        <v>0</v>
      </c>
      <c r="L115" s="145">
        <f>I_O!L219*TEA!L71</f>
        <v>0</v>
      </c>
      <c r="M115" s="145">
        <f>I_O!M219*TEA!M71</f>
        <v>0</v>
      </c>
      <c r="N115" s="145">
        <f>I_O!N219*TEA!N71</f>
        <v>0</v>
      </c>
      <c r="O115" s="145">
        <f>I_O!O219*TEA!O71</f>
        <v>0</v>
      </c>
      <c r="P115" s="145">
        <f>I_O!P219*TEA!P71</f>
        <v>0</v>
      </c>
      <c r="Q115" s="145">
        <f>I_O!Q219*TEA!Q71</f>
        <v>0</v>
      </c>
    </row>
    <row r="116" spans="1:17" x14ac:dyDescent="0.25">
      <c r="A116" s="53" t="str">
        <f>I_O!A220</f>
        <v>Soybeans (kg/yr)</v>
      </c>
      <c r="B116" s="145">
        <f>I_O!B220*TEA!B72</f>
        <v>0</v>
      </c>
      <c r="C116" s="145">
        <f>I_O!C220*TEA!C72</f>
        <v>0</v>
      </c>
      <c r="D116" s="145">
        <f>I_O!D220*TEA!D72</f>
        <v>0</v>
      </c>
      <c r="E116" s="145">
        <f>I_O!E220*TEA!E72</f>
        <v>0</v>
      </c>
      <c r="F116" s="145"/>
      <c r="G116" s="145">
        <f>I_O!G220*TEA!G72</f>
        <v>0</v>
      </c>
      <c r="H116" s="145">
        <f>I_O!H220*TEA!H72</f>
        <v>0</v>
      </c>
      <c r="I116" s="145">
        <f>I_O!I220*TEA!I72</f>
        <v>0</v>
      </c>
      <c r="J116" s="145">
        <f>I_O!J220*TEA!J72</f>
        <v>0</v>
      </c>
      <c r="K116" s="145">
        <f>I_O!K220*TEA!K72</f>
        <v>0</v>
      </c>
      <c r="L116" s="145">
        <f>I_O!L220*TEA!L72</f>
        <v>0</v>
      </c>
      <c r="M116" s="145">
        <f>I_O!M220*TEA!M72</f>
        <v>0</v>
      </c>
      <c r="N116" s="145">
        <f>I_O!N220*TEA!N72</f>
        <v>0.30250000000000005</v>
      </c>
      <c r="O116" s="145">
        <f>I_O!O220*TEA!O72</f>
        <v>0</v>
      </c>
      <c r="P116" s="145">
        <f>I_O!P220*TEA!P72</f>
        <v>0</v>
      </c>
      <c r="Q116" s="145">
        <f>I_O!Q220*TEA!Q72</f>
        <v>0</v>
      </c>
    </row>
    <row r="117" spans="1:17" x14ac:dyDescent="0.25">
      <c r="A117" s="53" t="str">
        <f>I_O!A221</f>
        <v>Syncrude (kg/yr)</v>
      </c>
      <c r="B117" s="145">
        <f>I_O!B221*TEA!B73</f>
        <v>0</v>
      </c>
      <c r="C117" s="145">
        <f>I_O!C221*TEA!C73</f>
        <v>0</v>
      </c>
      <c r="D117" s="145">
        <f>I_O!D221*TEA!D73</f>
        <v>0</v>
      </c>
      <c r="E117" s="145">
        <f>I_O!E221*TEA!E73</f>
        <v>0</v>
      </c>
      <c r="F117" s="145"/>
      <c r="G117" s="145">
        <f>I_O!G221*TEA!G73</f>
        <v>0</v>
      </c>
      <c r="H117" s="145">
        <f>I_O!H221*TEA!H73</f>
        <v>0</v>
      </c>
      <c r="I117" s="145">
        <f>I_O!I221*TEA!I73</f>
        <v>0</v>
      </c>
      <c r="J117" s="145">
        <f>I_O!J221*TEA!J73</f>
        <v>0</v>
      </c>
      <c r="K117" s="145">
        <f>I_O!K221*TEA!K73</f>
        <v>0</v>
      </c>
      <c r="L117" s="145">
        <f>I_O!L221*TEA!L73</f>
        <v>0</v>
      </c>
      <c r="M117" s="145">
        <f>I_O!M221*TEA!M73</f>
        <v>0</v>
      </c>
      <c r="N117" s="145">
        <f>I_O!N221*TEA!N73</f>
        <v>0</v>
      </c>
      <c r="O117" s="145">
        <f>I_O!O221*TEA!O73</f>
        <v>0</v>
      </c>
      <c r="P117" s="145">
        <f>I_O!P221*TEA!P73</f>
        <v>0</v>
      </c>
      <c r="Q117" s="145">
        <f>I_O!Q221*TEA!Q73</f>
        <v>0</v>
      </c>
    </row>
    <row r="118" spans="1:17" x14ac:dyDescent="0.25">
      <c r="A118" s="53" t="str">
        <f>I_O!A222</f>
        <v>Wastewater, Gasification (kg/yr)</v>
      </c>
      <c r="B118" s="145">
        <f>I_O!B222*TEA!B74</f>
        <v>0</v>
      </c>
      <c r="C118" s="145">
        <f>I_O!C222*TEA!C74</f>
        <v>0</v>
      </c>
      <c r="D118" s="145">
        <f>I_O!D222*TEA!D74</f>
        <v>0</v>
      </c>
      <c r="E118" s="145">
        <f>I_O!E222*TEA!E74</f>
        <v>0</v>
      </c>
      <c r="F118" s="145"/>
      <c r="G118" s="145">
        <f>I_O!G222*TEA!G74</f>
        <v>0</v>
      </c>
      <c r="H118" s="145">
        <f>I_O!H222*TEA!H74</f>
        <v>0</v>
      </c>
      <c r="I118" s="145">
        <f>I_O!I222*TEA!I74</f>
        <v>0</v>
      </c>
      <c r="J118" s="145">
        <f>I_O!J222*TEA!J74</f>
        <v>0</v>
      </c>
      <c r="K118" s="145">
        <f>I_O!K222*TEA!K74</f>
        <v>0</v>
      </c>
      <c r="L118" s="145">
        <f>I_O!L222*TEA!L74</f>
        <v>0</v>
      </c>
      <c r="M118" s="145">
        <f>I_O!M222*TEA!M74</f>
        <v>0</v>
      </c>
      <c r="N118" s="145">
        <f>I_O!N222*TEA!N74</f>
        <v>1.3689000000000001E-6</v>
      </c>
      <c r="O118" s="145">
        <f>I_O!O222*TEA!O74</f>
        <v>0</v>
      </c>
      <c r="P118" s="145">
        <f>I_O!P222*TEA!P74</f>
        <v>0</v>
      </c>
      <c r="Q118" s="145">
        <f>I_O!Q222*TEA!Q74</f>
        <v>0</v>
      </c>
    </row>
    <row r="119" spans="1:17" x14ac:dyDescent="0.25">
      <c r="A119" s="53" t="str">
        <f>I_O!A223</f>
        <v>Water, Output (kg/yr)</v>
      </c>
      <c r="B119" s="145">
        <f>I_O!B223*TEA!B75</f>
        <v>0</v>
      </c>
      <c r="C119" s="145">
        <f>I_O!C223*TEA!C75</f>
        <v>0</v>
      </c>
      <c r="D119" s="145">
        <f>I_O!D223*TEA!D75</f>
        <v>0</v>
      </c>
      <c r="E119" s="145">
        <f>I_O!E223*TEA!E75</f>
        <v>0</v>
      </c>
      <c r="F119" s="145"/>
      <c r="G119" s="145">
        <f>I_O!G223*TEA!G75</f>
        <v>0</v>
      </c>
      <c r="H119" s="145">
        <f>I_O!H223*TEA!H75</f>
        <v>0</v>
      </c>
      <c r="I119" s="145">
        <f>I_O!I223*TEA!I75</f>
        <v>0</v>
      </c>
      <c r="J119" s="145">
        <f>I_O!J223*TEA!J75</f>
        <v>0</v>
      </c>
      <c r="K119" s="145">
        <f>I_O!K223*TEA!K75</f>
        <v>0</v>
      </c>
      <c r="L119" s="145">
        <f>I_O!L223*TEA!L75</f>
        <v>0</v>
      </c>
      <c r="M119" s="145">
        <f>I_O!M223*TEA!M75</f>
        <v>0</v>
      </c>
      <c r="N119" s="145">
        <f>I_O!N223*TEA!N75</f>
        <v>0</v>
      </c>
      <c r="O119" s="145">
        <f>I_O!O223*TEA!O75</f>
        <v>0</v>
      </c>
      <c r="P119" s="145">
        <f>I_O!P223*TEA!P75</f>
        <v>0</v>
      </c>
      <c r="Q119" s="145">
        <f>I_O!Q223*TEA!Q75</f>
        <v>0</v>
      </c>
    </row>
    <row r="120" spans="1:17" x14ac:dyDescent="0.25">
      <c r="A120" s="53" t="str">
        <f>I_O!A224</f>
        <v>WDGS (kg/yr)</v>
      </c>
      <c r="B120" s="145">
        <f>I_O!B224*TEA!B76</f>
        <v>0</v>
      </c>
      <c r="C120" s="145">
        <f>I_O!C224*TEA!C76</f>
        <v>0</v>
      </c>
      <c r="D120" s="145">
        <f>I_O!D224*TEA!D76</f>
        <v>0</v>
      </c>
      <c r="E120" s="145">
        <f>I_O!E224*TEA!E76</f>
        <v>0</v>
      </c>
      <c r="F120" s="145"/>
      <c r="G120" s="145">
        <f>I_O!G224*TEA!G76</f>
        <v>0</v>
      </c>
      <c r="H120" s="145">
        <f>I_O!H224*TEA!H76</f>
        <v>0</v>
      </c>
      <c r="I120" s="145">
        <f>I_O!I224*TEA!I76</f>
        <v>0</v>
      </c>
      <c r="J120" s="145">
        <f>I_O!J224*TEA!J76</f>
        <v>0</v>
      </c>
      <c r="K120" s="145">
        <f>I_O!K224*TEA!K76</f>
        <v>0</v>
      </c>
      <c r="L120" s="145">
        <f>I_O!L224*TEA!L76</f>
        <v>0</v>
      </c>
      <c r="M120" s="145">
        <f>I_O!M224*TEA!M76</f>
        <v>0</v>
      </c>
      <c r="N120" s="145">
        <f>I_O!N224*TEA!N76</f>
        <v>0</v>
      </c>
      <c r="O120" s="145">
        <f>I_O!O224*TEA!O76</f>
        <v>0</v>
      </c>
      <c r="P120" s="145">
        <f>I_O!P224*TEA!P76</f>
        <v>0</v>
      </c>
      <c r="Q120" s="145">
        <f>I_O!Q224*TEA!Q76</f>
        <v>0</v>
      </c>
    </row>
    <row r="121" spans="1:17" x14ac:dyDescent="0.25">
      <c r="A121" s="53" t="str">
        <f>I_O!A225</f>
        <v>WOG, Delivered (kg/yr)</v>
      </c>
      <c r="B121" s="145">
        <f>I_O!B225*TEA!B77</f>
        <v>0</v>
      </c>
      <c r="C121" s="145">
        <f>I_O!C225*TEA!C77</f>
        <v>0</v>
      </c>
      <c r="D121" s="145">
        <f>I_O!D225*TEA!D77</f>
        <v>0</v>
      </c>
      <c r="E121" s="145">
        <f>I_O!E225*TEA!E77</f>
        <v>0</v>
      </c>
      <c r="F121" s="145"/>
      <c r="G121" s="145">
        <f>I_O!G225*TEA!G77</f>
        <v>0</v>
      </c>
      <c r="H121" s="145">
        <f>I_O!H225*TEA!H77</f>
        <v>0</v>
      </c>
      <c r="I121" s="145">
        <f>I_O!I225*TEA!I77</f>
        <v>0</v>
      </c>
      <c r="J121" s="145">
        <f>I_O!J225*TEA!J77</f>
        <v>0</v>
      </c>
      <c r="K121" s="145">
        <f>I_O!K225*TEA!K77</f>
        <v>0</v>
      </c>
      <c r="L121" s="145">
        <f>I_O!L225*TEA!L77</f>
        <v>0</v>
      </c>
      <c r="M121" s="145">
        <f>I_O!M225*TEA!M77</f>
        <v>0</v>
      </c>
      <c r="N121" s="145">
        <f>I_O!N225*TEA!N77</f>
        <v>0</v>
      </c>
      <c r="O121" s="145">
        <f>I_O!O225*TEA!O77</f>
        <v>0</v>
      </c>
      <c r="P121" s="145">
        <f>I_O!P225*TEA!P77</f>
        <v>0</v>
      </c>
      <c r="Q121" s="145">
        <f>I_O!Q225*TEA!Q77</f>
        <v>0</v>
      </c>
    </row>
    <row r="122" spans="1:17" x14ac:dyDescent="0.25">
      <c r="A122" s="53" t="str">
        <f>I_O!A226</f>
        <v>Woody Biomass (kg/yr)</v>
      </c>
      <c r="B122" s="145">
        <f>I_O!B226*TEA!B78</f>
        <v>0</v>
      </c>
      <c r="C122" s="145">
        <f>I_O!C226*TEA!C78</f>
        <v>0</v>
      </c>
      <c r="D122" s="145">
        <f>I_O!D226*TEA!D78</f>
        <v>0</v>
      </c>
      <c r="E122" s="145">
        <f>I_O!E226*TEA!E78</f>
        <v>0</v>
      </c>
      <c r="F122" s="145"/>
      <c r="G122" s="145">
        <f>I_O!G226*TEA!G78</f>
        <v>0</v>
      </c>
      <c r="H122" s="145">
        <f>I_O!H226*TEA!H78</f>
        <v>0</v>
      </c>
      <c r="I122" s="145">
        <f>I_O!I226*TEA!I78</f>
        <v>0</v>
      </c>
      <c r="J122" s="145">
        <f>I_O!J226*TEA!J78</f>
        <v>0</v>
      </c>
      <c r="K122" s="145">
        <f>I_O!K226*TEA!K78</f>
        <v>0</v>
      </c>
      <c r="L122" s="145">
        <f>I_O!L226*TEA!L78</f>
        <v>0</v>
      </c>
      <c r="M122" s="145">
        <f>I_O!M226*TEA!M78</f>
        <v>0</v>
      </c>
      <c r="N122" s="145">
        <f>I_O!N226*TEA!N78</f>
        <v>0</v>
      </c>
      <c r="O122" s="145">
        <f>I_O!O226*TEA!O78</f>
        <v>0</v>
      </c>
      <c r="P122" s="145">
        <f>I_O!P226*TEA!P78</f>
        <v>0</v>
      </c>
      <c r="Q122" s="145">
        <f>I_O!Q226*TEA!Q78</f>
        <v>0</v>
      </c>
    </row>
    <row r="123" spans="1:17" x14ac:dyDescent="0.25">
      <c r="A123" s="53" t="str">
        <f>I_O!A227</f>
        <v>Biodiesel, Produced (kg/yr)</v>
      </c>
      <c r="B123" s="145">
        <f>I_O!B227*TEA!B79</f>
        <v>272948.43281165924</v>
      </c>
      <c r="C123" s="145">
        <f>I_O!C227*TEA!C79</f>
        <v>0</v>
      </c>
      <c r="D123" s="145">
        <f>I_O!D227*TEA!D79</f>
        <v>0</v>
      </c>
      <c r="E123" s="145">
        <f>I_O!E227*TEA!E79</f>
        <v>0</v>
      </c>
      <c r="F123" s="145"/>
      <c r="G123" s="145">
        <f>I_O!G227*TEA!G79</f>
        <v>0</v>
      </c>
      <c r="H123" s="145">
        <f>I_O!H227*TEA!H79</f>
        <v>0</v>
      </c>
      <c r="I123" s="145">
        <f>I_O!I227*TEA!I79</f>
        <v>0</v>
      </c>
      <c r="J123" s="145">
        <f>I_O!J227*TEA!J79</f>
        <v>0</v>
      </c>
      <c r="K123" s="145">
        <f>I_O!K227*TEA!K79</f>
        <v>0</v>
      </c>
      <c r="L123" s="145">
        <f>I_O!L227*TEA!L79</f>
        <v>0</v>
      </c>
      <c r="M123" s="145">
        <f>I_O!M227*TEA!M79</f>
        <v>0</v>
      </c>
      <c r="N123" s="145">
        <f>I_O!N227*TEA!N79</f>
        <v>0.86901473296500931</v>
      </c>
      <c r="O123" s="145">
        <f>I_O!O227*TEA!O79</f>
        <v>53113.197486112324</v>
      </c>
      <c r="P123" s="145">
        <f>I_O!P227*TEA!P79</f>
        <v>0</v>
      </c>
      <c r="Q123" s="145">
        <f>I_O!Q227*TEA!Q79</f>
        <v>0</v>
      </c>
    </row>
    <row r="124" spans="1:17" x14ac:dyDescent="0.25">
      <c r="A124" s="53" t="str">
        <f>I_O!A228</f>
        <v>Diesel, Produced (kg/yr)</v>
      </c>
      <c r="B124" s="145">
        <f>I_O!B228*TEA!B80</f>
        <v>0</v>
      </c>
      <c r="C124" s="145">
        <f>I_O!C228*TEA!C80</f>
        <v>72006.362914666694</v>
      </c>
      <c r="D124" s="145">
        <f>I_O!D228*TEA!D80</f>
        <v>0</v>
      </c>
      <c r="E124" s="145">
        <f>I_O!E228*TEA!E80</f>
        <v>0</v>
      </c>
      <c r="F124" s="145"/>
      <c r="G124" s="145">
        <f>I_O!G228*TEA!G80</f>
        <v>0</v>
      </c>
      <c r="H124" s="145">
        <f>I_O!H228*TEA!H80</f>
        <v>0</v>
      </c>
      <c r="I124" s="145">
        <f>I_O!I228*TEA!I80</f>
        <v>2233355.5806435118</v>
      </c>
      <c r="J124" s="145">
        <f>I_O!J228*TEA!J80</f>
        <v>0</v>
      </c>
      <c r="K124" s="145">
        <f>I_O!K228*TEA!K80</f>
        <v>0</v>
      </c>
      <c r="L124" s="145">
        <f>I_O!L228*TEA!L80</f>
        <v>0</v>
      </c>
      <c r="M124" s="145">
        <f>I_O!M228*TEA!M80</f>
        <v>0</v>
      </c>
      <c r="N124" s="145">
        <f>I_O!N228*TEA!N80</f>
        <v>1.1616563385911602</v>
      </c>
      <c r="O124" s="145">
        <f>I_O!O228*TEA!O80</f>
        <v>0</v>
      </c>
      <c r="P124" s="145">
        <f>I_O!P228*TEA!P80</f>
        <v>18147.446428495259</v>
      </c>
      <c r="Q124" s="145">
        <f>I_O!Q228*TEA!Q80</f>
        <v>0</v>
      </c>
    </row>
    <row r="125" spans="1:17" x14ac:dyDescent="0.25">
      <c r="A125" s="53" t="str">
        <f>I_O!A229</f>
        <v>Electricity, Generated (MJ/yr)</v>
      </c>
      <c r="B125" s="145">
        <f>I_O!B229*TEA!B81</f>
        <v>0</v>
      </c>
      <c r="C125" s="145">
        <f>I_O!C229*TEA!C81</f>
        <v>0</v>
      </c>
      <c r="D125" s="145">
        <f>I_O!D229*TEA!D81</f>
        <v>0</v>
      </c>
      <c r="E125" s="145">
        <f>I_O!E229*TEA!E81</f>
        <v>0</v>
      </c>
      <c r="F125" s="145"/>
      <c r="G125" s="145">
        <f>I_O!G229*TEA!G81</f>
        <v>0</v>
      </c>
      <c r="H125" s="145">
        <f>I_O!H229*TEA!H81</f>
        <v>0</v>
      </c>
      <c r="I125" s="145">
        <f>I_O!I229*TEA!I81</f>
        <v>0</v>
      </c>
      <c r="J125" s="145">
        <f>I_O!J229*TEA!J81</f>
        <v>0</v>
      </c>
      <c r="K125" s="145">
        <f>I_O!K229*TEA!K81</f>
        <v>0</v>
      </c>
      <c r="L125" s="145">
        <f>I_O!L229*TEA!L81</f>
        <v>0</v>
      </c>
      <c r="M125" s="145">
        <f>I_O!M229*TEA!M81</f>
        <v>0</v>
      </c>
      <c r="N125" s="145">
        <f>I_O!N229*TEA!N81</f>
        <v>3.5052159661728402E-4</v>
      </c>
      <c r="O125" s="145">
        <f>I_O!O229*TEA!O81</f>
        <v>0</v>
      </c>
      <c r="P125" s="145">
        <f>I_O!P229*TEA!P81</f>
        <v>0</v>
      </c>
      <c r="Q125" s="145">
        <f>I_O!Q229*TEA!Q81</f>
        <v>0</v>
      </c>
    </row>
    <row r="126" spans="1:17" x14ac:dyDescent="0.25">
      <c r="A126" s="53" t="str">
        <f>I_O!A230</f>
        <v>Ethanol (kg/yr)</v>
      </c>
      <c r="B126" s="145">
        <f>I_O!B230*TEA!B82</f>
        <v>0</v>
      </c>
      <c r="C126" s="145">
        <f>I_O!C230*TEA!C82</f>
        <v>0</v>
      </c>
      <c r="D126" s="145">
        <f>I_O!D230*TEA!D82</f>
        <v>0</v>
      </c>
      <c r="E126" s="145">
        <f>I_O!E230*TEA!E82</f>
        <v>0</v>
      </c>
      <c r="F126" s="145"/>
      <c r="G126" s="145">
        <f>I_O!G230*TEA!G82</f>
        <v>0</v>
      </c>
      <c r="H126" s="145">
        <f>I_O!H230*TEA!H82</f>
        <v>0</v>
      </c>
      <c r="I126" s="145">
        <f>I_O!I230*TEA!I82</f>
        <v>0</v>
      </c>
      <c r="J126" s="145">
        <f>I_O!J230*TEA!J82</f>
        <v>0</v>
      </c>
      <c r="K126" s="145">
        <f>I_O!K230*TEA!K82</f>
        <v>0</v>
      </c>
      <c r="L126" s="145">
        <f>I_O!L230*TEA!L82</f>
        <v>0</v>
      </c>
      <c r="M126" s="145">
        <f>I_O!M230*TEA!M82</f>
        <v>0</v>
      </c>
      <c r="N126" s="145">
        <f>I_O!N230*TEA!N82</f>
        <v>0.52113259668508294</v>
      </c>
      <c r="O126" s="145">
        <f>I_O!O230*TEA!O82</f>
        <v>0</v>
      </c>
      <c r="P126" s="145">
        <f>I_O!P230*TEA!P82</f>
        <v>0</v>
      </c>
      <c r="Q126" s="145">
        <f>I_O!Q230*TEA!Q82</f>
        <v>0</v>
      </c>
    </row>
    <row r="127" spans="1:17" x14ac:dyDescent="0.25">
      <c r="A127" s="53" t="str">
        <f>I_O!A231</f>
        <v>Gasoline, Produced (kg/yr)</v>
      </c>
      <c r="B127" s="145">
        <f>I_O!B231*TEA!B83</f>
        <v>0</v>
      </c>
      <c r="C127" s="145">
        <f>I_O!C231*TEA!C83</f>
        <v>21866.885213822639</v>
      </c>
      <c r="D127" s="145">
        <f>I_O!D231*TEA!D83</f>
        <v>0</v>
      </c>
      <c r="E127" s="145">
        <f>I_O!E231*TEA!E83</f>
        <v>0</v>
      </c>
      <c r="F127" s="145"/>
      <c r="G127" s="145">
        <f>I_O!G231*TEA!G83</f>
        <v>0</v>
      </c>
      <c r="H127" s="145">
        <f>I_O!H231*TEA!H83</f>
        <v>0</v>
      </c>
      <c r="I127" s="145">
        <f>I_O!I231*TEA!I83</f>
        <v>556144.66667056642</v>
      </c>
      <c r="J127" s="145">
        <f>I_O!J231*TEA!J83</f>
        <v>0</v>
      </c>
      <c r="K127" s="145">
        <f>I_O!K231*TEA!K83</f>
        <v>0</v>
      </c>
      <c r="L127" s="145">
        <f>I_O!L231*TEA!L83</f>
        <v>0</v>
      </c>
      <c r="M127" s="145">
        <f>I_O!M231*TEA!M83</f>
        <v>0</v>
      </c>
      <c r="N127" s="145">
        <f>I_O!N231*TEA!N83</f>
        <v>1.1742257439999999</v>
      </c>
      <c r="O127" s="145">
        <f>I_O!O231*TEA!O83</f>
        <v>0</v>
      </c>
      <c r="P127" s="145">
        <f>I_O!P231*TEA!P83</f>
        <v>5511.0147480462874</v>
      </c>
      <c r="Q127" s="145">
        <f>I_O!Q231*TEA!Q83</f>
        <v>0</v>
      </c>
    </row>
    <row r="128" spans="1:17" x14ac:dyDescent="0.25">
      <c r="A128" s="53" t="str">
        <f>I_O!A232</f>
        <v>Hydrogen, Produced (kg/yr)</v>
      </c>
      <c r="B128" s="145">
        <f>I_O!B232*TEA!B84</f>
        <v>0</v>
      </c>
      <c r="C128" s="145">
        <f>I_O!C232*TEA!C84</f>
        <v>0</v>
      </c>
      <c r="D128" s="145">
        <f>I_O!D232*TEA!D84</f>
        <v>0</v>
      </c>
      <c r="E128" s="145">
        <f>I_O!E232*TEA!E84</f>
        <v>0</v>
      </c>
      <c r="F128" s="145"/>
      <c r="G128" s="145">
        <f>I_O!G232*TEA!G84</f>
        <v>0</v>
      </c>
      <c r="H128" s="145">
        <f>I_O!H232*TEA!H84</f>
        <v>0</v>
      </c>
      <c r="I128" s="145">
        <f>I_O!I232*TEA!I84</f>
        <v>0</v>
      </c>
      <c r="J128" s="145">
        <f>I_O!J232*TEA!J84</f>
        <v>0</v>
      </c>
      <c r="K128" s="145">
        <f>I_O!K232*TEA!K84</f>
        <v>0</v>
      </c>
      <c r="L128" s="145">
        <f>I_O!L232*TEA!L84</f>
        <v>0</v>
      </c>
      <c r="M128" s="145">
        <f>I_O!M232*TEA!M84</f>
        <v>0</v>
      </c>
      <c r="N128" s="145">
        <f>I_O!N232*TEA!N84</f>
        <v>10.342656000000002</v>
      </c>
      <c r="O128" s="145">
        <f>I_O!O232*TEA!O84</f>
        <v>0</v>
      </c>
      <c r="P128" s="145">
        <f>I_O!P232*TEA!P84</f>
        <v>0</v>
      </c>
      <c r="Q128" s="145">
        <f>I_O!Q232*TEA!Q84</f>
        <v>0</v>
      </c>
    </row>
    <row r="129" spans="1:17" x14ac:dyDescent="0.25">
      <c r="A129" s="53" t="str">
        <f>I_O!A233</f>
        <v>Jet A-1 (kg/yr)</v>
      </c>
      <c r="B129" s="145">
        <f>I_O!B233*TEA!B85</f>
        <v>0</v>
      </c>
      <c r="C129" s="145">
        <f>I_O!C233*TEA!C85</f>
        <v>0</v>
      </c>
      <c r="D129" s="145">
        <f>I_O!D233*TEA!D85</f>
        <v>0</v>
      </c>
      <c r="E129" s="145">
        <f>I_O!E233*TEA!E85</f>
        <v>0</v>
      </c>
      <c r="F129" s="145"/>
      <c r="G129" s="145">
        <f>I_O!G233*TEA!G85</f>
        <v>0</v>
      </c>
      <c r="H129" s="145">
        <f>I_O!H233*TEA!H85</f>
        <v>0</v>
      </c>
      <c r="I129" s="145">
        <f>I_O!I233*TEA!I85</f>
        <v>0</v>
      </c>
      <c r="J129" s="145">
        <f>I_O!J233*TEA!J85</f>
        <v>0</v>
      </c>
      <c r="K129" s="145">
        <f>I_O!K233*TEA!K85</f>
        <v>0</v>
      </c>
      <c r="L129" s="145">
        <f>I_O!L233*TEA!L85</f>
        <v>0</v>
      </c>
      <c r="M129" s="145">
        <f>I_O!M233*TEA!M85</f>
        <v>0</v>
      </c>
      <c r="N129" s="145">
        <f>I_O!N233*TEA!N85</f>
        <v>1.2863017780857073</v>
      </c>
      <c r="O129" s="145">
        <f>I_O!O233*TEA!O85</f>
        <v>0</v>
      </c>
      <c r="P129" s="145">
        <f>I_O!P233*TEA!P85</f>
        <v>0</v>
      </c>
      <c r="Q129" s="145">
        <f>I_O!Q233*TEA!Q85</f>
        <v>0</v>
      </c>
    </row>
    <row r="130" spans="1:17" x14ac:dyDescent="0.25">
      <c r="A130" s="53" t="str">
        <f>I_O!A234</f>
        <v>Jet-A (kg/yr)</v>
      </c>
      <c r="B130" s="145">
        <f>I_O!B234*TEA!B86</f>
        <v>0</v>
      </c>
      <c r="C130" s="145">
        <f>I_O!C234*TEA!C86</f>
        <v>163411.96382494923</v>
      </c>
      <c r="D130" s="145">
        <f>I_O!D234*TEA!D86</f>
        <v>0</v>
      </c>
      <c r="E130" s="145">
        <f>I_O!E234*TEA!E86</f>
        <v>0</v>
      </c>
      <c r="F130" s="145"/>
      <c r="G130" s="145">
        <f>I_O!G234*TEA!G86</f>
        <v>0</v>
      </c>
      <c r="H130" s="145">
        <f>I_O!H234*TEA!H86</f>
        <v>0</v>
      </c>
      <c r="I130" s="145">
        <f>I_O!I234*TEA!I86</f>
        <v>5068399.6049747616</v>
      </c>
      <c r="J130" s="145">
        <f>I_O!J234*TEA!J86</f>
        <v>0</v>
      </c>
      <c r="K130" s="145">
        <f>I_O!K234*TEA!K86</f>
        <v>0</v>
      </c>
      <c r="L130" s="145">
        <f>I_O!L234*TEA!L86</f>
        <v>0</v>
      </c>
      <c r="M130" s="145">
        <f>I_O!M234*TEA!M86</f>
        <v>0</v>
      </c>
      <c r="N130" s="145">
        <f>I_O!N234*TEA!N86</f>
        <v>1.2863017780857073</v>
      </c>
      <c r="O130" s="145">
        <f>I_O!O234*TEA!O86</f>
        <v>0</v>
      </c>
      <c r="P130" s="145">
        <f>I_O!P234*TEA!P86</f>
        <v>42604.135219814583</v>
      </c>
      <c r="Q130" s="145">
        <f>I_O!Q234*TEA!Q86</f>
        <v>0</v>
      </c>
    </row>
    <row r="131" spans="1:17" x14ac:dyDescent="0.25">
      <c r="A131" s="53" t="str">
        <f>I_O!A235</f>
        <v>JP-5 (kg/yr)</v>
      </c>
      <c r="B131" s="145">
        <f>I_O!B235*TEA!B87</f>
        <v>0</v>
      </c>
      <c r="C131" s="145">
        <f>I_O!C235*TEA!C87</f>
        <v>0</v>
      </c>
      <c r="D131" s="145">
        <f>I_O!D235*TEA!D87</f>
        <v>0</v>
      </c>
      <c r="E131" s="145">
        <f>I_O!E235*TEA!E87</f>
        <v>0</v>
      </c>
      <c r="F131" s="145"/>
      <c r="G131" s="145">
        <f>I_O!G235*TEA!G87</f>
        <v>0</v>
      </c>
      <c r="H131" s="145">
        <f>I_O!H235*TEA!H87</f>
        <v>0</v>
      </c>
      <c r="I131" s="145">
        <f>I_O!I235*TEA!I87</f>
        <v>0</v>
      </c>
      <c r="J131" s="145">
        <f>I_O!J235*TEA!J87</f>
        <v>0</v>
      </c>
      <c r="K131" s="145">
        <f>I_O!K235*TEA!K87</f>
        <v>0</v>
      </c>
      <c r="L131" s="145">
        <f>I_O!L235*TEA!L87</f>
        <v>0</v>
      </c>
      <c r="M131" s="145">
        <f>I_O!M235*TEA!M87</f>
        <v>0</v>
      </c>
      <c r="N131" s="145">
        <f>I_O!N235*TEA!N87</f>
        <v>1.2863017780857073</v>
      </c>
      <c r="O131" s="145">
        <f>I_O!O235*TEA!O87</f>
        <v>0</v>
      </c>
      <c r="P131" s="145">
        <f>I_O!P235*TEA!P87</f>
        <v>0</v>
      </c>
      <c r="Q131" s="145">
        <f>I_O!Q235*TEA!Q87</f>
        <v>0</v>
      </c>
    </row>
    <row r="132" spans="1:17" x14ac:dyDescent="0.25">
      <c r="A132" s="53" t="str">
        <f>I_O!A236</f>
        <v>JP-8 (kg/yr)</v>
      </c>
      <c r="B132" s="145">
        <f>I_O!B236*TEA!B88</f>
        <v>0</v>
      </c>
      <c r="C132" s="145">
        <f>I_O!C236*TEA!C88</f>
        <v>0</v>
      </c>
      <c r="D132" s="145">
        <f>I_O!D236*TEA!D88</f>
        <v>0</v>
      </c>
      <c r="E132" s="145">
        <f>I_O!E236*TEA!E88</f>
        <v>0</v>
      </c>
      <c r="F132" s="145"/>
      <c r="G132" s="145">
        <f>I_O!G236*TEA!G88</f>
        <v>0</v>
      </c>
      <c r="H132" s="145">
        <f>I_O!H236*TEA!H88</f>
        <v>0</v>
      </c>
      <c r="I132" s="145">
        <f>I_O!I236*TEA!I88</f>
        <v>0</v>
      </c>
      <c r="J132" s="145">
        <f>I_O!J236*TEA!J88</f>
        <v>0</v>
      </c>
      <c r="K132" s="145">
        <f>I_O!K236*TEA!K88</f>
        <v>0</v>
      </c>
      <c r="L132" s="145">
        <f>I_O!L236*TEA!L88</f>
        <v>0</v>
      </c>
      <c r="M132" s="145">
        <f>I_O!M236*TEA!M88</f>
        <v>0</v>
      </c>
      <c r="N132" s="145">
        <f>I_O!N236*TEA!N88</f>
        <v>1.2863017780857073</v>
      </c>
      <c r="O132" s="145">
        <f>I_O!O236*TEA!O88</f>
        <v>0</v>
      </c>
      <c r="P132" s="145">
        <f>I_O!P236*TEA!P88</f>
        <v>0</v>
      </c>
      <c r="Q132" s="145">
        <f>I_O!Q236*TEA!Q88</f>
        <v>0</v>
      </c>
    </row>
    <row r="133" spans="1:17" x14ac:dyDescent="0.25">
      <c r="A133" s="53" t="str">
        <f>I_O!A237</f>
        <v>LPG, Produced (kg/yr)</v>
      </c>
      <c r="B133" s="145">
        <f>I_O!B237*TEA!B89</f>
        <v>0</v>
      </c>
      <c r="C133" s="145">
        <f>I_O!C237*TEA!C89</f>
        <v>21142.016090712495</v>
      </c>
      <c r="D133" s="145">
        <f>I_O!D237*TEA!D89</f>
        <v>0</v>
      </c>
      <c r="E133" s="145">
        <f>I_O!E237*TEA!E89</f>
        <v>0</v>
      </c>
      <c r="F133" s="145"/>
      <c r="G133" s="145">
        <f>I_O!G237*TEA!G89</f>
        <v>0</v>
      </c>
      <c r="H133" s="145">
        <f>I_O!H237*TEA!H89</f>
        <v>0</v>
      </c>
      <c r="I133" s="145">
        <f>I_O!I237*TEA!I89</f>
        <v>655742.59983391128</v>
      </c>
      <c r="J133" s="145">
        <f>I_O!J237*TEA!J89</f>
        <v>0</v>
      </c>
      <c r="K133" s="145">
        <f>I_O!K237*TEA!K89</f>
        <v>0</v>
      </c>
      <c r="L133" s="145">
        <f>I_O!L237*TEA!L89</f>
        <v>0</v>
      </c>
      <c r="M133" s="145">
        <f>I_O!M237*TEA!M89</f>
        <v>0</v>
      </c>
      <c r="N133" s="145">
        <f>I_O!N237*TEA!N89</f>
        <v>1.4528545119705343</v>
      </c>
      <c r="O133" s="145">
        <f>I_O!O237*TEA!O89</f>
        <v>0</v>
      </c>
      <c r="P133" s="145">
        <f>I_O!P237*TEA!P89</f>
        <v>5844.6069796428746</v>
      </c>
      <c r="Q133" s="145">
        <f>I_O!Q237*TEA!Q89</f>
        <v>0</v>
      </c>
    </row>
    <row r="134" spans="1:17" x14ac:dyDescent="0.25">
      <c r="A134" s="53" t="str">
        <f>I_O!A238</f>
        <v>Naptha (kg/yr)</v>
      </c>
      <c r="B134" s="145">
        <f>I_O!B238*TEA!B90</f>
        <v>0</v>
      </c>
      <c r="C134" s="145">
        <f>I_O!C238*TEA!C90</f>
        <v>0</v>
      </c>
      <c r="D134" s="145">
        <f>I_O!D238*TEA!D90</f>
        <v>0</v>
      </c>
      <c r="E134" s="145">
        <f>I_O!E238*TEA!E90</f>
        <v>0</v>
      </c>
      <c r="F134" s="145"/>
      <c r="G134" s="145">
        <f>I_O!G238*TEA!G90</f>
        <v>0</v>
      </c>
      <c r="H134" s="145">
        <f>I_O!H238*TEA!H90</f>
        <v>0</v>
      </c>
      <c r="I134" s="145">
        <f>I_O!I238*TEA!I90</f>
        <v>0</v>
      </c>
      <c r="J134" s="145">
        <f>I_O!J238*TEA!J90</f>
        <v>0</v>
      </c>
      <c r="K134" s="145">
        <f>I_O!K238*TEA!K90</f>
        <v>0</v>
      </c>
      <c r="L134" s="145">
        <f>I_O!L238*TEA!L90</f>
        <v>0</v>
      </c>
      <c r="M134" s="145">
        <f>I_O!M238*TEA!M90</f>
        <v>0</v>
      </c>
      <c r="N134" s="145">
        <f>I_O!N238*TEA!N90</f>
        <v>1.2154696132596687</v>
      </c>
      <c r="O134" s="145">
        <f>I_O!O238*TEA!O90</f>
        <v>0</v>
      </c>
      <c r="P134" s="145">
        <f>I_O!P238*TEA!P90</f>
        <v>0</v>
      </c>
      <c r="Q134" s="145">
        <f>I_O!Q238*TEA!Q90</f>
        <v>0</v>
      </c>
    </row>
    <row r="135" spans="1:17" x14ac:dyDescent="0.25">
      <c r="A135" s="53" t="str">
        <f>I_O!A239</f>
        <v>Propane, Produced (kg/yr)</v>
      </c>
      <c r="B135" s="145">
        <f>I_O!B239*TEA!B91</f>
        <v>0</v>
      </c>
      <c r="C135" s="145">
        <f>I_O!C239*TEA!C91</f>
        <v>556.68534043520435</v>
      </c>
      <c r="D135" s="145">
        <f>I_O!D239*TEA!D91</f>
        <v>0</v>
      </c>
      <c r="E135" s="145">
        <f>I_O!E239*TEA!E91</f>
        <v>0</v>
      </c>
      <c r="F135" s="145"/>
      <c r="G135" s="145">
        <f>I_O!G239*TEA!G91</f>
        <v>0</v>
      </c>
      <c r="H135" s="145">
        <f>I_O!H239*TEA!H91</f>
        <v>0</v>
      </c>
      <c r="I135" s="145">
        <f>I_O!I239*TEA!I91</f>
        <v>8261.5682810180533</v>
      </c>
      <c r="J135" s="145">
        <f>I_O!J239*TEA!J91</f>
        <v>0</v>
      </c>
      <c r="K135" s="145">
        <f>I_O!K239*TEA!K91</f>
        <v>0</v>
      </c>
      <c r="L135" s="145">
        <f>I_O!L239*TEA!L91</f>
        <v>0</v>
      </c>
      <c r="M135" s="145">
        <f>I_O!M239*TEA!M91</f>
        <v>0</v>
      </c>
      <c r="N135" s="145">
        <f>I_O!N239*TEA!N91</f>
        <v>3.9080230625337616E-2</v>
      </c>
      <c r="O135" s="145">
        <f>I_O!O239*TEA!O91</f>
        <v>0</v>
      </c>
      <c r="P135" s="145">
        <f>I_O!P239*TEA!P91</f>
        <v>110.04956845842369</v>
      </c>
      <c r="Q135" s="145">
        <f>I_O!Q239*TEA!Q91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5341-871A-489F-9BCF-69B8C6D05D52}">
  <dimension ref="A1:T3077"/>
  <sheetViews>
    <sheetView workbookViewId="0">
      <selection activeCell="M2" sqref="M2:N2"/>
    </sheetView>
  </sheetViews>
  <sheetFormatPr defaultRowHeight="15.75" x14ac:dyDescent="0.25"/>
  <cols>
    <col min="3" max="3" width="21.5" bestFit="1" customWidth="1"/>
    <col min="6" max="6" width="11.75" bestFit="1" customWidth="1"/>
    <col min="13" max="13" width="10.625" bestFit="1" customWidth="1"/>
  </cols>
  <sheetData>
    <row r="1" spans="1:20" ht="15.75" customHeight="1" x14ac:dyDescent="0.25">
      <c r="A1" s="162" t="s">
        <v>105</v>
      </c>
      <c r="B1" s="262" t="s">
        <v>106</v>
      </c>
      <c r="C1" s="162" t="s">
        <v>107</v>
      </c>
      <c r="D1" s="162" t="s">
        <v>108</v>
      </c>
      <c r="E1" s="162" t="s">
        <v>109</v>
      </c>
      <c r="F1" t="str">
        <f>General!B1</f>
        <v>Soy Biodiesel</v>
      </c>
      <c r="G1" t="str">
        <f>General!C1</f>
        <v>Soy Jet</v>
      </c>
      <c r="H1" t="str">
        <f>General!D1</f>
        <v>Corn Grain EtOH</v>
      </c>
      <c r="I1" t="str">
        <f>General!E1</f>
        <v>Corn Stover EtOH</v>
      </c>
      <c r="J1" t="str">
        <f>General!F1</f>
        <v>Corn Stover Pyrol Jet</v>
      </c>
      <c r="K1" t="str">
        <f>General!G1</f>
        <v>Poplar Jet</v>
      </c>
      <c r="L1" t="str">
        <f>General!H1</f>
        <v>Switchgrass Jet</v>
      </c>
      <c r="M1" t="str">
        <f>General!I1</f>
        <v>Algae HEFA</v>
      </c>
      <c r="N1" t="str">
        <f>General!J1</f>
        <v>Algae HTL</v>
      </c>
      <c r="O1" t="str">
        <f>General!K1</f>
        <v>Forestry Residue</v>
      </c>
      <c r="P1" t="str">
        <f>General!L1</f>
        <v>MSW</v>
      </c>
      <c r="Q1" t="str">
        <f>General!M1</f>
        <v>Carinata</v>
      </c>
      <c r="R1" t="str">
        <f>General!N1</f>
        <v>Guayule</v>
      </c>
      <c r="S1" t="str">
        <f>General!O1</f>
        <v>Macroalage</v>
      </c>
      <c r="T1" t="str">
        <f>General!P1</f>
        <v>BETO+</v>
      </c>
    </row>
    <row r="2" spans="1:20" ht="15.75" customHeight="1" x14ac:dyDescent="0.25">
      <c r="A2" s="162"/>
      <c r="B2" s="262"/>
      <c r="C2" s="94" t="s">
        <v>110</v>
      </c>
      <c r="D2" s="269"/>
      <c r="M2" s="269" t="s">
        <v>111</v>
      </c>
      <c r="N2" s="269" t="s">
        <v>111</v>
      </c>
    </row>
    <row r="3" spans="1:20" x14ac:dyDescent="0.25">
      <c r="A3" s="262">
        <v>1001</v>
      </c>
      <c r="B3" s="262" t="s">
        <v>112</v>
      </c>
      <c r="C3" s="262" t="s">
        <v>113</v>
      </c>
      <c r="D3" s="262">
        <v>-86.645648600000001</v>
      </c>
      <c r="E3" s="262">
        <v>32.540089999999999</v>
      </c>
      <c r="M3" s="262">
        <v>17.40505945</v>
      </c>
      <c r="N3" s="262">
        <v>17.40505945</v>
      </c>
    </row>
    <row r="4" spans="1:20" x14ac:dyDescent="0.25">
      <c r="A4" s="262">
        <v>1003</v>
      </c>
      <c r="B4" s="262" t="s">
        <v>112</v>
      </c>
      <c r="C4" s="262" t="s">
        <v>114</v>
      </c>
      <c r="D4" s="262">
        <v>-87.726271699999998</v>
      </c>
      <c r="E4" s="262">
        <v>30.738309999999998</v>
      </c>
      <c r="M4" s="262">
        <v>19.464491299999999</v>
      </c>
      <c r="N4" s="262">
        <v>19.464491299999999</v>
      </c>
    </row>
    <row r="5" spans="1:20" x14ac:dyDescent="0.25">
      <c r="A5" s="262">
        <v>1005</v>
      </c>
      <c r="B5" s="262" t="s">
        <v>112</v>
      </c>
      <c r="C5" s="262" t="s">
        <v>115</v>
      </c>
      <c r="D5" s="262">
        <v>-85.397327200000007</v>
      </c>
      <c r="E5" s="262">
        <v>31.874030000000001</v>
      </c>
      <c r="M5" s="262">
        <v>18.23313538</v>
      </c>
      <c r="N5" s="262">
        <v>18.23313538</v>
      </c>
    </row>
    <row r="6" spans="1:20" x14ac:dyDescent="0.25">
      <c r="A6" s="262">
        <v>1007</v>
      </c>
      <c r="B6" s="262" t="s">
        <v>112</v>
      </c>
      <c r="C6" s="262" t="s">
        <v>116</v>
      </c>
      <c r="D6" s="262">
        <v>-87.125260499999996</v>
      </c>
      <c r="E6" s="262">
        <v>32.999020000000002</v>
      </c>
      <c r="M6" s="262">
        <v>16.995097489999999</v>
      </c>
      <c r="N6" s="262">
        <v>16.995097489999999</v>
      </c>
    </row>
    <row r="7" spans="1:20" x14ac:dyDescent="0.25">
      <c r="A7" s="262">
        <v>1009</v>
      </c>
      <c r="B7" s="262" t="s">
        <v>112</v>
      </c>
      <c r="C7" s="262" t="s">
        <v>117</v>
      </c>
      <c r="D7" s="262">
        <v>-86.562711399999998</v>
      </c>
      <c r="E7" s="262">
        <v>33.99044</v>
      </c>
      <c r="M7" s="262">
        <v>16.212574050000001</v>
      </c>
      <c r="N7" s="262">
        <v>16.212574050000001</v>
      </c>
    </row>
    <row r="8" spans="1:20" x14ac:dyDescent="0.25">
      <c r="A8" s="262">
        <v>1011</v>
      </c>
      <c r="B8" s="262" t="s">
        <v>112</v>
      </c>
      <c r="C8" s="262" t="s">
        <v>118</v>
      </c>
      <c r="D8" s="262">
        <v>-85.716803600000006</v>
      </c>
      <c r="E8" s="262">
        <v>32.106340000000003</v>
      </c>
      <c r="M8" s="262">
        <v>17.898753150000001</v>
      </c>
      <c r="N8" s="262">
        <v>17.898753150000001</v>
      </c>
    </row>
    <row r="9" spans="1:20" x14ac:dyDescent="0.25">
      <c r="A9" s="262">
        <v>1013</v>
      </c>
      <c r="B9" s="262" t="s">
        <v>112</v>
      </c>
      <c r="C9" s="262" t="s">
        <v>119</v>
      </c>
      <c r="D9" s="262">
        <v>-86.684347000000002</v>
      </c>
      <c r="E9" s="262">
        <v>31.75714</v>
      </c>
      <c r="M9" s="262">
        <v>18.161797839999998</v>
      </c>
      <c r="N9" s="262">
        <v>18.161797839999998</v>
      </c>
    </row>
    <row r="10" spans="1:20" x14ac:dyDescent="0.25">
      <c r="A10" s="262">
        <v>1015</v>
      </c>
      <c r="B10" s="262" t="s">
        <v>112</v>
      </c>
      <c r="C10" s="262" t="s">
        <v>120</v>
      </c>
      <c r="D10" s="262">
        <v>-85.829561100000006</v>
      </c>
      <c r="E10" s="262">
        <v>33.776249999999997</v>
      </c>
      <c r="M10" s="262">
        <v>16.461124160000001</v>
      </c>
      <c r="N10" s="262">
        <v>16.461124160000001</v>
      </c>
    </row>
    <row r="11" spans="1:20" x14ac:dyDescent="0.25">
      <c r="A11" s="262">
        <v>1017</v>
      </c>
      <c r="B11" s="262" t="s">
        <v>112</v>
      </c>
      <c r="C11" s="262" t="s">
        <v>121</v>
      </c>
      <c r="D11" s="262">
        <v>-85.394853100000006</v>
      </c>
      <c r="E11" s="262">
        <v>32.916330000000002</v>
      </c>
      <c r="M11" s="262">
        <v>17.25612594</v>
      </c>
      <c r="N11" s="262">
        <v>17.25612594</v>
      </c>
    </row>
    <row r="12" spans="1:20" x14ac:dyDescent="0.25">
      <c r="A12" s="262">
        <v>1019</v>
      </c>
      <c r="B12" s="262" t="s">
        <v>112</v>
      </c>
      <c r="C12" s="262" t="s">
        <v>122</v>
      </c>
      <c r="D12" s="262">
        <v>-85.604219900000004</v>
      </c>
      <c r="E12" s="262">
        <v>34.191470000000002</v>
      </c>
      <c r="M12" s="262">
        <v>16.1322005</v>
      </c>
      <c r="N12" s="262">
        <v>16.1322005</v>
      </c>
    </row>
    <row r="13" spans="1:20" x14ac:dyDescent="0.25">
      <c r="A13" s="262">
        <v>1021</v>
      </c>
      <c r="B13" s="262" t="s">
        <v>112</v>
      </c>
      <c r="C13" s="262" t="s">
        <v>123</v>
      </c>
      <c r="D13" s="262">
        <v>-86.715624000000005</v>
      </c>
      <c r="E13" s="262">
        <v>32.85163</v>
      </c>
      <c r="M13" s="262">
        <v>17.157695539999999</v>
      </c>
      <c r="N13" s="262">
        <v>17.157695539999999</v>
      </c>
    </row>
    <row r="14" spans="1:20" x14ac:dyDescent="0.25">
      <c r="A14" s="262">
        <v>1023</v>
      </c>
      <c r="B14" s="262" t="s">
        <v>112</v>
      </c>
      <c r="C14" s="262" t="s">
        <v>124</v>
      </c>
      <c r="D14" s="262">
        <v>-88.259536900000001</v>
      </c>
      <c r="E14" s="262">
        <v>32.020470000000003</v>
      </c>
      <c r="M14" s="262">
        <v>17.751536260000002</v>
      </c>
      <c r="N14" s="262">
        <v>17.751536260000002</v>
      </c>
    </row>
    <row r="15" spans="1:20" x14ac:dyDescent="0.25">
      <c r="A15" s="262">
        <v>1025</v>
      </c>
      <c r="B15" s="262" t="s">
        <v>112</v>
      </c>
      <c r="C15" s="262" t="s">
        <v>125</v>
      </c>
      <c r="D15" s="262">
        <v>-87.824829699999995</v>
      </c>
      <c r="E15" s="262">
        <v>31.67333</v>
      </c>
      <c r="M15" s="262">
        <v>18.255676170000001</v>
      </c>
      <c r="N15" s="262">
        <v>18.255676170000001</v>
      </c>
    </row>
    <row r="16" spans="1:20" x14ac:dyDescent="0.25">
      <c r="A16" s="262">
        <v>1027</v>
      </c>
      <c r="B16" s="262" t="s">
        <v>112</v>
      </c>
      <c r="C16" s="262" t="s">
        <v>126</v>
      </c>
      <c r="D16" s="262">
        <v>-85.851787099999996</v>
      </c>
      <c r="E16" s="262">
        <v>33.273409999999998</v>
      </c>
      <c r="M16" s="262">
        <v>16.894216879999998</v>
      </c>
      <c r="N16" s="262">
        <v>16.894216879999998</v>
      </c>
    </row>
    <row r="17" spans="1:14" x14ac:dyDescent="0.25">
      <c r="A17" s="262">
        <v>1029</v>
      </c>
      <c r="B17" s="262" t="s">
        <v>112</v>
      </c>
      <c r="C17" s="262" t="s">
        <v>127</v>
      </c>
      <c r="D17" s="262">
        <v>-85.526101699999998</v>
      </c>
      <c r="E17" s="262">
        <v>33.676220000000001</v>
      </c>
      <c r="M17" s="262">
        <v>16.56363584</v>
      </c>
      <c r="N17" s="262">
        <v>16.56363584</v>
      </c>
    </row>
    <row r="18" spans="1:14" x14ac:dyDescent="0.25">
      <c r="A18" s="262">
        <v>1031</v>
      </c>
      <c r="B18" s="262" t="s">
        <v>112</v>
      </c>
      <c r="C18" s="262" t="s">
        <v>128</v>
      </c>
      <c r="D18" s="262">
        <v>-85.994440600000004</v>
      </c>
      <c r="E18" s="262">
        <v>31.398479999999999</v>
      </c>
      <c r="M18" s="262">
        <v>18.59589218</v>
      </c>
      <c r="N18" s="262">
        <v>18.59589218</v>
      </c>
    </row>
    <row r="19" spans="1:14" x14ac:dyDescent="0.25">
      <c r="A19" s="262">
        <v>1033</v>
      </c>
      <c r="B19" s="262" t="s">
        <v>112</v>
      </c>
      <c r="C19" s="262" t="s">
        <v>129</v>
      </c>
      <c r="D19" s="262">
        <v>-87.810975999999997</v>
      </c>
      <c r="E19" s="262">
        <v>34.702759999999998</v>
      </c>
      <c r="M19" s="262">
        <v>15.84316626</v>
      </c>
      <c r="N19" s="262">
        <v>15.84316626</v>
      </c>
    </row>
    <row r="20" spans="1:14" x14ac:dyDescent="0.25">
      <c r="A20" s="262">
        <v>1035</v>
      </c>
      <c r="B20" s="262" t="s">
        <v>112</v>
      </c>
      <c r="C20" s="262" t="s">
        <v>130</v>
      </c>
      <c r="D20" s="262">
        <v>-86.990654399999997</v>
      </c>
      <c r="E20" s="262">
        <v>31.435780000000001</v>
      </c>
      <c r="M20" s="262">
        <v>18.545485289999998</v>
      </c>
      <c r="N20" s="262">
        <v>18.545485289999998</v>
      </c>
    </row>
    <row r="21" spans="1:14" x14ac:dyDescent="0.25">
      <c r="A21" s="262">
        <v>1037</v>
      </c>
      <c r="B21" s="262" t="s">
        <v>112</v>
      </c>
      <c r="C21" s="262" t="s">
        <v>131</v>
      </c>
      <c r="D21" s="262">
        <v>-86.245441200000002</v>
      </c>
      <c r="E21" s="262">
        <v>32.94021</v>
      </c>
      <c r="M21" s="262">
        <v>17.134605199999999</v>
      </c>
      <c r="N21" s="262">
        <v>17.134605199999999</v>
      </c>
    </row>
    <row r="22" spans="1:14" x14ac:dyDescent="0.25">
      <c r="A22" s="262">
        <v>1039</v>
      </c>
      <c r="B22" s="262" t="s">
        <v>112</v>
      </c>
      <c r="C22" s="262" t="s">
        <v>132</v>
      </c>
      <c r="D22" s="262">
        <v>-86.456551000000005</v>
      </c>
      <c r="E22" s="262">
        <v>31.259730000000001</v>
      </c>
      <c r="M22" s="262">
        <v>18.716384229999999</v>
      </c>
      <c r="N22" s="262">
        <v>18.716384229999999</v>
      </c>
    </row>
    <row r="23" spans="1:14" x14ac:dyDescent="0.25">
      <c r="A23" s="262">
        <v>1041</v>
      </c>
      <c r="B23" s="262" t="s">
        <v>112</v>
      </c>
      <c r="C23" s="262" t="s">
        <v>133</v>
      </c>
      <c r="D23" s="262">
        <v>-86.3195616</v>
      </c>
      <c r="E23" s="262">
        <v>31.735910000000001</v>
      </c>
      <c r="M23" s="262">
        <v>18.17128245</v>
      </c>
      <c r="N23" s="262">
        <v>18.17128245</v>
      </c>
    </row>
    <row r="24" spans="1:14" x14ac:dyDescent="0.25">
      <c r="A24" s="262">
        <v>1043</v>
      </c>
      <c r="B24" s="262" t="s">
        <v>112</v>
      </c>
      <c r="C24" s="262" t="s">
        <v>134</v>
      </c>
      <c r="D24" s="262">
        <v>-86.865448099999995</v>
      </c>
      <c r="E24" s="262">
        <v>34.138249999999999</v>
      </c>
      <c r="M24" s="262">
        <v>16.101455090000002</v>
      </c>
      <c r="N24" s="262">
        <v>16.101455090000002</v>
      </c>
    </row>
    <row r="25" spans="1:14" x14ac:dyDescent="0.25">
      <c r="A25" s="262">
        <v>1045</v>
      </c>
      <c r="B25" s="262" t="s">
        <v>112</v>
      </c>
      <c r="C25" s="262" t="s">
        <v>135</v>
      </c>
      <c r="D25" s="262">
        <v>-85.619094099999998</v>
      </c>
      <c r="E25" s="262">
        <v>31.430869999999999</v>
      </c>
      <c r="M25" s="262">
        <v>18.629547120000002</v>
      </c>
      <c r="N25" s="262">
        <v>18.629547120000002</v>
      </c>
    </row>
    <row r="26" spans="1:14" x14ac:dyDescent="0.25">
      <c r="A26" s="262">
        <v>1047</v>
      </c>
      <c r="B26" s="262" t="s">
        <v>112</v>
      </c>
      <c r="C26" s="262" t="s">
        <v>136</v>
      </c>
      <c r="D26" s="262">
        <v>-87.097675100000004</v>
      </c>
      <c r="E26" s="262">
        <v>32.326700000000002</v>
      </c>
      <c r="M26" s="262">
        <v>17.572901399999999</v>
      </c>
      <c r="N26" s="262">
        <v>17.572901399999999</v>
      </c>
    </row>
    <row r="27" spans="1:14" x14ac:dyDescent="0.25">
      <c r="A27" s="262">
        <v>1049</v>
      </c>
      <c r="B27" s="262" t="s">
        <v>112</v>
      </c>
      <c r="C27" s="262" t="s">
        <v>137</v>
      </c>
      <c r="D27" s="262">
        <v>-85.812263900000005</v>
      </c>
      <c r="E27" s="262">
        <v>34.454389999999997</v>
      </c>
      <c r="M27" s="262">
        <v>15.925433419999999</v>
      </c>
      <c r="N27" s="262">
        <v>15.925433419999999</v>
      </c>
    </row>
    <row r="28" spans="1:14" x14ac:dyDescent="0.25">
      <c r="A28" s="262">
        <v>1051</v>
      </c>
      <c r="B28" s="262" t="s">
        <v>112</v>
      </c>
      <c r="C28" s="262" t="s">
        <v>138</v>
      </c>
      <c r="D28" s="262">
        <v>-86.154193300000003</v>
      </c>
      <c r="E28" s="262">
        <v>32.598930000000003</v>
      </c>
      <c r="M28" s="262">
        <v>17.393235650000001</v>
      </c>
      <c r="N28" s="262">
        <v>17.393235650000001</v>
      </c>
    </row>
    <row r="29" spans="1:14" x14ac:dyDescent="0.25">
      <c r="A29" s="262">
        <v>1053</v>
      </c>
      <c r="B29" s="262" t="s">
        <v>112</v>
      </c>
      <c r="C29" s="262" t="s">
        <v>139</v>
      </c>
      <c r="D29" s="262">
        <v>-87.157465299999998</v>
      </c>
      <c r="E29" s="262">
        <v>31.13336</v>
      </c>
      <c r="M29" s="262">
        <v>18.91972307</v>
      </c>
      <c r="N29" s="262">
        <v>18.91972307</v>
      </c>
    </row>
    <row r="30" spans="1:14" x14ac:dyDescent="0.25">
      <c r="A30" s="262">
        <v>1055</v>
      </c>
      <c r="B30" s="262" t="s">
        <v>112</v>
      </c>
      <c r="C30" s="262" t="s">
        <v>140</v>
      </c>
      <c r="D30" s="262">
        <v>-86.033428200000003</v>
      </c>
      <c r="E30" s="262">
        <v>34.052729999999997</v>
      </c>
      <c r="M30" s="262">
        <v>16.20146939</v>
      </c>
      <c r="N30" s="262">
        <v>16.20146939</v>
      </c>
    </row>
    <row r="31" spans="1:14" x14ac:dyDescent="0.25">
      <c r="A31" s="262">
        <v>1057</v>
      </c>
      <c r="B31" s="262" t="s">
        <v>112</v>
      </c>
      <c r="C31" s="262" t="s">
        <v>141</v>
      </c>
      <c r="D31" s="262">
        <v>-87.736376100000001</v>
      </c>
      <c r="E31" s="262">
        <v>33.72193</v>
      </c>
      <c r="M31" s="262">
        <v>16.441310349999998</v>
      </c>
      <c r="N31" s="262">
        <v>16.441310349999998</v>
      </c>
    </row>
    <row r="32" spans="1:14" x14ac:dyDescent="0.25">
      <c r="A32" s="262">
        <v>1059</v>
      </c>
      <c r="B32" s="262" t="s">
        <v>112</v>
      </c>
      <c r="C32" s="262" t="s">
        <v>142</v>
      </c>
      <c r="D32" s="262">
        <v>-87.8455838</v>
      </c>
      <c r="E32" s="262">
        <v>34.443379999999998</v>
      </c>
      <c r="M32" s="262">
        <v>15.99400715</v>
      </c>
      <c r="N32" s="262">
        <v>15.99400715</v>
      </c>
    </row>
    <row r="33" spans="1:14" x14ac:dyDescent="0.25">
      <c r="A33" s="262">
        <v>1061</v>
      </c>
      <c r="B33" s="262" t="s">
        <v>112</v>
      </c>
      <c r="C33" s="262" t="s">
        <v>143</v>
      </c>
      <c r="D33" s="262">
        <v>-85.844377600000001</v>
      </c>
      <c r="E33" s="262">
        <v>31.099920000000001</v>
      </c>
      <c r="M33" s="262">
        <v>18.93207833</v>
      </c>
      <c r="N33" s="262">
        <v>18.93207833</v>
      </c>
    </row>
    <row r="34" spans="1:14" x14ac:dyDescent="0.25">
      <c r="A34" s="262">
        <v>1063</v>
      </c>
      <c r="B34" s="262" t="s">
        <v>112</v>
      </c>
      <c r="C34" s="262" t="s">
        <v>144</v>
      </c>
      <c r="D34" s="262">
        <v>-87.948139999999995</v>
      </c>
      <c r="E34" s="262">
        <v>32.865699999999997</v>
      </c>
      <c r="M34" s="262">
        <v>17.00415619</v>
      </c>
      <c r="N34" s="262">
        <v>17.00415619</v>
      </c>
    </row>
    <row r="35" spans="1:14" x14ac:dyDescent="0.25">
      <c r="A35" s="262">
        <v>1065</v>
      </c>
      <c r="B35" s="262" t="s">
        <v>112</v>
      </c>
      <c r="C35" s="262" t="s">
        <v>145</v>
      </c>
      <c r="D35" s="262">
        <v>-87.622197600000007</v>
      </c>
      <c r="E35" s="262">
        <v>32.764899999999997</v>
      </c>
      <c r="M35" s="262">
        <v>17.126514360000002</v>
      </c>
      <c r="N35" s="262">
        <v>17.126514360000002</v>
      </c>
    </row>
    <row r="36" spans="1:14" x14ac:dyDescent="0.25">
      <c r="A36" s="262">
        <v>1067</v>
      </c>
      <c r="B36" s="262" t="s">
        <v>112</v>
      </c>
      <c r="C36" s="262" t="s">
        <v>146</v>
      </c>
      <c r="D36" s="262">
        <v>-85.254105699999997</v>
      </c>
      <c r="E36" s="262">
        <v>31.51596</v>
      </c>
      <c r="M36" s="262">
        <v>18.61159237</v>
      </c>
      <c r="N36" s="262">
        <v>18.61159237</v>
      </c>
    </row>
    <row r="37" spans="1:14" x14ac:dyDescent="0.25">
      <c r="A37" s="262">
        <v>1069</v>
      </c>
      <c r="B37" s="262" t="s">
        <v>112</v>
      </c>
      <c r="C37" s="262" t="s">
        <v>147</v>
      </c>
      <c r="D37" s="262">
        <v>-85.315430199999994</v>
      </c>
      <c r="E37" s="262">
        <v>31.152539999999998</v>
      </c>
      <c r="M37" s="262">
        <v>18.966983280000001</v>
      </c>
      <c r="N37" s="262">
        <v>18.966983280000001</v>
      </c>
    </row>
    <row r="38" spans="1:14" x14ac:dyDescent="0.25">
      <c r="A38" s="262">
        <v>1071</v>
      </c>
      <c r="B38" s="262" t="s">
        <v>112</v>
      </c>
      <c r="C38" s="262" t="s">
        <v>148</v>
      </c>
      <c r="D38" s="262">
        <v>-85.9977509</v>
      </c>
      <c r="E38" s="262">
        <v>34.77684</v>
      </c>
      <c r="M38" s="262">
        <v>15.708639959999999</v>
      </c>
      <c r="N38" s="262">
        <v>15.708639959999999</v>
      </c>
    </row>
    <row r="39" spans="1:14" x14ac:dyDescent="0.25">
      <c r="A39" s="262">
        <v>1073</v>
      </c>
      <c r="B39" s="262" t="s">
        <v>112</v>
      </c>
      <c r="C39" s="262" t="s">
        <v>149</v>
      </c>
      <c r="D39" s="262">
        <v>-86.890254299999995</v>
      </c>
      <c r="E39" s="262">
        <v>33.56306</v>
      </c>
      <c r="M39" s="262">
        <v>16.575127380000001</v>
      </c>
      <c r="N39" s="262">
        <v>16.575127380000001</v>
      </c>
    </row>
    <row r="40" spans="1:14" x14ac:dyDescent="0.25">
      <c r="A40" s="262">
        <v>1075</v>
      </c>
      <c r="B40" s="262" t="s">
        <v>112</v>
      </c>
      <c r="C40" s="262" t="s">
        <v>150</v>
      </c>
      <c r="D40" s="262">
        <v>-88.097956499999995</v>
      </c>
      <c r="E40" s="262">
        <v>33.781700000000001</v>
      </c>
      <c r="M40" s="262">
        <v>16.398095519999998</v>
      </c>
      <c r="N40" s="262">
        <v>16.398095519999998</v>
      </c>
    </row>
    <row r="41" spans="1:14" x14ac:dyDescent="0.25">
      <c r="A41" s="262">
        <v>1077</v>
      </c>
      <c r="B41" s="262" t="s">
        <v>112</v>
      </c>
      <c r="C41" s="262" t="s">
        <v>151</v>
      </c>
      <c r="D41" s="262">
        <v>-87.654204800000002</v>
      </c>
      <c r="E41" s="262">
        <v>34.904089999999997</v>
      </c>
      <c r="M41" s="262">
        <v>15.728820689999999</v>
      </c>
      <c r="N41" s="262">
        <v>15.728820689999999</v>
      </c>
    </row>
    <row r="42" spans="1:14" x14ac:dyDescent="0.25">
      <c r="A42" s="262">
        <v>1079</v>
      </c>
      <c r="B42" s="262" t="s">
        <v>112</v>
      </c>
      <c r="C42" s="262" t="s">
        <v>152</v>
      </c>
      <c r="D42" s="262">
        <v>-87.305588299999997</v>
      </c>
      <c r="E42" s="262">
        <v>34.524819999999998</v>
      </c>
      <c r="M42" s="262">
        <v>15.897541970000001</v>
      </c>
      <c r="N42" s="262">
        <v>15.897541970000001</v>
      </c>
    </row>
    <row r="43" spans="1:14" x14ac:dyDescent="0.25">
      <c r="A43" s="262">
        <v>1081</v>
      </c>
      <c r="B43" s="262" t="s">
        <v>112</v>
      </c>
      <c r="C43" s="262" t="s">
        <v>153</v>
      </c>
      <c r="D43" s="262">
        <v>-85.355263399999998</v>
      </c>
      <c r="E43" s="262">
        <v>32.609920000000002</v>
      </c>
      <c r="M43" s="262">
        <v>17.522134560000001</v>
      </c>
      <c r="N43" s="262">
        <v>17.522134560000001</v>
      </c>
    </row>
    <row r="44" spans="1:14" x14ac:dyDescent="0.25">
      <c r="A44" s="262">
        <v>1083</v>
      </c>
      <c r="B44" s="262" t="s">
        <v>112</v>
      </c>
      <c r="C44" s="262" t="s">
        <v>154</v>
      </c>
      <c r="D44" s="262">
        <v>-86.973692700000001</v>
      </c>
      <c r="E44" s="262">
        <v>34.81223</v>
      </c>
      <c r="M44" s="262">
        <v>15.693676610000001</v>
      </c>
      <c r="N44" s="262">
        <v>15.693676610000001</v>
      </c>
    </row>
    <row r="45" spans="1:14" x14ac:dyDescent="0.25">
      <c r="A45" s="262">
        <v>1085</v>
      </c>
      <c r="B45" s="262" t="s">
        <v>112</v>
      </c>
      <c r="C45" s="262" t="s">
        <v>155</v>
      </c>
      <c r="D45" s="262">
        <v>-86.650035799999998</v>
      </c>
      <c r="E45" s="262">
        <v>32.157809999999998</v>
      </c>
      <c r="M45" s="262">
        <v>17.737883180000001</v>
      </c>
      <c r="N45" s="262">
        <v>17.737883180000001</v>
      </c>
    </row>
    <row r="46" spans="1:14" x14ac:dyDescent="0.25">
      <c r="A46" s="262">
        <v>1087</v>
      </c>
      <c r="B46" s="262" t="s">
        <v>112</v>
      </c>
      <c r="C46" s="262" t="s">
        <v>156</v>
      </c>
      <c r="D46" s="262">
        <v>-85.695113599999999</v>
      </c>
      <c r="E46" s="262">
        <v>32.393859999999997</v>
      </c>
      <c r="M46" s="262">
        <v>17.637776559999999</v>
      </c>
      <c r="N46" s="262">
        <v>17.637776559999999</v>
      </c>
    </row>
    <row r="47" spans="1:14" x14ac:dyDescent="0.25">
      <c r="A47" s="262">
        <v>1089</v>
      </c>
      <c r="B47" s="262" t="s">
        <v>112</v>
      </c>
      <c r="C47" s="262" t="s">
        <v>157</v>
      </c>
      <c r="D47" s="262">
        <v>-86.543126700000002</v>
      </c>
      <c r="E47" s="262">
        <v>34.765189999999997</v>
      </c>
      <c r="M47" s="262">
        <v>15.67200826</v>
      </c>
      <c r="N47" s="262">
        <v>15.67200826</v>
      </c>
    </row>
    <row r="48" spans="1:14" x14ac:dyDescent="0.25">
      <c r="A48" s="262">
        <v>1091</v>
      </c>
      <c r="B48" s="262" t="s">
        <v>112</v>
      </c>
      <c r="C48" s="262" t="s">
        <v>158</v>
      </c>
      <c r="D48" s="262">
        <v>-87.778312</v>
      </c>
      <c r="E48" s="262">
        <v>32.25123</v>
      </c>
      <c r="M48" s="262">
        <v>17.565076489999999</v>
      </c>
      <c r="N48" s="262">
        <v>17.565076489999999</v>
      </c>
    </row>
    <row r="49" spans="1:14" x14ac:dyDescent="0.25">
      <c r="A49" s="262">
        <v>1093</v>
      </c>
      <c r="B49" s="262" t="s">
        <v>112</v>
      </c>
      <c r="C49" s="262" t="s">
        <v>159</v>
      </c>
      <c r="D49" s="262">
        <v>-87.883197800000005</v>
      </c>
      <c r="E49" s="262">
        <v>34.137920000000001</v>
      </c>
      <c r="M49" s="262">
        <v>16.18828783</v>
      </c>
      <c r="N49" s="262">
        <v>16.18828783</v>
      </c>
    </row>
    <row r="50" spans="1:14" x14ac:dyDescent="0.25">
      <c r="A50" s="262">
        <v>1095</v>
      </c>
      <c r="B50" s="262" t="s">
        <v>112</v>
      </c>
      <c r="C50" s="262" t="s">
        <v>160</v>
      </c>
      <c r="D50" s="262">
        <v>-86.306067200000001</v>
      </c>
      <c r="E50" s="262">
        <v>34.3703</v>
      </c>
      <c r="M50" s="262">
        <v>15.8947819</v>
      </c>
      <c r="N50" s="262">
        <v>15.8947819</v>
      </c>
    </row>
    <row r="51" spans="1:14" x14ac:dyDescent="0.25">
      <c r="A51" s="262">
        <v>1097</v>
      </c>
      <c r="B51" s="262" t="s">
        <v>112</v>
      </c>
      <c r="C51" s="262" t="s">
        <v>161</v>
      </c>
      <c r="D51" s="262">
        <v>-88.206964799999994</v>
      </c>
      <c r="E51" s="262">
        <v>30.81362</v>
      </c>
      <c r="M51" s="262">
        <v>19.518253179999999</v>
      </c>
      <c r="N51" s="262">
        <v>19.518253179999999</v>
      </c>
    </row>
    <row r="52" spans="1:14" x14ac:dyDescent="0.25">
      <c r="A52" s="262">
        <v>1099</v>
      </c>
      <c r="B52" s="262" t="s">
        <v>112</v>
      </c>
      <c r="C52" s="262" t="s">
        <v>162</v>
      </c>
      <c r="D52" s="262">
        <v>-87.364002400000004</v>
      </c>
      <c r="E52" s="262">
        <v>31.572199999999999</v>
      </c>
      <c r="M52" s="262">
        <v>18.383223749999999</v>
      </c>
      <c r="N52" s="262">
        <v>18.383223749999999</v>
      </c>
    </row>
    <row r="53" spans="1:14" x14ac:dyDescent="0.25">
      <c r="A53" s="262">
        <v>1101</v>
      </c>
      <c r="B53" s="262" t="s">
        <v>112</v>
      </c>
      <c r="C53" s="262" t="s">
        <v>163</v>
      </c>
      <c r="D53" s="262">
        <v>-86.207101899999998</v>
      </c>
      <c r="E53" s="262">
        <v>32.225380000000001</v>
      </c>
      <c r="M53" s="262">
        <v>17.670227619999999</v>
      </c>
      <c r="N53" s="262">
        <v>17.670227619999999</v>
      </c>
    </row>
    <row r="54" spans="1:14" x14ac:dyDescent="0.25">
      <c r="A54" s="262">
        <v>1103</v>
      </c>
      <c r="B54" s="262" t="s">
        <v>112</v>
      </c>
      <c r="C54" s="262" t="s">
        <v>164</v>
      </c>
      <c r="D54" s="262">
        <v>-86.847935800000002</v>
      </c>
      <c r="E54" s="262">
        <v>34.457999999999998</v>
      </c>
      <c r="M54" s="262">
        <v>15.87089037</v>
      </c>
      <c r="N54" s="262">
        <v>15.87089037</v>
      </c>
    </row>
    <row r="55" spans="1:14" x14ac:dyDescent="0.25">
      <c r="A55" s="262">
        <v>1105</v>
      </c>
      <c r="B55" s="262" t="s">
        <v>112</v>
      </c>
      <c r="C55" s="262" t="s">
        <v>165</v>
      </c>
      <c r="D55" s="262">
        <v>-87.284065699999999</v>
      </c>
      <c r="E55" s="262">
        <v>32.637549999999997</v>
      </c>
      <c r="M55" s="262">
        <v>17.268716229999999</v>
      </c>
      <c r="N55" s="262">
        <v>17.268716229999999</v>
      </c>
    </row>
    <row r="56" spans="1:14" x14ac:dyDescent="0.25">
      <c r="A56" s="262">
        <v>1107</v>
      </c>
      <c r="B56" s="262" t="s">
        <v>112</v>
      </c>
      <c r="C56" s="262" t="s">
        <v>166</v>
      </c>
      <c r="D56" s="262">
        <v>-88.086887200000007</v>
      </c>
      <c r="E56" s="262">
        <v>33.280439999999999</v>
      </c>
      <c r="M56" s="262">
        <v>16.707719999999998</v>
      </c>
      <c r="N56" s="262">
        <v>16.707719999999998</v>
      </c>
    </row>
    <row r="57" spans="1:14" x14ac:dyDescent="0.25">
      <c r="A57" s="262">
        <v>1109</v>
      </c>
      <c r="B57" s="262" t="s">
        <v>112</v>
      </c>
      <c r="C57" s="262" t="s">
        <v>167</v>
      </c>
      <c r="D57" s="262">
        <v>-85.941787599999998</v>
      </c>
      <c r="E57" s="262">
        <v>31.80547</v>
      </c>
      <c r="M57" s="262">
        <v>18.161716699999999</v>
      </c>
      <c r="N57" s="262">
        <v>18.161716699999999</v>
      </c>
    </row>
    <row r="58" spans="1:14" x14ac:dyDescent="0.25">
      <c r="A58" s="262">
        <v>1111</v>
      </c>
      <c r="B58" s="262" t="s">
        <v>112</v>
      </c>
      <c r="C58" s="262" t="s">
        <v>168</v>
      </c>
      <c r="D58" s="262">
        <v>-85.456599199999999</v>
      </c>
      <c r="E58" s="262">
        <v>33.294170000000001</v>
      </c>
      <c r="M58" s="262">
        <v>16.918900489999999</v>
      </c>
      <c r="N58" s="262">
        <v>16.918900489999999</v>
      </c>
    </row>
    <row r="59" spans="1:14" x14ac:dyDescent="0.25">
      <c r="A59" s="262">
        <v>1113</v>
      </c>
      <c r="B59" s="262" t="s">
        <v>112</v>
      </c>
      <c r="C59" s="262" t="s">
        <v>169</v>
      </c>
      <c r="D59" s="262">
        <v>-85.194105399999998</v>
      </c>
      <c r="E59" s="262">
        <v>32.295200000000001</v>
      </c>
      <c r="M59" s="262">
        <v>17.852670419999999</v>
      </c>
      <c r="N59" s="262">
        <v>17.852670419999999</v>
      </c>
    </row>
    <row r="60" spans="1:14" x14ac:dyDescent="0.25">
      <c r="A60" s="262">
        <v>1115</v>
      </c>
      <c r="B60" s="262" t="s">
        <v>112</v>
      </c>
      <c r="C60" s="262" t="s">
        <v>170</v>
      </c>
      <c r="D60" s="262">
        <v>-86.313930600000006</v>
      </c>
      <c r="E60" s="262">
        <v>33.724469999999997</v>
      </c>
      <c r="M60" s="262">
        <v>16.472890639999999</v>
      </c>
      <c r="N60" s="262">
        <v>16.472890639999999</v>
      </c>
    </row>
    <row r="61" spans="1:14" x14ac:dyDescent="0.25">
      <c r="A61" s="262">
        <v>1117</v>
      </c>
      <c r="B61" s="262" t="s">
        <v>112</v>
      </c>
      <c r="C61" s="262" t="s">
        <v>171</v>
      </c>
      <c r="D61" s="262">
        <v>-86.665103599999995</v>
      </c>
      <c r="E61" s="262">
        <v>33.267609999999998</v>
      </c>
      <c r="M61" s="262">
        <v>16.845204280000001</v>
      </c>
      <c r="N61" s="262">
        <v>16.845204280000001</v>
      </c>
    </row>
    <row r="62" spans="1:14" x14ac:dyDescent="0.25">
      <c r="A62" s="262">
        <v>1119</v>
      </c>
      <c r="B62" s="262" t="s">
        <v>112</v>
      </c>
      <c r="C62" s="262" t="s">
        <v>172</v>
      </c>
      <c r="D62" s="262">
        <v>-88.192063200000007</v>
      </c>
      <c r="E62" s="262">
        <v>32.589619999999996</v>
      </c>
      <c r="M62" s="262">
        <v>17.185693409999999</v>
      </c>
      <c r="N62" s="262">
        <v>17.185693409999999</v>
      </c>
    </row>
    <row r="63" spans="1:14" x14ac:dyDescent="0.25">
      <c r="A63" s="262">
        <v>1121</v>
      </c>
      <c r="B63" s="262" t="s">
        <v>112</v>
      </c>
      <c r="C63" s="262" t="s">
        <v>173</v>
      </c>
      <c r="D63" s="262">
        <v>-86.163113499999994</v>
      </c>
      <c r="E63" s="262">
        <v>33.38653</v>
      </c>
      <c r="M63" s="262">
        <v>16.78698412</v>
      </c>
      <c r="N63" s="262">
        <v>16.78698412</v>
      </c>
    </row>
    <row r="64" spans="1:14" x14ac:dyDescent="0.25">
      <c r="A64" s="262">
        <v>1123</v>
      </c>
      <c r="B64" s="262" t="s">
        <v>112</v>
      </c>
      <c r="C64" s="262" t="s">
        <v>174</v>
      </c>
      <c r="D64" s="262">
        <v>-85.801011599999995</v>
      </c>
      <c r="E64" s="262">
        <v>32.868429999999996</v>
      </c>
      <c r="M64" s="262">
        <v>17.226963139999999</v>
      </c>
      <c r="N64" s="262">
        <v>17.226963139999999</v>
      </c>
    </row>
    <row r="65" spans="1:14" x14ac:dyDescent="0.25">
      <c r="A65" s="262">
        <v>1125</v>
      </c>
      <c r="B65" s="262" t="s">
        <v>112</v>
      </c>
      <c r="C65" s="262" t="s">
        <v>175</v>
      </c>
      <c r="D65" s="262">
        <v>-87.516960900000001</v>
      </c>
      <c r="E65" s="262">
        <v>33.294379999999997</v>
      </c>
      <c r="M65" s="262">
        <v>16.744371220000001</v>
      </c>
      <c r="N65" s="262">
        <v>16.744371220000001</v>
      </c>
    </row>
    <row r="66" spans="1:14" x14ac:dyDescent="0.25">
      <c r="A66" s="262">
        <v>1127</v>
      </c>
      <c r="B66" s="262" t="s">
        <v>112</v>
      </c>
      <c r="C66" s="262" t="s">
        <v>176</v>
      </c>
      <c r="D66" s="262">
        <v>-87.289178899999996</v>
      </c>
      <c r="E66" s="262">
        <v>33.813290000000002</v>
      </c>
      <c r="M66" s="262">
        <v>16.37243123</v>
      </c>
      <c r="N66" s="262">
        <v>16.37243123</v>
      </c>
    </row>
    <row r="67" spans="1:14" x14ac:dyDescent="0.25">
      <c r="A67" s="262">
        <v>1129</v>
      </c>
      <c r="B67" s="262" t="s">
        <v>112</v>
      </c>
      <c r="C67" s="262" t="s">
        <v>177</v>
      </c>
      <c r="D67" s="262">
        <v>-88.205640500000001</v>
      </c>
      <c r="E67" s="262">
        <v>31.4132</v>
      </c>
      <c r="M67" s="262">
        <v>18.610766470000002</v>
      </c>
      <c r="N67" s="262">
        <v>18.610766470000002</v>
      </c>
    </row>
    <row r="68" spans="1:14" x14ac:dyDescent="0.25">
      <c r="A68" s="262">
        <v>1131</v>
      </c>
      <c r="B68" s="262" t="s">
        <v>112</v>
      </c>
      <c r="C68" s="262" t="s">
        <v>178</v>
      </c>
      <c r="D68" s="262">
        <v>-87.297735399999993</v>
      </c>
      <c r="E68" s="262">
        <v>31.993079999999999</v>
      </c>
      <c r="M68" s="262">
        <v>17.883420999999998</v>
      </c>
      <c r="N68" s="262">
        <v>17.883420999999998</v>
      </c>
    </row>
    <row r="69" spans="1:14" x14ac:dyDescent="0.25">
      <c r="A69" s="262">
        <v>1133</v>
      </c>
      <c r="B69" s="262" t="s">
        <v>112</v>
      </c>
      <c r="C69" s="262" t="s">
        <v>179</v>
      </c>
      <c r="D69" s="262">
        <v>-87.370035999999999</v>
      </c>
      <c r="E69" s="262">
        <v>34.153149999999997</v>
      </c>
      <c r="M69" s="262">
        <v>16.135944030000001</v>
      </c>
      <c r="N69" s="262">
        <v>16.135944030000001</v>
      </c>
    </row>
    <row r="70" spans="1:14" x14ac:dyDescent="0.25">
      <c r="A70" s="262">
        <v>4001</v>
      </c>
      <c r="B70" s="262" t="s">
        <v>180</v>
      </c>
      <c r="C70" s="262" t="s">
        <v>181</v>
      </c>
      <c r="D70" s="262">
        <v>-109.491146</v>
      </c>
      <c r="E70" s="262">
        <v>35.405090000000001</v>
      </c>
      <c r="M70" s="262">
        <v>14.3634041</v>
      </c>
      <c r="N70" s="262">
        <v>14.3634041</v>
      </c>
    </row>
    <row r="71" spans="1:14" x14ac:dyDescent="0.25">
      <c r="A71" s="262">
        <v>4003</v>
      </c>
      <c r="B71" s="262" t="s">
        <v>180</v>
      </c>
      <c r="C71" s="262" t="s">
        <v>182</v>
      </c>
      <c r="D71" s="262">
        <v>-109.76294900000001</v>
      </c>
      <c r="E71" s="262">
        <v>31.886310000000002</v>
      </c>
      <c r="M71" s="262">
        <v>17.823910179999999</v>
      </c>
      <c r="N71" s="262">
        <v>17.823910179999999</v>
      </c>
    </row>
    <row r="72" spans="1:14" x14ac:dyDescent="0.25">
      <c r="A72" s="262">
        <v>4005</v>
      </c>
      <c r="B72" s="262" t="s">
        <v>180</v>
      </c>
      <c r="C72" s="262" t="s">
        <v>183</v>
      </c>
      <c r="D72" s="262">
        <v>-111.76824999999999</v>
      </c>
      <c r="E72" s="262">
        <v>35.833919999999999</v>
      </c>
      <c r="M72" s="262">
        <v>14.40402753</v>
      </c>
      <c r="N72" s="262">
        <v>14.40402753</v>
      </c>
    </row>
    <row r="73" spans="1:14" x14ac:dyDescent="0.25">
      <c r="A73" s="262">
        <v>4007</v>
      </c>
      <c r="B73" s="262" t="s">
        <v>180</v>
      </c>
      <c r="C73" s="262" t="s">
        <v>184</v>
      </c>
      <c r="D73" s="262">
        <v>-110.81330800000001</v>
      </c>
      <c r="E73" s="262">
        <v>33.799570000000003</v>
      </c>
      <c r="M73" s="262">
        <v>16.804841700000001</v>
      </c>
      <c r="N73" s="262">
        <v>16.804841700000001</v>
      </c>
    </row>
    <row r="74" spans="1:14" x14ac:dyDescent="0.25">
      <c r="A74" s="262">
        <v>4009</v>
      </c>
      <c r="B74" s="262" t="s">
        <v>180</v>
      </c>
      <c r="C74" s="262" t="s">
        <v>185</v>
      </c>
      <c r="D74" s="262">
        <v>-109.899018</v>
      </c>
      <c r="E74" s="262">
        <v>32.934420000000003</v>
      </c>
      <c r="M74" s="262">
        <v>17.338899439999999</v>
      </c>
      <c r="N74" s="262">
        <v>17.338899439999999</v>
      </c>
    </row>
    <row r="75" spans="1:14" x14ac:dyDescent="0.25">
      <c r="A75" s="262">
        <v>4011</v>
      </c>
      <c r="B75" s="262" t="s">
        <v>180</v>
      </c>
      <c r="C75" s="262" t="s">
        <v>186</v>
      </c>
      <c r="D75" s="262">
        <v>-109.246621</v>
      </c>
      <c r="E75" s="262">
        <v>33.208860000000001</v>
      </c>
      <c r="M75" s="262">
        <v>16.654553409999998</v>
      </c>
      <c r="N75" s="262">
        <v>16.654553409999998</v>
      </c>
    </row>
    <row r="76" spans="1:14" x14ac:dyDescent="0.25">
      <c r="A76" s="262">
        <v>4012</v>
      </c>
      <c r="B76" s="262" t="s">
        <v>180</v>
      </c>
      <c r="C76" s="262" t="s">
        <v>187</v>
      </c>
      <c r="D76" s="262">
        <v>-113.986154</v>
      </c>
      <c r="E76" s="262">
        <v>33.729750000000003</v>
      </c>
      <c r="M76" s="262">
        <v>16.7287146</v>
      </c>
      <c r="N76" s="262">
        <v>16.7287146</v>
      </c>
    </row>
    <row r="77" spans="1:14" x14ac:dyDescent="0.25">
      <c r="A77" s="262">
        <v>4013</v>
      </c>
      <c r="B77" s="262" t="s">
        <v>180</v>
      </c>
      <c r="C77" s="262" t="s">
        <v>188</v>
      </c>
      <c r="D77" s="262">
        <v>-112.48913899999999</v>
      </c>
      <c r="E77" s="262">
        <v>33.352640000000001</v>
      </c>
      <c r="M77" s="262">
        <v>17.421300280000001</v>
      </c>
      <c r="N77" s="262">
        <v>17.421300280000001</v>
      </c>
    </row>
    <row r="78" spans="1:14" x14ac:dyDescent="0.25">
      <c r="A78" s="262">
        <v>4015</v>
      </c>
      <c r="B78" s="262" t="s">
        <v>180</v>
      </c>
      <c r="C78" s="262" t="s">
        <v>189</v>
      </c>
      <c r="D78" s="262">
        <v>-113.753023</v>
      </c>
      <c r="E78" s="262">
        <v>35.706479999999999</v>
      </c>
      <c r="M78" s="262">
        <v>14.21453026</v>
      </c>
      <c r="N78" s="262">
        <v>14.21453026</v>
      </c>
    </row>
    <row r="79" spans="1:14" x14ac:dyDescent="0.25">
      <c r="A79" s="262">
        <v>4017</v>
      </c>
      <c r="B79" s="262" t="s">
        <v>180</v>
      </c>
      <c r="C79" s="262" t="s">
        <v>190</v>
      </c>
      <c r="D79" s="262">
        <v>-110.32276299999999</v>
      </c>
      <c r="E79" s="262">
        <v>35.392769999999999</v>
      </c>
      <c r="M79" s="262">
        <v>14.788176910000001</v>
      </c>
      <c r="N79" s="262">
        <v>14.788176910000001</v>
      </c>
    </row>
    <row r="80" spans="1:14" x14ac:dyDescent="0.25">
      <c r="A80" s="262">
        <v>4019</v>
      </c>
      <c r="B80" s="262" t="s">
        <v>180</v>
      </c>
      <c r="C80" s="262" t="s">
        <v>191</v>
      </c>
      <c r="D80" s="262">
        <v>-111.80016999999999</v>
      </c>
      <c r="E80" s="262">
        <v>32.10501</v>
      </c>
      <c r="M80" s="262">
        <v>18.314881660000001</v>
      </c>
      <c r="N80" s="262">
        <v>18.314881660000001</v>
      </c>
    </row>
    <row r="81" spans="1:14" x14ac:dyDescent="0.25">
      <c r="A81" s="262">
        <v>4021</v>
      </c>
      <c r="B81" s="262" t="s">
        <v>180</v>
      </c>
      <c r="C81" s="262" t="s">
        <v>192</v>
      </c>
      <c r="D81" s="262">
        <v>-111.351874</v>
      </c>
      <c r="E81" s="262">
        <v>32.906680000000001</v>
      </c>
      <c r="M81" s="262">
        <v>18.040716530000001</v>
      </c>
      <c r="N81" s="262">
        <v>18.040716530000001</v>
      </c>
    </row>
    <row r="82" spans="1:14" x14ac:dyDescent="0.25">
      <c r="A82" s="262">
        <v>4023</v>
      </c>
      <c r="B82" s="262" t="s">
        <v>180</v>
      </c>
      <c r="C82" s="262" t="s">
        <v>193</v>
      </c>
      <c r="D82" s="262">
        <v>-110.86308</v>
      </c>
      <c r="E82" s="262">
        <v>31.536010000000001</v>
      </c>
      <c r="M82" s="262">
        <v>18.315697199999999</v>
      </c>
      <c r="N82" s="262">
        <v>18.315697199999999</v>
      </c>
    </row>
    <row r="83" spans="1:14" x14ac:dyDescent="0.25">
      <c r="A83" s="262">
        <v>4025</v>
      </c>
      <c r="B83" s="262" t="s">
        <v>180</v>
      </c>
      <c r="C83" s="262" t="s">
        <v>194</v>
      </c>
      <c r="D83" s="262">
        <v>-112.54997299999999</v>
      </c>
      <c r="E83" s="262">
        <v>34.59798</v>
      </c>
      <c r="M83" s="262">
        <v>15.53834868</v>
      </c>
      <c r="N83" s="262">
        <v>15.53834868</v>
      </c>
    </row>
    <row r="84" spans="1:14" x14ac:dyDescent="0.25">
      <c r="A84" s="262">
        <v>4027</v>
      </c>
      <c r="B84" s="262" t="s">
        <v>180</v>
      </c>
      <c r="C84" s="262" t="s">
        <v>195</v>
      </c>
      <c r="D84" s="262">
        <v>-113.907858</v>
      </c>
      <c r="E84" s="262">
        <v>32.779780000000002</v>
      </c>
      <c r="M84" s="262">
        <v>17.63878441</v>
      </c>
      <c r="N84" s="262">
        <v>17.63878441</v>
      </c>
    </row>
    <row r="85" spans="1:14" x14ac:dyDescent="0.25">
      <c r="A85" s="262">
        <v>5001</v>
      </c>
      <c r="B85" s="262" t="s">
        <v>196</v>
      </c>
      <c r="C85" s="262" t="s">
        <v>197</v>
      </c>
      <c r="D85" s="262">
        <v>-91.3733486</v>
      </c>
      <c r="E85" s="262">
        <v>34.296689999999998</v>
      </c>
      <c r="M85" s="262">
        <v>16.123872540000001</v>
      </c>
      <c r="N85" s="262">
        <v>16.123872540000001</v>
      </c>
    </row>
    <row r="86" spans="1:14" x14ac:dyDescent="0.25">
      <c r="A86" s="262">
        <v>5003</v>
      </c>
      <c r="B86" s="262" t="s">
        <v>196</v>
      </c>
      <c r="C86" s="262" t="s">
        <v>198</v>
      </c>
      <c r="D86" s="262">
        <v>-91.771860099999998</v>
      </c>
      <c r="E86" s="262">
        <v>33.18647</v>
      </c>
      <c r="M86" s="262">
        <v>16.734436120000002</v>
      </c>
      <c r="N86" s="262">
        <v>16.734436120000002</v>
      </c>
    </row>
    <row r="87" spans="1:14" x14ac:dyDescent="0.25">
      <c r="A87" s="262">
        <v>5005</v>
      </c>
      <c r="B87" s="262" t="s">
        <v>196</v>
      </c>
      <c r="C87" s="262" t="s">
        <v>199</v>
      </c>
      <c r="D87" s="262">
        <v>-92.343461399999995</v>
      </c>
      <c r="E87" s="262">
        <v>36.291600000000003</v>
      </c>
      <c r="M87" s="262">
        <v>14.870315489999999</v>
      </c>
      <c r="N87" s="262">
        <v>14.870315489999999</v>
      </c>
    </row>
    <row r="88" spans="1:14" x14ac:dyDescent="0.25">
      <c r="A88" s="262">
        <v>5007</v>
      </c>
      <c r="B88" s="262" t="s">
        <v>196</v>
      </c>
      <c r="C88" s="262" t="s">
        <v>200</v>
      </c>
      <c r="D88" s="262">
        <v>-94.264026000000001</v>
      </c>
      <c r="E88" s="262">
        <v>36.341679999999997</v>
      </c>
      <c r="M88" s="262">
        <v>14.85608364</v>
      </c>
      <c r="N88" s="262">
        <v>14.85608364</v>
      </c>
    </row>
    <row r="89" spans="1:14" x14ac:dyDescent="0.25">
      <c r="A89" s="262">
        <v>5009</v>
      </c>
      <c r="B89" s="262" t="s">
        <v>196</v>
      </c>
      <c r="C89" s="262" t="s">
        <v>201</v>
      </c>
      <c r="D89" s="262">
        <v>-93.088637800000001</v>
      </c>
      <c r="E89" s="262">
        <v>36.309179999999998</v>
      </c>
      <c r="M89" s="262">
        <v>14.81130613</v>
      </c>
      <c r="N89" s="262">
        <v>14.81130613</v>
      </c>
    </row>
    <row r="90" spans="1:14" x14ac:dyDescent="0.25">
      <c r="A90" s="262">
        <v>5011</v>
      </c>
      <c r="B90" s="262" t="s">
        <v>196</v>
      </c>
      <c r="C90" s="262" t="s">
        <v>202</v>
      </c>
      <c r="D90" s="262">
        <v>-92.165997099999998</v>
      </c>
      <c r="E90" s="262">
        <v>33.46463</v>
      </c>
      <c r="M90" s="262">
        <v>16.54853628</v>
      </c>
      <c r="N90" s="262">
        <v>16.54853628</v>
      </c>
    </row>
    <row r="91" spans="1:14" x14ac:dyDescent="0.25">
      <c r="A91" s="262">
        <v>5013</v>
      </c>
      <c r="B91" s="262" t="s">
        <v>196</v>
      </c>
      <c r="C91" s="262" t="s">
        <v>120</v>
      </c>
      <c r="D91" s="262">
        <v>-92.510424200000003</v>
      </c>
      <c r="E91" s="262">
        <v>33.55397</v>
      </c>
      <c r="M91" s="262">
        <v>16.466219259999999</v>
      </c>
      <c r="N91" s="262">
        <v>16.466219259999999</v>
      </c>
    </row>
    <row r="92" spans="1:14" x14ac:dyDescent="0.25">
      <c r="A92" s="262">
        <v>5015</v>
      </c>
      <c r="B92" s="262" t="s">
        <v>196</v>
      </c>
      <c r="C92" s="262" t="s">
        <v>203</v>
      </c>
      <c r="D92" s="262">
        <v>-93.547630900000001</v>
      </c>
      <c r="E92" s="262">
        <v>36.337809999999998</v>
      </c>
      <c r="M92" s="262">
        <v>14.79739329</v>
      </c>
      <c r="N92" s="262">
        <v>14.79739329</v>
      </c>
    </row>
    <row r="93" spans="1:14" x14ac:dyDescent="0.25">
      <c r="A93" s="262">
        <v>5017</v>
      </c>
      <c r="B93" s="262" t="s">
        <v>196</v>
      </c>
      <c r="C93" s="262" t="s">
        <v>204</v>
      </c>
      <c r="D93" s="262">
        <v>-91.296306700000002</v>
      </c>
      <c r="E93" s="262">
        <v>33.260919999999999</v>
      </c>
      <c r="M93" s="262">
        <v>16.712869229999999</v>
      </c>
      <c r="N93" s="262">
        <v>16.712869229999999</v>
      </c>
    </row>
    <row r="94" spans="1:14" x14ac:dyDescent="0.25">
      <c r="A94" s="262">
        <v>5019</v>
      </c>
      <c r="B94" s="262" t="s">
        <v>196</v>
      </c>
      <c r="C94" s="262" t="s">
        <v>205</v>
      </c>
      <c r="D94" s="262">
        <v>-93.174394899999996</v>
      </c>
      <c r="E94" s="262">
        <v>34.057029999999997</v>
      </c>
      <c r="M94" s="262">
        <v>16.165397479999999</v>
      </c>
      <c r="N94" s="262">
        <v>16.165397479999999</v>
      </c>
    </row>
    <row r="95" spans="1:14" x14ac:dyDescent="0.25">
      <c r="A95" s="262">
        <v>5021</v>
      </c>
      <c r="B95" s="262" t="s">
        <v>196</v>
      </c>
      <c r="C95" s="262" t="s">
        <v>126</v>
      </c>
      <c r="D95" s="262">
        <v>-90.425016499999998</v>
      </c>
      <c r="E95" s="262">
        <v>36.3718</v>
      </c>
      <c r="M95" s="262">
        <v>15.035457920000001</v>
      </c>
      <c r="N95" s="262">
        <v>15.035457920000001</v>
      </c>
    </row>
    <row r="96" spans="1:14" x14ac:dyDescent="0.25">
      <c r="A96" s="262">
        <v>5023</v>
      </c>
      <c r="B96" s="262" t="s">
        <v>196</v>
      </c>
      <c r="C96" s="262" t="s">
        <v>127</v>
      </c>
      <c r="D96" s="262">
        <v>-92.041320799999994</v>
      </c>
      <c r="E96" s="262">
        <v>35.529829999999997</v>
      </c>
      <c r="M96" s="262">
        <v>15.38143159</v>
      </c>
      <c r="N96" s="262">
        <v>15.38143159</v>
      </c>
    </row>
    <row r="97" spans="1:14" x14ac:dyDescent="0.25">
      <c r="A97" s="262">
        <v>5025</v>
      </c>
      <c r="B97" s="262" t="s">
        <v>196</v>
      </c>
      <c r="C97" s="262" t="s">
        <v>206</v>
      </c>
      <c r="D97" s="262">
        <v>-92.181296799999998</v>
      </c>
      <c r="E97" s="262">
        <v>33.89958</v>
      </c>
      <c r="M97" s="262">
        <v>16.30947445</v>
      </c>
      <c r="N97" s="262">
        <v>16.30947445</v>
      </c>
    </row>
    <row r="98" spans="1:14" x14ac:dyDescent="0.25">
      <c r="A98" s="262">
        <v>5027</v>
      </c>
      <c r="B98" s="262" t="s">
        <v>196</v>
      </c>
      <c r="C98" s="262" t="s">
        <v>207</v>
      </c>
      <c r="D98" s="262">
        <v>-93.229209800000007</v>
      </c>
      <c r="E98" s="262">
        <v>33.215490000000003</v>
      </c>
      <c r="M98" s="262">
        <v>16.58779062</v>
      </c>
      <c r="N98" s="262">
        <v>16.58779062</v>
      </c>
    </row>
    <row r="99" spans="1:14" x14ac:dyDescent="0.25">
      <c r="A99" s="262">
        <v>5029</v>
      </c>
      <c r="B99" s="262" t="s">
        <v>196</v>
      </c>
      <c r="C99" s="262" t="s">
        <v>208</v>
      </c>
      <c r="D99" s="262">
        <v>-92.6983587</v>
      </c>
      <c r="E99" s="262">
        <v>35.253729999999997</v>
      </c>
      <c r="M99" s="262">
        <v>15.50853635</v>
      </c>
      <c r="N99" s="262">
        <v>15.50853635</v>
      </c>
    </row>
    <row r="100" spans="1:14" x14ac:dyDescent="0.25">
      <c r="A100" s="262">
        <v>5031</v>
      </c>
      <c r="B100" s="262" t="s">
        <v>196</v>
      </c>
      <c r="C100" s="262" t="s">
        <v>209</v>
      </c>
      <c r="D100" s="262">
        <v>-90.643034099999994</v>
      </c>
      <c r="E100" s="262">
        <v>35.829160000000002</v>
      </c>
      <c r="M100" s="262">
        <v>15.32918574</v>
      </c>
      <c r="N100" s="262">
        <v>15.32918574</v>
      </c>
    </row>
    <row r="101" spans="1:14" x14ac:dyDescent="0.25">
      <c r="A101" s="262">
        <v>5033</v>
      </c>
      <c r="B101" s="262" t="s">
        <v>196</v>
      </c>
      <c r="C101" s="262" t="s">
        <v>210</v>
      </c>
      <c r="D101" s="262">
        <v>-94.251757499999997</v>
      </c>
      <c r="E101" s="262">
        <v>35.584400000000002</v>
      </c>
      <c r="M101" s="262">
        <v>15.35324651</v>
      </c>
      <c r="N101" s="262">
        <v>15.35324651</v>
      </c>
    </row>
    <row r="102" spans="1:14" x14ac:dyDescent="0.25">
      <c r="A102" s="262">
        <v>5035</v>
      </c>
      <c r="B102" s="262" t="s">
        <v>196</v>
      </c>
      <c r="C102" s="262" t="s">
        <v>211</v>
      </c>
      <c r="D102" s="262">
        <v>-90.301499000000007</v>
      </c>
      <c r="E102" s="262">
        <v>35.201439999999998</v>
      </c>
      <c r="M102" s="262">
        <v>15.704868729999999</v>
      </c>
      <c r="N102" s="262">
        <v>15.704868729999999</v>
      </c>
    </row>
    <row r="103" spans="1:14" x14ac:dyDescent="0.25">
      <c r="A103" s="262">
        <v>5037</v>
      </c>
      <c r="B103" s="262" t="s">
        <v>196</v>
      </c>
      <c r="C103" s="262" t="s">
        <v>212</v>
      </c>
      <c r="D103" s="262">
        <v>-90.775510800000006</v>
      </c>
      <c r="E103" s="262">
        <v>35.289160000000003</v>
      </c>
      <c r="M103" s="262">
        <v>15.61642891</v>
      </c>
      <c r="N103" s="262">
        <v>15.61642891</v>
      </c>
    </row>
    <row r="104" spans="1:14" x14ac:dyDescent="0.25">
      <c r="A104" s="262">
        <v>5039</v>
      </c>
      <c r="B104" s="262" t="s">
        <v>196</v>
      </c>
      <c r="C104" s="262" t="s">
        <v>136</v>
      </c>
      <c r="D104" s="262">
        <v>-92.649011000000002</v>
      </c>
      <c r="E104" s="262">
        <v>33.970689999999998</v>
      </c>
      <c r="M104" s="262">
        <v>16.242360810000001</v>
      </c>
      <c r="N104" s="262">
        <v>16.242360810000001</v>
      </c>
    </row>
    <row r="105" spans="1:14" x14ac:dyDescent="0.25">
      <c r="A105" s="262">
        <v>5041</v>
      </c>
      <c r="B105" s="262" t="s">
        <v>196</v>
      </c>
      <c r="C105" s="262" t="s">
        <v>213</v>
      </c>
      <c r="D105" s="262">
        <v>-91.271473400000005</v>
      </c>
      <c r="E105" s="262">
        <v>33.832340000000002</v>
      </c>
      <c r="M105" s="262">
        <v>16.384445970000002</v>
      </c>
      <c r="N105" s="262">
        <v>16.384445970000002</v>
      </c>
    </row>
    <row r="106" spans="1:14" x14ac:dyDescent="0.25">
      <c r="A106" s="262">
        <v>5043</v>
      </c>
      <c r="B106" s="262" t="s">
        <v>196</v>
      </c>
      <c r="C106" s="262" t="s">
        <v>214</v>
      </c>
      <c r="D106" s="262">
        <v>-91.723315299999996</v>
      </c>
      <c r="E106" s="262">
        <v>33.586399999999998</v>
      </c>
      <c r="M106" s="262">
        <v>16.50163242</v>
      </c>
      <c r="N106" s="262">
        <v>16.50163242</v>
      </c>
    </row>
    <row r="107" spans="1:14" x14ac:dyDescent="0.25">
      <c r="A107" s="262">
        <v>5045</v>
      </c>
      <c r="B107" s="262" t="s">
        <v>196</v>
      </c>
      <c r="C107" s="262" t="s">
        <v>215</v>
      </c>
      <c r="D107" s="262">
        <v>-92.330943500000004</v>
      </c>
      <c r="E107" s="262">
        <v>35.142240000000001</v>
      </c>
      <c r="M107" s="262">
        <v>15.60157892</v>
      </c>
      <c r="N107" s="262">
        <v>15.60157892</v>
      </c>
    </row>
    <row r="108" spans="1:14" x14ac:dyDescent="0.25">
      <c r="A108" s="262">
        <v>5047</v>
      </c>
      <c r="B108" s="262" t="s">
        <v>196</v>
      </c>
      <c r="C108" s="262" t="s">
        <v>142</v>
      </c>
      <c r="D108" s="262">
        <v>-93.898309600000005</v>
      </c>
      <c r="E108" s="262">
        <v>35.505470000000003</v>
      </c>
      <c r="M108" s="262">
        <v>15.37984977</v>
      </c>
      <c r="N108" s="262">
        <v>15.37984977</v>
      </c>
    </row>
    <row r="109" spans="1:14" x14ac:dyDescent="0.25">
      <c r="A109" s="262">
        <v>5049</v>
      </c>
      <c r="B109" s="262" t="s">
        <v>196</v>
      </c>
      <c r="C109" s="262" t="s">
        <v>216</v>
      </c>
      <c r="D109" s="262">
        <v>-91.824905700000002</v>
      </c>
      <c r="E109" s="262">
        <v>36.379570000000001</v>
      </c>
      <c r="M109" s="262">
        <v>14.88219273</v>
      </c>
      <c r="N109" s="262">
        <v>14.88219273</v>
      </c>
    </row>
    <row r="110" spans="1:14" x14ac:dyDescent="0.25">
      <c r="A110" s="262">
        <v>5051</v>
      </c>
      <c r="B110" s="262" t="s">
        <v>196</v>
      </c>
      <c r="C110" s="262" t="s">
        <v>217</v>
      </c>
      <c r="D110" s="262">
        <v>-93.144444100000001</v>
      </c>
      <c r="E110" s="262">
        <v>34.576439999999998</v>
      </c>
      <c r="M110" s="262">
        <v>15.89034713</v>
      </c>
      <c r="N110" s="262">
        <v>15.89034713</v>
      </c>
    </row>
    <row r="111" spans="1:14" x14ac:dyDescent="0.25">
      <c r="A111" s="262">
        <v>5053</v>
      </c>
      <c r="B111" s="262" t="s">
        <v>196</v>
      </c>
      <c r="C111" s="262" t="s">
        <v>218</v>
      </c>
      <c r="D111" s="262">
        <v>-92.425392900000006</v>
      </c>
      <c r="E111" s="262">
        <v>34.297490000000003</v>
      </c>
      <c r="M111" s="262">
        <v>16.082242699999998</v>
      </c>
      <c r="N111" s="262">
        <v>16.082242699999998</v>
      </c>
    </row>
    <row r="112" spans="1:14" x14ac:dyDescent="0.25">
      <c r="A112" s="262">
        <v>5055</v>
      </c>
      <c r="B112" s="262" t="s">
        <v>196</v>
      </c>
      <c r="C112" s="262" t="s">
        <v>144</v>
      </c>
      <c r="D112" s="262">
        <v>-90.559837900000005</v>
      </c>
      <c r="E112" s="262">
        <v>36.116199999999999</v>
      </c>
      <c r="M112" s="262">
        <v>15.17562154</v>
      </c>
      <c r="N112" s="262">
        <v>15.17562154</v>
      </c>
    </row>
    <row r="113" spans="1:14" x14ac:dyDescent="0.25">
      <c r="A113" s="262">
        <v>5057</v>
      </c>
      <c r="B113" s="262" t="s">
        <v>196</v>
      </c>
      <c r="C113" s="262" t="s">
        <v>219</v>
      </c>
      <c r="D113" s="262">
        <v>-93.6685351</v>
      </c>
      <c r="E113" s="262">
        <v>33.735779999999998</v>
      </c>
      <c r="M113" s="262">
        <v>16.30982478</v>
      </c>
      <c r="N113" s="262">
        <v>16.30982478</v>
      </c>
    </row>
    <row r="114" spans="1:14" x14ac:dyDescent="0.25">
      <c r="A114" s="262">
        <v>5059</v>
      </c>
      <c r="B114" s="262" t="s">
        <v>196</v>
      </c>
      <c r="C114" s="262" t="s">
        <v>220</v>
      </c>
      <c r="D114" s="262">
        <v>-92.9384467</v>
      </c>
      <c r="E114" s="262">
        <v>34.322369999999999</v>
      </c>
      <c r="M114" s="262">
        <v>16.041753029999999</v>
      </c>
      <c r="N114" s="262">
        <v>16.041753029999999</v>
      </c>
    </row>
    <row r="115" spans="1:14" x14ac:dyDescent="0.25">
      <c r="A115" s="262">
        <v>5061</v>
      </c>
      <c r="B115" s="262" t="s">
        <v>196</v>
      </c>
      <c r="C115" s="262" t="s">
        <v>221</v>
      </c>
      <c r="D115" s="262">
        <v>-93.997883299999998</v>
      </c>
      <c r="E115" s="262">
        <v>34.09554</v>
      </c>
      <c r="M115" s="262">
        <v>16.13371472</v>
      </c>
      <c r="N115" s="262">
        <v>16.13371472</v>
      </c>
    </row>
    <row r="116" spans="1:14" x14ac:dyDescent="0.25">
      <c r="A116" s="262">
        <v>5063</v>
      </c>
      <c r="B116" s="262" t="s">
        <v>196</v>
      </c>
      <c r="C116" s="262" t="s">
        <v>222</v>
      </c>
      <c r="D116" s="262">
        <v>-91.578577899999999</v>
      </c>
      <c r="E116" s="262">
        <v>35.735419999999998</v>
      </c>
      <c r="M116" s="262">
        <v>15.285688390000001</v>
      </c>
      <c r="N116" s="262">
        <v>15.285688390000001</v>
      </c>
    </row>
    <row r="117" spans="1:14" x14ac:dyDescent="0.25">
      <c r="A117" s="262">
        <v>5065</v>
      </c>
      <c r="B117" s="262" t="s">
        <v>196</v>
      </c>
      <c r="C117" s="262" t="s">
        <v>223</v>
      </c>
      <c r="D117" s="262">
        <v>-91.924340400000006</v>
      </c>
      <c r="E117" s="262">
        <v>36.086219999999997</v>
      </c>
      <c r="M117" s="262">
        <v>15.048395060000001</v>
      </c>
      <c r="N117" s="262">
        <v>15.048395060000001</v>
      </c>
    </row>
    <row r="118" spans="1:14" x14ac:dyDescent="0.25">
      <c r="A118" s="262">
        <v>5067</v>
      </c>
      <c r="B118" s="262" t="s">
        <v>196</v>
      </c>
      <c r="C118" s="262" t="s">
        <v>148</v>
      </c>
      <c r="D118" s="262">
        <v>-91.223163799999995</v>
      </c>
      <c r="E118" s="262">
        <v>35.59122</v>
      </c>
      <c r="M118" s="262">
        <v>15.4057741</v>
      </c>
      <c r="N118" s="262">
        <v>15.4057741</v>
      </c>
    </row>
    <row r="119" spans="1:14" x14ac:dyDescent="0.25">
      <c r="A119" s="262">
        <v>5069</v>
      </c>
      <c r="B119" s="262" t="s">
        <v>196</v>
      </c>
      <c r="C119" s="262" t="s">
        <v>149</v>
      </c>
      <c r="D119" s="262">
        <v>-91.931752399999993</v>
      </c>
      <c r="E119" s="262">
        <v>34.275869999999998</v>
      </c>
      <c r="M119" s="262">
        <v>16.11993571</v>
      </c>
      <c r="N119" s="262">
        <v>16.11993571</v>
      </c>
    </row>
    <row r="120" spans="1:14" x14ac:dyDescent="0.25">
      <c r="A120" s="262">
        <v>5071</v>
      </c>
      <c r="B120" s="262" t="s">
        <v>196</v>
      </c>
      <c r="C120" s="262" t="s">
        <v>224</v>
      </c>
      <c r="D120" s="262">
        <v>-93.471421800000002</v>
      </c>
      <c r="E120" s="262">
        <v>35.563229999999997</v>
      </c>
      <c r="M120" s="262">
        <v>15.31554431</v>
      </c>
      <c r="N120" s="262">
        <v>15.31554431</v>
      </c>
    </row>
    <row r="121" spans="1:14" x14ac:dyDescent="0.25">
      <c r="A121" s="262">
        <v>5073</v>
      </c>
      <c r="B121" s="262" t="s">
        <v>196</v>
      </c>
      <c r="C121" s="262" t="s">
        <v>225</v>
      </c>
      <c r="D121" s="262">
        <v>-93.606661399999993</v>
      </c>
      <c r="E121" s="262">
        <v>33.2393</v>
      </c>
      <c r="M121" s="262">
        <v>16.544266180000001</v>
      </c>
      <c r="N121" s="262">
        <v>16.544266180000001</v>
      </c>
    </row>
    <row r="122" spans="1:14" x14ac:dyDescent="0.25">
      <c r="A122" s="262">
        <v>5075</v>
      </c>
      <c r="B122" s="262" t="s">
        <v>196</v>
      </c>
      <c r="C122" s="262" t="s">
        <v>152</v>
      </c>
      <c r="D122" s="262">
        <v>-91.117918700000004</v>
      </c>
      <c r="E122" s="262">
        <v>36.03754</v>
      </c>
      <c r="M122" s="262">
        <v>15.15673441</v>
      </c>
      <c r="N122" s="262">
        <v>15.15673441</v>
      </c>
    </row>
    <row r="123" spans="1:14" x14ac:dyDescent="0.25">
      <c r="A123" s="262">
        <v>5077</v>
      </c>
      <c r="B123" s="262" t="s">
        <v>196</v>
      </c>
      <c r="C123" s="262" t="s">
        <v>153</v>
      </c>
      <c r="D123" s="262">
        <v>-90.774018100000006</v>
      </c>
      <c r="E123" s="262">
        <v>34.78295</v>
      </c>
      <c r="M123" s="262">
        <v>15.89858179</v>
      </c>
      <c r="N123" s="262">
        <v>15.89858179</v>
      </c>
    </row>
    <row r="124" spans="1:14" x14ac:dyDescent="0.25">
      <c r="A124" s="262">
        <v>5079</v>
      </c>
      <c r="B124" s="262" t="s">
        <v>196</v>
      </c>
      <c r="C124" s="262" t="s">
        <v>226</v>
      </c>
      <c r="D124" s="262">
        <v>-91.726097800000005</v>
      </c>
      <c r="E124" s="262">
        <v>33.963439999999999</v>
      </c>
      <c r="M124" s="262">
        <v>16.293359460000001</v>
      </c>
      <c r="N124" s="262">
        <v>16.293359460000001</v>
      </c>
    </row>
    <row r="125" spans="1:14" x14ac:dyDescent="0.25">
      <c r="A125" s="262">
        <v>5081</v>
      </c>
      <c r="B125" s="262" t="s">
        <v>196</v>
      </c>
      <c r="C125" s="262" t="s">
        <v>227</v>
      </c>
      <c r="D125" s="262">
        <v>-94.243168900000001</v>
      </c>
      <c r="E125" s="262">
        <v>33.709429999999998</v>
      </c>
      <c r="M125" s="262">
        <v>16.311209460000001</v>
      </c>
      <c r="N125" s="262">
        <v>16.311209460000001</v>
      </c>
    </row>
    <row r="126" spans="1:14" x14ac:dyDescent="0.25">
      <c r="A126" s="262">
        <v>5083</v>
      </c>
      <c r="B126" s="262" t="s">
        <v>196</v>
      </c>
      <c r="C126" s="262" t="s">
        <v>228</v>
      </c>
      <c r="D126" s="262">
        <v>-93.724287000000004</v>
      </c>
      <c r="E126" s="262">
        <v>35.210630000000002</v>
      </c>
      <c r="M126" s="262">
        <v>15.546664059999999</v>
      </c>
      <c r="N126" s="262">
        <v>15.546664059999999</v>
      </c>
    </row>
    <row r="127" spans="1:14" x14ac:dyDescent="0.25">
      <c r="A127" s="262">
        <v>5085</v>
      </c>
      <c r="B127" s="262" t="s">
        <v>196</v>
      </c>
      <c r="C127" s="262" t="s">
        <v>229</v>
      </c>
      <c r="D127" s="262">
        <v>-91.891133600000003</v>
      </c>
      <c r="E127" s="262">
        <v>34.756779999999999</v>
      </c>
      <c r="M127" s="262">
        <v>15.853263439999999</v>
      </c>
      <c r="N127" s="262">
        <v>15.853263439999999</v>
      </c>
    </row>
    <row r="128" spans="1:14" x14ac:dyDescent="0.25">
      <c r="A128" s="262">
        <v>5087</v>
      </c>
      <c r="B128" s="262" t="s">
        <v>196</v>
      </c>
      <c r="C128" s="262" t="s">
        <v>157</v>
      </c>
      <c r="D128" s="262">
        <v>-93.730861500000003</v>
      </c>
      <c r="E128" s="262">
        <v>36.003900000000002</v>
      </c>
      <c r="M128" s="262">
        <v>15.039326559999999</v>
      </c>
      <c r="N128" s="262">
        <v>15.039326559999999</v>
      </c>
    </row>
    <row r="129" spans="1:14" x14ac:dyDescent="0.25">
      <c r="A129" s="262">
        <v>5089</v>
      </c>
      <c r="B129" s="262" t="s">
        <v>196</v>
      </c>
      <c r="C129" s="262" t="s">
        <v>159</v>
      </c>
      <c r="D129" s="262">
        <v>-92.681893900000006</v>
      </c>
      <c r="E129" s="262">
        <v>36.263660000000002</v>
      </c>
      <c r="M129" s="262">
        <v>14.865310559999999</v>
      </c>
      <c r="N129" s="262">
        <v>14.865310559999999</v>
      </c>
    </row>
    <row r="130" spans="1:14" x14ac:dyDescent="0.25">
      <c r="A130" s="262">
        <v>5091</v>
      </c>
      <c r="B130" s="262" t="s">
        <v>196</v>
      </c>
      <c r="C130" s="262" t="s">
        <v>230</v>
      </c>
      <c r="D130" s="262">
        <v>-93.895720999999995</v>
      </c>
      <c r="E130" s="262">
        <v>33.318930000000002</v>
      </c>
      <c r="M130" s="262">
        <v>16.500817510000001</v>
      </c>
      <c r="N130" s="262">
        <v>16.500817510000001</v>
      </c>
    </row>
    <row r="131" spans="1:14" x14ac:dyDescent="0.25">
      <c r="A131" s="262">
        <v>5093</v>
      </c>
      <c r="B131" s="262" t="s">
        <v>196</v>
      </c>
      <c r="C131" s="262" t="s">
        <v>231</v>
      </c>
      <c r="D131" s="262">
        <v>-90.055401700000004</v>
      </c>
      <c r="E131" s="262">
        <v>35.755710000000001</v>
      </c>
      <c r="M131" s="262">
        <v>15.415977699999999</v>
      </c>
      <c r="N131" s="262">
        <v>15.415977699999999</v>
      </c>
    </row>
    <row r="132" spans="1:14" x14ac:dyDescent="0.25">
      <c r="A132" s="262">
        <v>5095</v>
      </c>
      <c r="B132" s="262" t="s">
        <v>196</v>
      </c>
      <c r="C132" s="262" t="s">
        <v>162</v>
      </c>
      <c r="D132" s="262">
        <v>-91.208567400000007</v>
      </c>
      <c r="E132" s="262">
        <v>34.675780000000003</v>
      </c>
      <c r="M132" s="262">
        <v>15.928754939999999</v>
      </c>
      <c r="N132" s="262">
        <v>15.928754939999999</v>
      </c>
    </row>
    <row r="133" spans="1:14" x14ac:dyDescent="0.25">
      <c r="A133" s="262">
        <v>5097</v>
      </c>
      <c r="B133" s="262" t="s">
        <v>196</v>
      </c>
      <c r="C133" s="262" t="s">
        <v>163</v>
      </c>
      <c r="D133" s="262">
        <v>-93.658318600000001</v>
      </c>
      <c r="E133" s="262">
        <v>34.547730000000001</v>
      </c>
      <c r="M133" s="262">
        <v>15.909918060000001</v>
      </c>
      <c r="N133" s="262">
        <v>15.909918060000001</v>
      </c>
    </row>
    <row r="134" spans="1:14" x14ac:dyDescent="0.25">
      <c r="A134" s="262">
        <v>5099</v>
      </c>
      <c r="B134" s="262" t="s">
        <v>196</v>
      </c>
      <c r="C134" s="262" t="s">
        <v>232</v>
      </c>
      <c r="D134" s="262">
        <v>-93.307169400000006</v>
      </c>
      <c r="E134" s="262">
        <v>33.663719999999998</v>
      </c>
      <c r="M134" s="262">
        <v>16.355269910000001</v>
      </c>
      <c r="N134" s="262">
        <v>16.355269910000001</v>
      </c>
    </row>
    <row r="135" spans="1:14" x14ac:dyDescent="0.25">
      <c r="A135" s="262">
        <v>5101</v>
      </c>
      <c r="B135" s="262" t="s">
        <v>196</v>
      </c>
      <c r="C135" s="262" t="s">
        <v>233</v>
      </c>
      <c r="D135" s="262">
        <v>-93.220412699999997</v>
      </c>
      <c r="E135" s="262">
        <v>35.911239999999999</v>
      </c>
      <c r="M135" s="262">
        <v>15.08605556</v>
      </c>
      <c r="N135" s="262">
        <v>15.08605556</v>
      </c>
    </row>
    <row r="136" spans="1:14" x14ac:dyDescent="0.25">
      <c r="A136" s="262">
        <v>5103</v>
      </c>
      <c r="B136" s="262" t="s">
        <v>196</v>
      </c>
      <c r="C136" s="262" t="s">
        <v>234</v>
      </c>
      <c r="D136" s="262">
        <v>-92.887100000000004</v>
      </c>
      <c r="E136" s="262">
        <v>33.597589999999997</v>
      </c>
      <c r="M136" s="262">
        <v>16.415594980000002</v>
      </c>
      <c r="N136" s="262">
        <v>16.415594980000002</v>
      </c>
    </row>
    <row r="137" spans="1:14" x14ac:dyDescent="0.25">
      <c r="A137" s="262">
        <v>5105</v>
      </c>
      <c r="B137" s="262" t="s">
        <v>196</v>
      </c>
      <c r="C137" s="262" t="s">
        <v>165</v>
      </c>
      <c r="D137" s="262">
        <v>-92.941516300000004</v>
      </c>
      <c r="E137" s="262">
        <v>34.942349999999998</v>
      </c>
      <c r="M137" s="262">
        <v>15.688785490000001</v>
      </c>
      <c r="N137" s="262">
        <v>15.688785490000001</v>
      </c>
    </row>
    <row r="138" spans="1:14" x14ac:dyDescent="0.25">
      <c r="A138" s="262">
        <v>5107</v>
      </c>
      <c r="B138" s="262" t="s">
        <v>196</v>
      </c>
      <c r="C138" s="262" t="s">
        <v>235</v>
      </c>
      <c r="D138" s="262">
        <v>-90.850237899999996</v>
      </c>
      <c r="E138" s="262">
        <v>34.435929999999999</v>
      </c>
      <c r="M138" s="262">
        <v>16.073558259999999</v>
      </c>
      <c r="N138" s="262">
        <v>16.073558259999999</v>
      </c>
    </row>
    <row r="139" spans="1:14" x14ac:dyDescent="0.25">
      <c r="A139" s="262">
        <v>5109</v>
      </c>
      <c r="B139" s="262" t="s">
        <v>196</v>
      </c>
      <c r="C139" s="262" t="s">
        <v>167</v>
      </c>
      <c r="D139" s="262">
        <v>-93.658841699999996</v>
      </c>
      <c r="E139" s="262">
        <v>34.171309999999998</v>
      </c>
      <c r="M139" s="262">
        <v>16.10121118</v>
      </c>
      <c r="N139" s="262">
        <v>16.10121118</v>
      </c>
    </row>
    <row r="140" spans="1:14" x14ac:dyDescent="0.25">
      <c r="A140" s="262">
        <v>5111</v>
      </c>
      <c r="B140" s="262" t="s">
        <v>196</v>
      </c>
      <c r="C140" s="262" t="s">
        <v>236</v>
      </c>
      <c r="D140" s="262">
        <v>-90.667373600000005</v>
      </c>
      <c r="E140" s="262">
        <v>35.567839999999997</v>
      </c>
      <c r="M140" s="262">
        <v>15.470967330000001</v>
      </c>
      <c r="N140" s="262">
        <v>15.470967330000001</v>
      </c>
    </row>
    <row r="141" spans="1:14" x14ac:dyDescent="0.25">
      <c r="A141" s="262">
        <v>5113</v>
      </c>
      <c r="B141" s="262" t="s">
        <v>196</v>
      </c>
      <c r="C141" s="262" t="s">
        <v>237</v>
      </c>
      <c r="D141" s="262">
        <v>-94.237852700000005</v>
      </c>
      <c r="E141" s="262">
        <v>34.497010000000003</v>
      </c>
      <c r="M141" s="262">
        <v>15.93845211</v>
      </c>
      <c r="N141" s="262">
        <v>15.93845211</v>
      </c>
    </row>
    <row r="142" spans="1:14" x14ac:dyDescent="0.25">
      <c r="A142" s="262">
        <v>5115</v>
      </c>
      <c r="B142" s="262" t="s">
        <v>196</v>
      </c>
      <c r="C142" s="262" t="s">
        <v>238</v>
      </c>
      <c r="D142" s="262">
        <v>-93.033395999999996</v>
      </c>
      <c r="E142" s="262">
        <v>35.440820000000002</v>
      </c>
      <c r="M142" s="262">
        <v>15.39283043</v>
      </c>
      <c r="N142" s="262">
        <v>15.39283043</v>
      </c>
    </row>
    <row r="143" spans="1:14" x14ac:dyDescent="0.25">
      <c r="A143" s="262">
        <v>5117</v>
      </c>
      <c r="B143" s="262" t="s">
        <v>196</v>
      </c>
      <c r="C143" s="262" t="s">
        <v>239</v>
      </c>
      <c r="D143" s="262">
        <v>-91.553850600000004</v>
      </c>
      <c r="E143" s="262">
        <v>34.831740000000003</v>
      </c>
      <c r="M143" s="262">
        <v>15.81313656</v>
      </c>
      <c r="N143" s="262">
        <v>15.81313656</v>
      </c>
    </row>
    <row r="144" spans="1:14" x14ac:dyDescent="0.25">
      <c r="A144" s="262">
        <v>5119</v>
      </c>
      <c r="B144" s="262" t="s">
        <v>196</v>
      </c>
      <c r="C144" s="262" t="s">
        <v>240</v>
      </c>
      <c r="D144" s="262">
        <v>-92.312722899999997</v>
      </c>
      <c r="E144" s="262">
        <v>34.771830000000001</v>
      </c>
      <c r="M144" s="262">
        <v>15.822297349999999</v>
      </c>
      <c r="N144" s="262">
        <v>15.822297349999999</v>
      </c>
    </row>
    <row r="145" spans="1:14" x14ac:dyDescent="0.25">
      <c r="A145" s="262">
        <v>5121</v>
      </c>
      <c r="B145" s="262" t="s">
        <v>196</v>
      </c>
      <c r="C145" s="262" t="s">
        <v>168</v>
      </c>
      <c r="D145" s="262">
        <v>-91.040746900000002</v>
      </c>
      <c r="E145" s="262">
        <v>36.34581</v>
      </c>
      <c r="M145" s="262">
        <v>14.992317229999999</v>
      </c>
      <c r="N145" s="262">
        <v>14.992317229999999</v>
      </c>
    </row>
    <row r="146" spans="1:14" x14ac:dyDescent="0.25">
      <c r="A146" s="262">
        <v>5123</v>
      </c>
      <c r="B146" s="262" t="s">
        <v>196</v>
      </c>
      <c r="C146" s="262" t="s">
        <v>241</v>
      </c>
      <c r="D146" s="262">
        <v>-90.760629800000004</v>
      </c>
      <c r="E146" s="262">
        <v>35.01549</v>
      </c>
      <c r="M146" s="262">
        <v>15.77272542</v>
      </c>
      <c r="N146" s="262">
        <v>15.77272542</v>
      </c>
    </row>
    <row r="147" spans="1:14" x14ac:dyDescent="0.25">
      <c r="A147" s="262">
        <v>5125</v>
      </c>
      <c r="B147" s="262" t="s">
        <v>196</v>
      </c>
      <c r="C147" s="262" t="s">
        <v>242</v>
      </c>
      <c r="D147" s="262">
        <v>-92.672308000000001</v>
      </c>
      <c r="E147" s="262">
        <v>34.650080000000003</v>
      </c>
      <c r="M147" s="262">
        <v>15.877675160000001</v>
      </c>
      <c r="N147" s="262">
        <v>15.877675160000001</v>
      </c>
    </row>
    <row r="148" spans="1:14" x14ac:dyDescent="0.25">
      <c r="A148" s="262">
        <v>5127</v>
      </c>
      <c r="B148" s="262" t="s">
        <v>196</v>
      </c>
      <c r="C148" s="262" t="s">
        <v>243</v>
      </c>
      <c r="D148" s="262">
        <v>-94.074585900000002</v>
      </c>
      <c r="E148" s="262">
        <v>34.866540000000001</v>
      </c>
      <c r="M148" s="262">
        <v>15.751672920000001</v>
      </c>
      <c r="N148" s="262">
        <v>15.751672920000001</v>
      </c>
    </row>
    <row r="149" spans="1:14" x14ac:dyDescent="0.25">
      <c r="A149" s="262">
        <v>5129</v>
      </c>
      <c r="B149" s="262" t="s">
        <v>196</v>
      </c>
      <c r="C149" s="262" t="s">
        <v>244</v>
      </c>
      <c r="D149" s="262">
        <v>-92.698778899999994</v>
      </c>
      <c r="E149" s="262">
        <v>35.904420000000002</v>
      </c>
      <c r="M149" s="262">
        <v>15.102465069999999</v>
      </c>
      <c r="N149" s="262">
        <v>15.102465069999999</v>
      </c>
    </row>
    <row r="150" spans="1:14" x14ac:dyDescent="0.25">
      <c r="A150" s="262">
        <v>5131</v>
      </c>
      <c r="B150" s="262" t="s">
        <v>196</v>
      </c>
      <c r="C150" s="262" t="s">
        <v>245</v>
      </c>
      <c r="D150" s="262">
        <v>-94.280393099999998</v>
      </c>
      <c r="E150" s="262">
        <v>35.203830000000004</v>
      </c>
      <c r="M150" s="262">
        <v>15.576623919999999</v>
      </c>
      <c r="N150" s="262">
        <v>15.576623919999999</v>
      </c>
    </row>
    <row r="151" spans="1:14" x14ac:dyDescent="0.25">
      <c r="A151" s="262">
        <v>5133</v>
      </c>
      <c r="B151" s="262" t="s">
        <v>196</v>
      </c>
      <c r="C151" s="262" t="s">
        <v>246</v>
      </c>
      <c r="D151" s="262">
        <v>-94.252707400000006</v>
      </c>
      <c r="E151" s="262">
        <v>34.000889999999998</v>
      </c>
      <c r="M151" s="262">
        <v>16.179710159999999</v>
      </c>
      <c r="N151" s="262">
        <v>16.179710159999999</v>
      </c>
    </row>
    <row r="152" spans="1:14" x14ac:dyDescent="0.25">
      <c r="A152" s="262">
        <v>5135</v>
      </c>
      <c r="B152" s="262" t="s">
        <v>196</v>
      </c>
      <c r="C152" s="262" t="s">
        <v>247</v>
      </c>
      <c r="D152" s="262">
        <v>-91.493873399999998</v>
      </c>
      <c r="E152" s="262">
        <v>36.153089999999999</v>
      </c>
      <c r="M152" s="262">
        <v>15.05055241</v>
      </c>
      <c r="N152" s="262">
        <v>15.05055241</v>
      </c>
    </row>
    <row r="153" spans="1:14" x14ac:dyDescent="0.25">
      <c r="A153" s="262">
        <v>5137</v>
      </c>
      <c r="B153" s="262" t="s">
        <v>196</v>
      </c>
      <c r="C153" s="262" t="s">
        <v>248</v>
      </c>
      <c r="D153" s="262">
        <v>-92.160951299999994</v>
      </c>
      <c r="E153" s="262">
        <v>35.85322</v>
      </c>
      <c r="M153" s="262">
        <v>15.17126987</v>
      </c>
      <c r="N153" s="262">
        <v>15.17126987</v>
      </c>
    </row>
    <row r="154" spans="1:14" x14ac:dyDescent="0.25">
      <c r="A154" s="262">
        <v>5139</v>
      </c>
      <c r="B154" s="262" t="s">
        <v>196</v>
      </c>
      <c r="C154" s="262" t="s">
        <v>249</v>
      </c>
      <c r="D154" s="262">
        <v>-92.601133700000005</v>
      </c>
      <c r="E154" s="262">
        <v>33.1708</v>
      </c>
      <c r="M154" s="262">
        <v>16.676229119999999</v>
      </c>
      <c r="N154" s="262">
        <v>16.676229119999999</v>
      </c>
    </row>
    <row r="155" spans="1:14" x14ac:dyDescent="0.25">
      <c r="A155" s="262">
        <v>5141</v>
      </c>
      <c r="B155" s="262" t="s">
        <v>196</v>
      </c>
      <c r="C155" s="262" t="s">
        <v>250</v>
      </c>
      <c r="D155" s="262">
        <v>-92.526273399999994</v>
      </c>
      <c r="E155" s="262">
        <v>35.573650000000001</v>
      </c>
      <c r="M155" s="262">
        <v>15.32231273</v>
      </c>
      <c r="N155" s="262">
        <v>15.32231273</v>
      </c>
    </row>
    <row r="156" spans="1:14" x14ac:dyDescent="0.25">
      <c r="A156" s="262">
        <v>5143</v>
      </c>
      <c r="B156" s="262" t="s">
        <v>196</v>
      </c>
      <c r="C156" s="262" t="s">
        <v>177</v>
      </c>
      <c r="D156" s="262">
        <v>-94.221688799999995</v>
      </c>
      <c r="E156" s="262">
        <v>35.976089999999999</v>
      </c>
      <c r="M156" s="262">
        <v>15.093221890000001</v>
      </c>
      <c r="N156" s="262">
        <v>15.093221890000001</v>
      </c>
    </row>
    <row r="157" spans="1:14" x14ac:dyDescent="0.25">
      <c r="A157" s="262">
        <v>5145</v>
      </c>
      <c r="B157" s="262" t="s">
        <v>196</v>
      </c>
      <c r="C157" s="262" t="s">
        <v>251</v>
      </c>
      <c r="D157" s="262">
        <v>-91.745618199999996</v>
      </c>
      <c r="E157" s="262">
        <v>35.25271</v>
      </c>
      <c r="M157" s="262">
        <v>15.560970429999999</v>
      </c>
      <c r="N157" s="262">
        <v>15.560970429999999</v>
      </c>
    </row>
    <row r="158" spans="1:14" x14ac:dyDescent="0.25">
      <c r="A158" s="262">
        <v>5147</v>
      </c>
      <c r="B158" s="262" t="s">
        <v>196</v>
      </c>
      <c r="C158" s="262" t="s">
        <v>252</v>
      </c>
      <c r="D158" s="262">
        <v>-91.246392799999995</v>
      </c>
      <c r="E158" s="262">
        <v>35.181849999999997</v>
      </c>
      <c r="M158" s="262">
        <v>15.64307505</v>
      </c>
      <c r="N158" s="262">
        <v>15.64307505</v>
      </c>
    </row>
    <row r="159" spans="1:14" x14ac:dyDescent="0.25">
      <c r="A159" s="262">
        <v>5149</v>
      </c>
      <c r="B159" s="262" t="s">
        <v>196</v>
      </c>
      <c r="C159" s="262" t="s">
        <v>253</v>
      </c>
      <c r="D159" s="262">
        <v>-93.413702700000002</v>
      </c>
      <c r="E159" s="262">
        <v>35.004559999999998</v>
      </c>
      <c r="M159" s="262">
        <v>15.658636039999999</v>
      </c>
      <c r="N159" s="262">
        <v>15.658636039999999</v>
      </c>
    </row>
    <row r="160" spans="1:14" x14ac:dyDescent="0.25">
      <c r="A160" s="262">
        <v>6001</v>
      </c>
      <c r="B160" s="262" t="s">
        <v>254</v>
      </c>
      <c r="C160" s="262" t="s">
        <v>255</v>
      </c>
      <c r="D160" s="262">
        <v>-121.84949400000001</v>
      </c>
      <c r="E160" s="262">
        <v>37.646540000000002</v>
      </c>
      <c r="M160" s="262">
        <v>17.092343920000001</v>
      </c>
      <c r="N160" s="262">
        <v>17.092343920000001</v>
      </c>
    </row>
    <row r="161" spans="1:14" x14ac:dyDescent="0.25">
      <c r="A161" s="262">
        <v>6003</v>
      </c>
      <c r="B161" s="262" t="s">
        <v>254</v>
      </c>
      <c r="C161" s="262" t="s">
        <v>256</v>
      </c>
      <c r="D161" s="262">
        <v>-119.81766500000001</v>
      </c>
      <c r="E161" s="262">
        <v>38.595410000000001</v>
      </c>
      <c r="M161" s="262">
        <v>14.64164353</v>
      </c>
      <c r="N161" s="262">
        <v>14.64164353</v>
      </c>
    </row>
    <row r="162" spans="1:14" x14ac:dyDescent="0.25">
      <c r="A162" s="262">
        <v>6005</v>
      </c>
      <c r="B162" s="262" t="s">
        <v>254</v>
      </c>
      <c r="C162" s="262" t="s">
        <v>257</v>
      </c>
      <c r="D162" s="262">
        <v>-120.64086399999999</v>
      </c>
      <c r="E162" s="262">
        <v>38.452570000000001</v>
      </c>
      <c r="M162" s="262">
        <v>15.950508279999999</v>
      </c>
      <c r="N162" s="262">
        <v>15.950508279999999</v>
      </c>
    </row>
    <row r="163" spans="1:14" x14ac:dyDescent="0.25">
      <c r="A163" s="262">
        <v>6007</v>
      </c>
      <c r="B163" s="262" t="s">
        <v>254</v>
      </c>
      <c r="C163" s="262" t="s">
        <v>258</v>
      </c>
      <c r="D163" s="262">
        <v>-121.60077099999999</v>
      </c>
      <c r="E163" s="262">
        <v>39.667230000000004</v>
      </c>
      <c r="M163" s="262">
        <v>13.888319559999999</v>
      </c>
      <c r="N163" s="262">
        <v>13.888319559999999</v>
      </c>
    </row>
    <row r="164" spans="1:14" x14ac:dyDescent="0.25">
      <c r="A164" s="262">
        <v>6009</v>
      </c>
      <c r="B164" s="262" t="s">
        <v>254</v>
      </c>
      <c r="C164" s="262" t="s">
        <v>259</v>
      </c>
      <c r="D164" s="262">
        <v>-120.553017</v>
      </c>
      <c r="E164" s="262">
        <v>38.209209999999999</v>
      </c>
      <c r="M164" s="262">
        <v>16.176350679999999</v>
      </c>
      <c r="N164" s="262">
        <v>16.176350679999999</v>
      </c>
    </row>
    <row r="165" spans="1:14" x14ac:dyDescent="0.25">
      <c r="A165" s="262">
        <v>6011</v>
      </c>
      <c r="B165" s="262" t="s">
        <v>254</v>
      </c>
      <c r="C165" s="262" t="s">
        <v>260</v>
      </c>
      <c r="D165" s="262">
        <v>-122.241495</v>
      </c>
      <c r="E165" s="262">
        <v>39.182699999999997</v>
      </c>
      <c r="M165" s="262">
        <v>14.78380273</v>
      </c>
      <c r="N165" s="262">
        <v>14.78380273</v>
      </c>
    </row>
    <row r="166" spans="1:14" x14ac:dyDescent="0.25">
      <c r="A166" s="262">
        <v>6013</v>
      </c>
      <c r="B166" s="262" t="s">
        <v>254</v>
      </c>
      <c r="C166" s="262" t="s">
        <v>261</v>
      </c>
      <c r="D166" s="262">
        <v>-121.916679</v>
      </c>
      <c r="E166" s="262">
        <v>37.918610000000001</v>
      </c>
      <c r="M166" s="262">
        <v>16.919812610000001</v>
      </c>
      <c r="N166" s="262">
        <v>16.919812610000001</v>
      </c>
    </row>
    <row r="167" spans="1:14" x14ac:dyDescent="0.25">
      <c r="A167" s="262">
        <v>6015</v>
      </c>
      <c r="B167" s="262" t="s">
        <v>254</v>
      </c>
      <c r="C167" s="262" t="s">
        <v>262</v>
      </c>
      <c r="D167" s="262">
        <v>-123.903649</v>
      </c>
      <c r="E167" s="262">
        <v>41.760269999999998</v>
      </c>
      <c r="M167" s="262">
        <v>10.663873349999999</v>
      </c>
      <c r="N167" s="262">
        <v>10.663873349999999</v>
      </c>
    </row>
    <row r="168" spans="1:14" x14ac:dyDescent="0.25">
      <c r="A168" s="262">
        <v>6017</v>
      </c>
      <c r="B168" s="262" t="s">
        <v>254</v>
      </c>
      <c r="C168" s="262" t="s">
        <v>263</v>
      </c>
      <c r="D168" s="262">
        <v>-120.52854499999999</v>
      </c>
      <c r="E168" s="262">
        <v>38.780760000000001</v>
      </c>
      <c r="M168" s="262">
        <v>15.21287916</v>
      </c>
      <c r="N168" s="262">
        <v>15.21287916</v>
      </c>
    </row>
    <row r="169" spans="1:14" x14ac:dyDescent="0.25">
      <c r="A169" s="262">
        <v>6019</v>
      </c>
      <c r="B169" s="262" t="s">
        <v>254</v>
      </c>
      <c r="C169" s="262" t="s">
        <v>264</v>
      </c>
      <c r="D169" s="262">
        <v>-119.641036</v>
      </c>
      <c r="E169" s="262">
        <v>36.753680000000003</v>
      </c>
      <c r="M169" s="262">
        <v>16.62256112</v>
      </c>
      <c r="N169" s="262">
        <v>16.62256112</v>
      </c>
    </row>
    <row r="170" spans="1:14" x14ac:dyDescent="0.25">
      <c r="A170" s="262">
        <v>6021</v>
      </c>
      <c r="B170" s="262" t="s">
        <v>254</v>
      </c>
      <c r="C170" s="262" t="s">
        <v>265</v>
      </c>
      <c r="D170" s="262">
        <v>-122.391279</v>
      </c>
      <c r="E170" s="262">
        <v>39.605119999999999</v>
      </c>
      <c r="M170" s="262">
        <v>13.909758780000001</v>
      </c>
      <c r="N170" s="262">
        <v>13.909758780000001</v>
      </c>
    </row>
    <row r="171" spans="1:14" x14ac:dyDescent="0.25">
      <c r="A171" s="262">
        <v>6023</v>
      </c>
      <c r="B171" s="262" t="s">
        <v>254</v>
      </c>
      <c r="C171" s="262" t="s">
        <v>266</v>
      </c>
      <c r="D171" s="262">
        <v>-123.875444</v>
      </c>
      <c r="E171" s="262">
        <v>40.707450000000001</v>
      </c>
      <c r="M171" s="262">
        <v>12.011247490000001</v>
      </c>
      <c r="N171" s="262">
        <v>12.011247490000001</v>
      </c>
    </row>
    <row r="172" spans="1:14" x14ac:dyDescent="0.25">
      <c r="A172" s="262">
        <v>6025</v>
      </c>
      <c r="B172" s="262" t="s">
        <v>254</v>
      </c>
      <c r="C172" s="262" t="s">
        <v>267</v>
      </c>
      <c r="D172" s="262">
        <v>-115.375141</v>
      </c>
      <c r="E172" s="262">
        <v>33.044719999999998</v>
      </c>
      <c r="M172" s="262">
        <v>17.657422759999999</v>
      </c>
      <c r="N172" s="262">
        <v>17.657422759999999</v>
      </c>
    </row>
    <row r="173" spans="1:14" x14ac:dyDescent="0.25">
      <c r="A173" s="262">
        <v>6027</v>
      </c>
      <c r="B173" s="262" t="s">
        <v>254</v>
      </c>
      <c r="C173" s="262" t="s">
        <v>268</v>
      </c>
      <c r="D173" s="262">
        <v>-117.418497</v>
      </c>
      <c r="E173" s="262">
        <v>36.516350000000003</v>
      </c>
      <c r="M173" s="262">
        <v>15.067363220000001</v>
      </c>
      <c r="N173" s="262">
        <v>15.067363220000001</v>
      </c>
    </row>
    <row r="174" spans="1:14" x14ac:dyDescent="0.25">
      <c r="A174" s="262">
        <v>6029</v>
      </c>
      <c r="B174" s="262" t="s">
        <v>254</v>
      </c>
      <c r="C174" s="262" t="s">
        <v>269</v>
      </c>
      <c r="D174" s="262">
        <v>-118.728692</v>
      </c>
      <c r="E174" s="262">
        <v>35.341630000000002</v>
      </c>
      <c r="M174" s="262">
        <v>17.372997909999999</v>
      </c>
      <c r="N174" s="262">
        <v>17.372997909999999</v>
      </c>
    </row>
    <row r="175" spans="1:14" x14ac:dyDescent="0.25">
      <c r="A175" s="262">
        <v>6031</v>
      </c>
      <c r="B175" s="262" t="s">
        <v>254</v>
      </c>
      <c r="C175" s="262" t="s">
        <v>270</v>
      </c>
      <c r="D175" s="262">
        <v>-119.805537</v>
      </c>
      <c r="E175" s="262">
        <v>36.06644</v>
      </c>
      <c r="M175" s="262">
        <v>17.334255580000001</v>
      </c>
      <c r="N175" s="262">
        <v>17.334255580000001</v>
      </c>
    </row>
    <row r="176" spans="1:14" x14ac:dyDescent="0.25">
      <c r="A176" s="262">
        <v>6033</v>
      </c>
      <c r="B176" s="262" t="s">
        <v>254</v>
      </c>
      <c r="C176" s="262" t="s">
        <v>271</v>
      </c>
      <c r="D176" s="262">
        <v>-122.76257099999999</v>
      </c>
      <c r="E176" s="262">
        <v>39.109079999999999</v>
      </c>
      <c r="M176" s="262">
        <v>14.68389691</v>
      </c>
      <c r="N176" s="262">
        <v>14.68389691</v>
      </c>
    </row>
    <row r="177" spans="1:14" x14ac:dyDescent="0.25">
      <c r="A177" s="262">
        <v>6035</v>
      </c>
      <c r="B177" s="262" t="s">
        <v>254</v>
      </c>
      <c r="C177" s="262" t="s">
        <v>272</v>
      </c>
      <c r="D177" s="262">
        <v>-120.600691</v>
      </c>
      <c r="E177" s="262">
        <v>40.687469999999998</v>
      </c>
      <c r="M177" s="262">
        <v>11.78183662</v>
      </c>
      <c r="N177" s="262">
        <v>11.78183662</v>
      </c>
    </row>
    <row r="178" spans="1:14" x14ac:dyDescent="0.25">
      <c r="A178" s="262">
        <v>6037</v>
      </c>
      <c r="B178" s="262" t="s">
        <v>254</v>
      </c>
      <c r="C178" s="262" t="s">
        <v>273</v>
      </c>
      <c r="D178" s="262">
        <v>-118.21274200000001</v>
      </c>
      <c r="E178" s="262">
        <v>34.369959999999999</v>
      </c>
      <c r="M178" s="262">
        <v>18.370651339999998</v>
      </c>
      <c r="N178" s="262">
        <v>18.370651339999998</v>
      </c>
    </row>
    <row r="179" spans="1:14" x14ac:dyDescent="0.25">
      <c r="A179" s="262">
        <v>6039</v>
      </c>
      <c r="B179" s="262" t="s">
        <v>254</v>
      </c>
      <c r="C179" s="262" t="s">
        <v>274</v>
      </c>
      <c r="D179" s="262">
        <v>-119.762413</v>
      </c>
      <c r="E179" s="262">
        <v>37.213569999999997</v>
      </c>
      <c r="M179" s="262">
        <v>16.365075999999998</v>
      </c>
      <c r="N179" s="262">
        <v>16.365075999999998</v>
      </c>
    </row>
    <row r="180" spans="1:14" x14ac:dyDescent="0.25">
      <c r="A180" s="262">
        <v>6041</v>
      </c>
      <c r="B180" s="262" t="s">
        <v>254</v>
      </c>
      <c r="C180" s="262" t="s">
        <v>275</v>
      </c>
      <c r="D180" s="262">
        <v>-122.69533199999999</v>
      </c>
      <c r="E180" s="262">
        <v>38.07105</v>
      </c>
      <c r="M180" s="262">
        <v>16.172793559999999</v>
      </c>
      <c r="N180" s="262">
        <v>16.172793559999999</v>
      </c>
    </row>
    <row r="181" spans="1:14" x14ac:dyDescent="0.25">
      <c r="A181" s="262">
        <v>6043</v>
      </c>
      <c r="B181" s="262" t="s">
        <v>254</v>
      </c>
      <c r="C181" s="262" t="s">
        <v>276</v>
      </c>
      <c r="D181" s="262">
        <v>-119.898357</v>
      </c>
      <c r="E181" s="262">
        <v>37.580559999999998</v>
      </c>
      <c r="M181" s="262">
        <v>16.141150440000001</v>
      </c>
      <c r="N181" s="262">
        <v>16.141150440000001</v>
      </c>
    </row>
    <row r="182" spans="1:14" x14ac:dyDescent="0.25">
      <c r="A182" s="262">
        <v>6045</v>
      </c>
      <c r="B182" s="262" t="s">
        <v>254</v>
      </c>
      <c r="C182" s="262" t="s">
        <v>277</v>
      </c>
      <c r="D182" s="262">
        <v>-123.384896</v>
      </c>
      <c r="E182" s="262">
        <v>39.456400000000002</v>
      </c>
      <c r="M182" s="262">
        <v>13.9037758</v>
      </c>
      <c r="N182" s="262">
        <v>13.9037758</v>
      </c>
    </row>
    <row r="183" spans="1:14" x14ac:dyDescent="0.25">
      <c r="A183" s="262">
        <v>6047</v>
      </c>
      <c r="B183" s="262" t="s">
        <v>254</v>
      </c>
      <c r="C183" s="262" t="s">
        <v>278</v>
      </c>
      <c r="D183" s="262">
        <v>-120.721091</v>
      </c>
      <c r="E183" s="262">
        <v>37.185229999999997</v>
      </c>
      <c r="M183" s="262">
        <v>17.084436190000002</v>
      </c>
      <c r="N183" s="262">
        <v>17.084436190000002</v>
      </c>
    </row>
    <row r="184" spans="1:14" x14ac:dyDescent="0.25">
      <c r="A184" s="262">
        <v>6049</v>
      </c>
      <c r="B184" s="262" t="s">
        <v>254</v>
      </c>
      <c r="C184" s="262" t="s">
        <v>279</v>
      </c>
      <c r="D184" s="262">
        <v>-120.738326</v>
      </c>
      <c r="E184" s="262">
        <v>41.608469999999997</v>
      </c>
      <c r="M184" s="262">
        <v>10.514921470000001</v>
      </c>
      <c r="N184" s="262">
        <v>10.514921470000001</v>
      </c>
    </row>
    <row r="185" spans="1:14" x14ac:dyDescent="0.25">
      <c r="A185" s="262">
        <v>6051</v>
      </c>
      <c r="B185" s="262" t="s">
        <v>254</v>
      </c>
      <c r="C185" s="262" t="s">
        <v>280</v>
      </c>
      <c r="D185" s="262">
        <v>-118.88735</v>
      </c>
      <c r="E185" s="262">
        <v>37.938769999999998</v>
      </c>
      <c r="M185" s="262">
        <v>14.523248690000001</v>
      </c>
      <c r="N185" s="262">
        <v>14.523248690000001</v>
      </c>
    </row>
    <row r="186" spans="1:14" x14ac:dyDescent="0.25">
      <c r="A186" s="262">
        <v>6053</v>
      </c>
      <c r="B186" s="262" t="s">
        <v>254</v>
      </c>
      <c r="C186" s="262" t="s">
        <v>281</v>
      </c>
      <c r="D186" s="262">
        <v>-121.21236500000001</v>
      </c>
      <c r="E186" s="262">
        <v>36.208849999999998</v>
      </c>
      <c r="M186" s="262">
        <v>17.448038579999999</v>
      </c>
      <c r="N186" s="262">
        <v>17.448038579999999</v>
      </c>
    </row>
    <row r="187" spans="1:14" x14ac:dyDescent="0.25">
      <c r="A187" s="262">
        <v>6055</v>
      </c>
      <c r="B187" s="262" t="s">
        <v>254</v>
      </c>
      <c r="C187" s="262" t="s">
        <v>282</v>
      </c>
      <c r="D187" s="262">
        <v>-122.33823099999999</v>
      </c>
      <c r="E187" s="262">
        <v>38.509129999999999</v>
      </c>
      <c r="M187" s="262">
        <v>15.92136112</v>
      </c>
      <c r="N187" s="262">
        <v>15.92136112</v>
      </c>
    </row>
    <row r="188" spans="1:14" x14ac:dyDescent="0.25">
      <c r="A188" s="262">
        <v>6057</v>
      </c>
      <c r="B188" s="262" t="s">
        <v>254</v>
      </c>
      <c r="C188" s="262" t="s">
        <v>232</v>
      </c>
      <c r="D188" s="262">
        <v>-120.770387</v>
      </c>
      <c r="E188" s="262">
        <v>39.304070000000003</v>
      </c>
      <c r="M188" s="262">
        <v>14.369463270000001</v>
      </c>
      <c r="N188" s="262">
        <v>14.369463270000001</v>
      </c>
    </row>
    <row r="189" spans="1:14" x14ac:dyDescent="0.25">
      <c r="A189" s="262">
        <v>6059</v>
      </c>
      <c r="B189" s="262" t="s">
        <v>254</v>
      </c>
      <c r="C189" s="262" t="s">
        <v>283</v>
      </c>
      <c r="D189" s="262">
        <v>-117.753271</v>
      </c>
      <c r="E189" s="262">
        <v>33.71696</v>
      </c>
      <c r="M189" s="262">
        <v>18.705125509999998</v>
      </c>
      <c r="N189" s="262">
        <v>18.705125509999998</v>
      </c>
    </row>
    <row r="190" spans="1:14" x14ac:dyDescent="0.25">
      <c r="A190" s="262">
        <v>6061</v>
      </c>
      <c r="B190" s="262" t="s">
        <v>254</v>
      </c>
      <c r="C190" s="262" t="s">
        <v>284</v>
      </c>
      <c r="D190" s="262">
        <v>-120.716593</v>
      </c>
      <c r="E190" s="262">
        <v>39.066609999999997</v>
      </c>
      <c r="M190" s="262">
        <v>14.84935888</v>
      </c>
      <c r="N190" s="262">
        <v>14.84935888</v>
      </c>
    </row>
    <row r="191" spans="1:14" x14ac:dyDescent="0.25">
      <c r="A191" s="262">
        <v>6063</v>
      </c>
      <c r="B191" s="262" t="s">
        <v>254</v>
      </c>
      <c r="C191" s="262" t="s">
        <v>285</v>
      </c>
      <c r="D191" s="262">
        <v>-120.84965099999999</v>
      </c>
      <c r="E191" s="262">
        <v>40.015309999999999</v>
      </c>
      <c r="M191" s="262">
        <v>12.98475213</v>
      </c>
      <c r="N191" s="262">
        <v>12.98475213</v>
      </c>
    </row>
    <row r="192" spans="1:14" x14ac:dyDescent="0.25">
      <c r="A192" s="262">
        <v>6065</v>
      </c>
      <c r="B192" s="262" t="s">
        <v>254</v>
      </c>
      <c r="C192" s="262" t="s">
        <v>286</v>
      </c>
      <c r="D192" s="262">
        <v>-116.009319</v>
      </c>
      <c r="E192" s="262">
        <v>33.745620000000002</v>
      </c>
      <c r="M192" s="262">
        <v>17.49599474</v>
      </c>
      <c r="N192" s="262">
        <v>17.49599474</v>
      </c>
    </row>
    <row r="193" spans="1:14" x14ac:dyDescent="0.25">
      <c r="A193" s="262">
        <v>6067</v>
      </c>
      <c r="B193" s="262" t="s">
        <v>254</v>
      </c>
      <c r="C193" s="262" t="s">
        <v>287</v>
      </c>
      <c r="D193" s="262">
        <v>-121.33750999999999</v>
      </c>
      <c r="E193" s="262">
        <v>38.451360000000001</v>
      </c>
      <c r="M193" s="262">
        <v>16.610899230000001</v>
      </c>
      <c r="N193" s="262">
        <v>16.610899230000001</v>
      </c>
    </row>
    <row r="194" spans="1:14" x14ac:dyDescent="0.25">
      <c r="A194" s="262">
        <v>6069</v>
      </c>
      <c r="B194" s="262" t="s">
        <v>254</v>
      </c>
      <c r="C194" s="262" t="s">
        <v>288</v>
      </c>
      <c r="D194" s="262">
        <v>-121.069485</v>
      </c>
      <c r="E194" s="262">
        <v>36.602089999999997</v>
      </c>
      <c r="M194" s="262">
        <v>17.397147539999999</v>
      </c>
      <c r="N194" s="262">
        <v>17.397147539999999</v>
      </c>
    </row>
    <row r="195" spans="1:14" x14ac:dyDescent="0.25">
      <c r="A195" s="262">
        <v>6071</v>
      </c>
      <c r="B195" s="262" t="s">
        <v>254</v>
      </c>
      <c r="C195" s="262" t="s">
        <v>289</v>
      </c>
      <c r="D195" s="262">
        <v>-116.17293600000001</v>
      </c>
      <c r="E195" s="262">
        <v>34.845170000000003</v>
      </c>
      <c r="M195" s="262">
        <v>16.392026869999999</v>
      </c>
      <c r="N195" s="262">
        <v>16.392026869999999</v>
      </c>
    </row>
    <row r="196" spans="1:14" x14ac:dyDescent="0.25">
      <c r="A196" s="262">
        <v>6073</v>
      </c>
      <c r="B196" s="262" t="s">
        <v>254</v>
      </c>
      <c r="C196" s="262" t="s">
        <v>290</v>
      </c>
      <c r="D196" s="262">
        <v>-116.72018799999999</v>
      </c>
      <c r="E196" s="262">
        <v>33.040149999999997</v>
      </c>
      <c r="M196" s="262">
        <v>18.250840199999999</v>
      </c>
      <c r="N196" s="262">
        <v>18.250840199999999</v>
      </c>
    </row>
    <row r="197" spans="1:14" x14ac:dyDescent="0.25">
      <c r="A197" s="262">
        <v>6075</v>
      </c>
      <c r="B197" s="262" t="s">
        <v>254</v>
      </c>
      <c r="C197" s="262" t="s">
        <v>291</v>
      </c>
      <c r="D197" s="262">
        <v>-122.406549</v>
      </c>
      <c r="E197" s="262">
        <v>37.753320000000002</v>
      </c>
      <c r="M197" s="262">
        <v>16.7080603</v>
      </c>
      <c r="N197" s="262">
        <v>16.7080603</v>
      </c>
    </row>
    <row r="198" spans="1:14" x14ac:dyDescent="0.25">
      <c r="A198" s="262">
        <v>6077</v>
      </c>
      <c r="B198" s="262" t="s">
        <v>254</v>
      </c>
      <c r="C198" s="262" t="s">
        <v>292</v>
      </c>
      <c r="D198" s="262">
        <v>-121.267813</v>
      </c>
      <c r="E198" s="262">
        <v>37.940719999999999</v>
      </c>
      <c r="M198" s="262">
        <v>17.091766849999999</v>
      </c>
      <c r="N198" s="262">
        <v>17.091766849999999</v>
      </c>
    </row>
    <row r="199" spans="1:14" x14ac:dyDescent="0.25">
      <c r="A199" s="262">
        <v>6079</v>
      </c>
      <c r="B199" s="262" t="s">
        <v>254</v>
      </c>
      <c r="C199" s="262" t="s">
        <v>293</v>
      </c>
      <c r="D199" s="262">
        <v>-120.37244200000001</v>
      </c>
      <c r="E199" s="262">
        <v>35.379309999999997</v>
      </c>
      <c r="M199" s="262">
        <v>17.570475829999999</v>
      </c>
      <c r="N199" s="262">
        <v>17.570475829999999</v>
      </c>
    </row>
    <row r="200" spans="1:14" x14ac:dyDescent="0.25">
      <c r="A200" s="262">
        <v>6081</v>
      </c>
      <c r="B200" s="262" t="s">
        <v>254</v>
      </c>
      <c r="C200" s="262" t="s">
        <v>294</v>
      </c>
      <c r="D200" s="262">
        <v>-122.298159</v>
      </c>
      <c r="E200" s="262">
        <v>37.43683</v>
      </c>
      <c r="M200" s="262">
        <v>16.99086316</v>
      </c>
      <c r="N200" s="262">
        <v>16.99086316</v>
      </c>
    </row>
    <row r="201" spans="1:14" x14ac:dyDescent="0.25">
      <c r="A201" s="262">
        <v>6083</v>
      </c>
      <c r="B201" s="262" t="s">
        <v>254</v>
      </c>
      <c r="C201" s="262" t="s">
        <v>295</v>
      </c>
      <c r="D201" s="262">
        <v>-120.010975</v>
      </c>
      <c r="E201" s="262">
        <v>34.733510000000003</v>
      </c>
      <c r="M201" s="262">
        <v>17.733930900000001</v>
      </c>
      <c r="N201" s="262">
        <v>17.733930900000001</v>
      </c>
    </row>
    <row r="202" spans="1:14" x14ac:dyDescent="0.25">
      <c r="A202" s="262">
        <v>6085</v>
      </c>
      <c r="B202" s="262" t="s">
        <v>254</v>
      </c>
      <c r="C202" s="262" t="s">
        <v>296</v>
      </c>
      <c r="D202" s="262">
        <v>-121.692274</v>
      </c>
      <c r="E202" s="262">
        <v>37.230020000000003</v>
      </c>
      <c r="M202" s="262">
        <v>17.273543</v>
      </c>
      <c r="N202" s="262">
        <v>17.273543</v>
      </c>
    </row>
    <row r="203" spans="1:14" x14ac:dyDescent="0.25">
      <c r="A203" s="262">
        <v>6087</v>
      </c>
      <c r="B203" s="262" t="s">
        <v>254</v>
      </c>
      <c r="C203" s="262" t="s">
        <v>193</v>
      </c>
      <c r="D203" s="262">
        <v>-121.99495400000001</v>
      </c>
      <c r="E203" s="262">
        <v>37.066029999999998</v>
      </c>
      <c r="M203" s="262">
        <v>17.239124910000001</v>
      </c>
      <c r="N203" s="262">
        <v>17.239124910000001</v>
      </c>
    </row>
    <row r="204" spans="1:14" x14ac:dyDescent="0.25">
      <c r="A204" s="262">
        <v>6089</v>
      </c>
      <c r="B204" s="262" t="s">
        <v>254</v>
      </c>
      <c r="C204" s="262" t="s">
        <v>297</v>
      </c>
      <c r="D204" s="262">
        <v>-122.054827</v>
      </c>
      <c r="E204" s="262">
        <v>40.78</v>
      </c>
      <c r="M204" s="262">
        <v>11.50588801</v>
      </c>
      <c r="N204" s="262">
        <v>11.50588801</v>
      </c>
    </row>
    <row r="205" spans="1:14" x14ac:dyDescent="0.25">
      <c r="A205" s="262">
        <v>6091</v>
      </c>
      <c r="B205" s="262" t="s">
        <v>254</v>
      </c>
      <c r="C205" s="262" t="s">
        <v>298</v>
      </c>
      <c r="D205" s="262">
        <v>-120.51121000000001</v>
      </c>
      <c r="E205" s="262">
        <v>39.58249</v>
      </c>
      <c r="M205" s="262">
        <v>13.65620829</v>
      </c>
      <c r="N205" s="262">
        <v>13.65620829</v>
      </c>
    </row>
    <row r="206" spans="1:14" x14ac:dyDescent="0.25">
      <c r="A206" s="262">
        <v>6093</v>
      </c>
      <c r="B206" s="262" t="s">
        <v>254</v>
      </c>
      <c r="C206" s="262" t="s">
        <v>299</v>
      </c>
      <c r="D206" s="262">
        <v>-122.56309</v>
      </c>
      <c r="E206" s="262">
        <v>41.603630000000003</v>
      </c>
      <c r="M206" s="262">
        <v>10.0038959</v>
      </c>
      <c r="N206" s="262">
        <v>10.0038959</v>
      </c>
    </row>
    <row r="207" spans="1:14" x14ac:dyDescent="0.25">
      <c r="A207" s="262">
        <v>6095</v>
      </c>
      <c r="B207" s="262" t="s">
        <v>254</v>
      </c>
      <c r="C207" s="262" t="s">
        <v>300</v>
      </c>
      <c r="D207" s="262">
        <v>-121.921902</v>
      </c>
      <c r="E207" s="262">
        <v>38.278910000000003</v>
      </c>
      <c r="M207" s="262">
        <v>16.57154646</v>
      </c>
      <c r="N207" s="262">
        <v>16.57154646</v>
      </c>
    </row>
    <row r="208" spans="1:14" x14ac:dyDescent="0.25">
      <c r="A208" s="262">
        <v>6097</v>
      </c>
      <c r="B208" s="262" t="s">
        <v>254</v>
      </c>
      <c r="C208" s="262" t="s">
        <v>301</v>
      </c>
      <c r="D208" s="262">
        <v>-122.876329</v>
      </c>
      <c r="E208" s="262">
        <v>38.533079999999998</v>
      </c>
      <c r="M208" s="262">
        <v>15.51444519</v>
      </c>
      <c r="N208" s="262">
        <v>15.51444519</v>
      </c>
    </row>
    <row r="209" spans="1:14" x14ac:dyDescent="0.25">
      <c r="A209" s="262">
        <v>6099</v>
      </c>
      <c r="B209" s="262" t="s">
        <v>254</v>
      </c>
      <c r="C209" s="262" t="s">
        <v>302</v>
      </c>
      <c r="D209" s="262">
        <v>-120.997343</v>
      </c>
      <c r="E209" s="262">
        <v>37.5578</v>
      </c>
      <c r="M209" s="262">
        <v>17.073195900000002</v>
      </c>
      <c r="N209" s="262">
        <v>17.073195900000002</v>
      </c>
    </row>
    <row r="210" spans="1:14" x14ac:dyDescent="0.25">
      <c r="A210" s="262">
        <v>6101</v>
      </c>
      <c r="B210" s="262" t="s">
        <v>254</v>
      </c>
      <c r="C210" s="262" t="s">
        <v>303</v>
      </c>
      <c r="D210" s="262">
        <v>-121.690172</v>
      </c>
      <c r="E210" s="262">
        <v>39.034489999999998</v>
      </c>
      <c r="M210" s="262">
        <v>15.326115939999999</v>
      </c>
      <c r="N210" s="262">
        <v>15.326115939999999</v>
      </c>
    </row>
    <row r="211" spans="1:14" x14ac:dyDescent="0.25">
      <c r="A211" s="262">
        <v>6103</v>
      </c>
      <c r="B211" s="262" t="s">
        <v>254</v>
      </c>
      <c r="C211" s="262" t="s">
        <v>304</v>
      </c>
      <c r="D211" s="262">
        <v>-122.245791</v>
      </c>
      <c r="E211" s="262">
        <v>40.136479999999999</v>
      </c>
      <c r="M211" s="262">
        <v>12.831095810000001</v>
      </c>
      <c r="N211" s="262">
        <v>12.831095810000001</v>
      </c>
    </row>
    <row r="212" spans="1:14" x14ac:dyDescent="0.25">
      <c r="A212" s="262">
        <v>6105</v>
      </c>
      <c r="B212" s="262" t="s">
        <v>254</v>
      </c>
      <c r="C212" s="262" t="s">
        <v>305</v>
      </c>
      <c r="D212" s="262">
        <v>-123.12812700000001</v>
      </c>
      <c r="E212" s="262">
        <v>40.673650000000002</v>
      </c>
      <c r="M212" s="262">
        <v>11.78429433</v>
      </c>
      <c r="N212" s="262">
        <v>11.78429433</v>
      </c>
    </row>
    <row r="213" spans="1:14" x14ac:dyDescent="0.25">
      <c r="A213" s="262">
        <v>6107</v>
      </c>
      <c r="B213" s="262" t="s">
        <v>254</v>
      </c>
      <c r="C213" s="262" t="s">
        <v>306</v>
      </c>
      <c r="D213" s="262">
        <v>-118.79199300000001</v>
      </c>
      <c r="E213" s="262">
        <v>36.218130000000002</v>
      </c>
      <c r="M213" s="262">
        <v>16.656249070000001</v>
      </c>
      <c r="N213" s="262">
        <v>16.656249070000001</v>
      </c>
    </row>
    <row r="214" spans="1:14" x14ac:dyDescent="0.25">
      <c r="A214" s="262">
        <v>6109</v>
      </c>
      <c r="B214" s="262" t="s">
        <v>254</v>
      </c>
      <c r="C214" s="262" t="s">
        <v>307</v>
      </c>
      <c r="D214" s="262">
        <v>-119.955589</v>
      </c>
      <c r="E214" s="262">
        <v>38.028840000000002</v>
      </c>
      <c r="M214" s="262">
        <v>15.65270436</v>
      </c>
      <c r="N214" s="262">
        <v>15.65270436</v>
      </c>
    </row>
    <row r="215" spans="1:14" x14ac:dyDescent="0.25">
      <c r="A215" s="262">
        <v>6111</v>
      </c>
      <c r="B215" s="262" t="s">
        <v>254</v>
      </c>
      <c r="C215" s="262" t="s">
        <v>308</v>
      </c>
      <c r="D215" s="262">
        <v>-119.071524</v>
      </c>
      <c r="E215" s="262">
        <v>34.49015</v>
      </c>
      <c r="M215" s="262">
        <v>18.192285600000002</v>
      </c>
      <c r="N215" s="262">
        <v>18.192285600000002</v>
      </c>
    </row>
    <row r="216" spans="1:14" x14ac:dyDescent="0.25">
      <c r="A216" s="262">
        <v>6113</v>
      </c>
      <c r="B216" s="262" t="s">
        <v>254</v>
      </c>
      <c r="C216" s="262" t="s">
        <v>309</v>
      </c>
      <c r="D216" s="262">
        <v>-121.904841</v>
      </c>
      <c r="E216" s="262">
        <v>38.691679999999998</v>
      </c>
      <c r="M216" s="262">
        <v>15.939203940000001</v>
      </c>
      <c r="N216" s="262">
        <v>15.939203940000001</v>
      </c>
    </row>
    <row r="217" spans="1:14" x14ac:dyDescent="0.25">
      <c r="A217" s="262">
        <v>6115</v>
      </c>
      <c r="B217" s="262" t="s">
        <v>254</v>
      </c>
      <c r="C217" s="262" t="s">
        <v>310</v>
      </c>
      <c r="D217" s="262">
        <v>-121.352661</v>
      </c>
      <c r="E217" s="262">
        <v>39.26511</v>
      </c>
      <c r="M217" s="262">
        <v>14.79194298</v>
      </c>
      <c r="N217" s="262">
        <v>14.79194298</v>
      </c>
    </row>
    <row r="218" spans="1:14" x14ac:dyDescent="0.25">
      <c r="A218" s="262">
        <v>8001</v>
      </c>
      <c r="B218" s="262" t="s">
        <v>311</v>
      </c>
      <c r="C218" s="262" t="s">
        <v>312</v>
      </c>
      <c r="D218" s="262">
        <v>-104.336534</v>
      </c>
      <c r="E218" s="262">
        <v>39.880290000000002</v>
      </c>
      <c r="M218" s="262">
        <v>10.420542859999999</v>
      </c>
      <c r="N218" s="262">
        <v>10.420542859999999</v>
      </c>
    </row>
    <row r="219" spans="1:14" x14ac:dyDescent="0.25">
      <c r="A219" s="262">
        <v>8003</v>
      </c>
      <c r="B219" s="262" t="s">
        <v>311</v>
      </c>
      <c r="C219" s="262" t="s">
        <v>313</v>
      </c>
      <c r="D219" s="262">
        <v>-105.799755</v>
      </c>
      <c r="E219" s="262">
        <v>37.556899999999999</v>
      </c>
      <c r="M219" s="262">
        <v>10.068343479999999</v>
      </c>
      <c r="N219" s="262">
        <v>10.068343479999999</v>
      </c>
    </row>
    <row r="220" spans="1:14" x14ac:dyDescent="0.25">
      <c r="A220" s="262">
        <v>8005</v>
      </c>
      <c r="B220" s="262" t="s">
        <v>311</v>
      </c>
      <c r="C220" s="262" t="s">
        <v>314</v>
      </c>
      <c r="D220" s="262">
        <v>-104.33940800000001</v>
      </c>
      <c r="E220" s="262">
        <v>39.652679999999997</v>
      </c>
      <c r="M220" s="262">
        <v>10.350196349999999</v>
      </c>
      <c r="N220" s="262">
        <v>10.350196349999999</v>
      </c>
    </row>
    <row r="221" spans="1:14" x14ac:dyDescent="0.25">
      <c r="A221" s="262">
        <v>8007</v>
      </c>
      <c r="B221" s="262" t="s">
        <v>311</v>
      </c>
      <c r="C221" s="262" t="s">
        <v>315</v>
      </c>
      <c r="D221" s="262">
        <v>-107.032729</v>
      </c>
      <c r="E221" s="262">
        <v>37.184570000000001</v>
      </c>
      <c r="M221" s="262">
        <v>11.019500819999999</v>
      </c>
      <c r="N221" s="262">
        <v>11.019500819999999</v>
      </c>
    </row>
    <row r="222" spans="1:14" x14ac:dyDescent="0.25">
      <c r="A222" s="262">
        <v>8009</v>
      </c>
      <c r="B222" s="262" t="s">
        <v>311</v>
      </c>
      <c r="C222" s="262" t="s">
        <v>316</v>
      </c>
      <c r="D222" s="262">
        <v>-102.563986</v>
      </c>
      <c r="E222" s="262">
        <v>37.312690000000003</v>
      </c>
      <c r="M222" s="262">
        <v>12.68390052</v>
      </c>
      <c r="N222" s="262">
        <v>12.68390052</v>
      </c>
    </row>
    <row r="223" spans="1:14" x14ac:dyDescent="0.25">
      <c r="A223" s="262">
        <v>8011</v>
      </c>
      <c r="B223" s="262" t="s">
        <v>311</v>
      </c>
      <c r="C223" s="262" t="s">
        <v>317</v>
      </c>
      <c r="D223" s="262">
        <v>-103.079215</v>
      </c>
      <c r="E223" s="262">
        <v>37.942979999999999</v>
      </c>
      <c r="M223" s="262">
        <v>11.69788116</v>
      </c>
      <c r="N223" s="262">
        <v>11.69788116</v>
      </c>
    </row>
    <row r="224" spans="1:14" x14ac:dyDescent="0.25">
      <c r="A224" s="262">
        <v>8013</v>
      </c>
      <c r="B224" s="262" t="s">
        <v>311</v>
      </c>
      <c r="C224" s="262" t="s">
        <v>318</v>
      </c>
      <c r="D224" s="262">
        <v>-105.35422699999999</v>
      </c>
      <c r="E224" s="262">
        <v>40.093649999999997</v>
      </c>
      <c r="M224" s="262">
        <v>9.9464409549999999</v>
      </c>
      <c r="N224" s="262">
        <v>9.9464409549999999</v>
      </c>
    </row>
    <row r="225" spans="1:14" x14ac:dyDescent="0.25">
      <c r="A225" s="262">
        <v>8014</v>
      </c>
      <c r="B225" s="262" t="s">
        <v>311</v>
      </c>
      <c r="C225" s="262" t="s">
        <v>319</v>
      </c>
      <c r="D225" s="262">
        <v>-105.058542</v>
      </c>
      <c r="E225" s="262">
        <v>39.963039999999999</v>
      </c>
      <c r="M225" s="262">
        <v>10.049247830000001</v>
      </c>
      <c r="N225" s="262">
        <v>10.049247830000001</v>
      </c>
    </row>
    <row r="226" spans="1:14" x14ac:dyDescent="0.25">
      <c r="A226" s="262">
        <v>8015</v>
      </c>
      <c r="B226" s="262" t="s">
        <v>311</v>
      </c>
      <c r="C226" s="262" t="s">
        <v>320</v>
      </c>
      <c r="D226" s="262">
        <v>-106.203326</v>
      </c>
      <c r="E226" s="262">
        <v>38.748019999999997</v>
      </c>
      <c r="M226" s="262">
        <v>10.001896179999999</v>
      </c>
      <c r="N226" s="262">
        <v>10.001896179999999</v>
      </c>
    </row>
    <row r="227" spans="1:14" x14ac:dyDescent="0.25">
      <c r="A227" s="262">
        <v>8017</v>
      </c>
      <c r="B227" s="262" t="s">
        <v>311</v>
      </c>
      <c r="C227" s="262" t="s">
        <v>321</v>
      </c>
      <c r="D227" s="262">
        <v>-102.61159000000001</v>
      </c>
      <c r="E227" s="262">
        <v>38.826390000000004</v>
      </c>
      <c r="M227" s="262">
        <v>11.82456191</v>
      </c>
      <c r="N227" s="262">
        <v>11.82456191</v>
      </c>
    </row>
    <row r="228" spans="1:14" x14ac:dyDescent="0.25">
      <c r="A228" s="262">
        <v>8019</v>
      </c>
      <c r="B228" s="262" t="s">
        <v>311</v>
      </c>
      <c r="C228" s="262" t="s">
        <v>322</v>
      </c>
      <c r="D228" s="262">
        <v>-105.646782</v>
      </c>
      <c r="E228" s="262">
        <v>39.687060000000002</v>
      </c>
      <c r="M228" s="262">
        <v>9.8913959190000007</v>
      </c>
      <c r="N228" s="262">
        <v>9.8913959190000007</v>
      </c>
    </row>
    <row r="229" spans="1:14" x14ac:dyDescent="0.25">
      <c r="A229" s="262">
        <v>8021</v>
      </c>
      <c r="B229" s="262" t="s">
        <v>311</v>
      </c>
      <c r="C229" s="262" t="s">
        <v>323</v>
      </c>
      <c r="D229" s="262">
        <v>-106.19238300000001</v>
      </c>
      <c r="E229" s="262">
        <v>37.188699999999997</v>
      </c>
      <c r="M229" s="262">
        <v>10.52584337</v>
      </c>
      <c r="N229" s="262">
        <v>10.52584337</v>
      </c>
    </row>
    <row r="230" spans="1:14" x14ac:dyDescent="0.25">
      <c r="A230" s="262">
        <v>8023</v>
      </c>
      <c r="B230" s="262" t="s">
        <v>311</v>
      </c>
      <c r="C230" s="262" t="s">
        <v>324</v>
      </c>
      <c r="D230" s="262">
        <v>-105.43588800000001</v>
      </c>
      <c r="E230" s="262">
        <v>37.276310000000002</v>
      </c>
      <c r="M230" s="262">
        <v>10.18372117</v>
      </c>
      <c r="N230" s="262">
        <v>10.18372117</v>
      </c>
    </row>
    <row r="231" spans="1:14" x14ac:dyDescent="0.25">
      <c r="A231" s="262">
        <v>8025</v>
      </c>
      <c r="B231" s="262" t="s">
        <v>311</v>
      </c>
      <c r="C231" s="262" t="s">
        <v>325</v>
      </c>
      <c r="D231" s="262">
        <v>-103.78319</v>
      </c>
      <c r="E231" s="262">
        <v>38.32291</v>
      </c>
      <c r="M231" s="262">
        <v>10.67026283</v>
      </c>
      <c r="N231" s="262">
        <v>10.67026283</v>
      </c>
    </row>
    <row r="232" spans="1:14" x14ac:dyDescent="0.25">
      <c r="A232" s="262">
        <v>8027</v>
      </c>
      <c r="B232" s="262" t="s">
        <v>311</v>
      </c>
      <c r="C232" s="262" t="s">
        <v>326</v>
      </c>
      <c r="D232" s="262">
        <v>-105.370147</v>
      </c>
      <c r="E232" s="262">
        <v>38.103920000000002</v>
      </c>
      <c r="M232" s="262">
        <v>9.8825743750000008</v>
      </c>
      <c r="N232" s="262">
        <v>9.8825743750000008</v>
      </c>
    </row>
    <row r="233" spans="1:14" x14ac:dyDescent="0.25">
      <c r="A233" s="262">
        <v>8029</v>
      </c>
      <c r="B233" s="262" t="s">
        <v>311</v>
      </c>
      <c r="C233" s="262" t="s">
        <v>327</v>
      </c>
      <c r="D233" s="262">
        <v>-107.876665</v>
      </c>
      <c r="E233" s="262">
        <v>38.846469999999997</v>
      </c>
      <c r="M233" s="262">
        <v>10.397285869999999</v>
      </c>
      <c r="N233" s="262">
        <v>10.397285869999999</v>
      </c>
    </row>
    <row r="234" spans="1:14" x14ac:dyDescent="0.25">
      <c r="A234" s="262">
        <v>8031</v>
      </c>
      <c r="B234" s="262" t="s">
        <v>311</v>
      </c>
      <c r="C234" s="262" t="s">
        <v>328</v>
      </c>
      <c r="D234" s="262">
        <v>-104.87050600000001</v>
      </c>
      <c r="E234" s="262">
        <v>39.761009999999999</v>
      </c>
      <c r="M234" s="262">
        <v>10.10372177</v>
      </c>
      <c r="N234" s="262">
        <v>10.10372177</v>
      </c>
    </row>
    <row r="235" spans="1:14" x14ac:dyDescent="0.25">
      <c r="A235" s="262">
        <v>8033</v>
      </c>
      <c r="B235" s="262" t="s">
        <v>311</v>
      </c>
      <c r="C235" s="262" t="s">
        <v>329</v>
      </c>
      <c r="D235" s="262">
        <v>-108.50024500000001</v>
      </c>
      <c r="E235" s="262">
        <v>37.755540000000003</v>
      </c>
      <c r="M235" s="262">
        <v>11.317962420000001</v>
      </c>
      <c r="N235" s="262">
        <v>11.317962420000001</v>
      </c>
    </row>
    <row r="236" spans="1:14" x14ac:dyDescent="0.25">
      <c r="A236" s="262">
        <v>8035</v>
      </c>
      <c r="B236" s="262" t="s">
        <v>311</v>
      </c>
      <c r="C236" s="262" t="s">
        <v>330</v>
      </c>
      <c r="D236" s="262">
        <v>-104.925022</v>
      </c>
      <c r="E236" s="262">
        <v>39.324890000000003</v>
      </c>
      <c r="M236" s="262">
        <v>10.02165415</v>
      </c>
      <c r="N236" s="262">
        <v>10.02165415</v>
      </c>
    </row>
    <row r="237" spans="1:14" x14ac:dyDescent="0.25">
      <c r="A237" s="262">
        <v>8037</v>
      </c>
      <c r="B237" s="262" t="s">
        <v>311</v>
      </c>
      <c r="C237" s="262" t="s">
        <v>331</v>
      </c>
      <c r="D237" s="262">
        <v>-106.699941</v>
      </c>
      <c r="E237" s="262">
        <v>39.620080000000002</v>
      </c>
      <c r="M237" s="262">
        <v>9.9165301540000002</v>
      </c>
      <c r="N237" s="262">
        <v>9.9165301540000002</v>
      </c>
    </row>
    <row r="238" spans="1:14" x14ac:dyDescent="0.25">
      <c r="A238" s="262">
        <v>8039</v>
      </c>
      <c r="B238" s="262" t="s">
        <v>311</v>
      </c>
      <c r="C238" s="262" t="s">
        <v>332</v>
      </c>
      <c r="D238" s="262">
        <v>-104.133561</v>
      </c>
      <c r="E238" s="262">
        <v>39.287550000000003</v>
      </c>
      <c r="M238" s="262">
        <v>10.44029093</v>
      </c>
      <c r="N238" s="262">
        <v>10.44029093</v>
      </c>
    </row>
    <row r="239" spans="1:14" x14ac:dyDescent="0.25">
      <c r="A239" s="262">
        <v>8041</v>
      </c>
      <c r="B239" s="262" t="s">
        <v>311</v>
      </c>
      <c r="C239" s="262" t="s">
        <v>333</v>
      </c>
      <c r="D239" s="262">
        <v>-104.517458</v>
      </c>
      <c r="E239" s="262">
        <v>38.82499</v>
      </c>
      <c r="M239" s="262">
        <v>10.087381730000001</v>
      </c>
      <c r="N239" s="262">
        <v>10.087381730000001</v>
      </c>
    </row>
    <row r="240" spans="1:14" x14ac:dyDescent="0.25">
      <c r="A240" s="262">
        <v>8043</v>
      </c>
      <c r="B240" s="262" t="s">
        <v>311</v>
      </c>
      <c r="C240" s="262" t="s">
        <v>334</v>
      </c>
      <c r="D240" s="262">
        <v>-105.439801</v>
      </c>
      <c r="E240" s="262">
        <v>38.467359999999999</v>
      </c>
      <c r="M240" s="262">
        <v>9.8791419250000008</v>
      </c>
      <c r="N240" s="262">
        <v>9.8791419250000008</v>
      </c>
    </row>
    <row r="241" spans="1:14" x14ac:dyDescent="0.25">
      <c r="A241" s="262">
        <v>8045</v>
      </c>
      <c r="B241" s="262" t="s">
        <v>311</v>
      </c>
      <c r="C241" s="262" t="s">
        <v>335</v>
      </c>
      <c r="D241" s="262">
        <v>-107.907918</v>
      </c>
      <c r="E241" s="262">
        <v>39.596629999999998</v>
      </c>
      <c r="M241" s="262">
        <v>10.005216389999999</v>
      </c>
      <c r="N241" s="262">
        <v>10.005216389999999</v>
      </c>
    </row>
    <row r="242" spans="1:14" x14ac:dyDescent="0.25">
      <c r="A242" s="262">
        <v>8047</v>
      </c>
      <c r="B242" s="262" t="s">
        <v>311</v>
      </c>
      <c r="C242" s="262" t="s">
        <v>336</v>
      </c>
      <c r="D242" s="262">
        <v>-105.525616</v>
      </c>
      <c r="E242" s="262">
        <v>39.860900000000001</v>
      </c>
      <c r="M242" s="262">
        <v>9.8982466460000005</v>
      </c>
      <c r="N242" s="262">
        <v>9.8982466460000005</v>
      </c>
    </row>
    <row r="243" spans="1:14" x14ac:dyDescent="0.25">
      <c r="A243" s="262">
        <v>8049</v>
      </c>
      <c r="B243" s="262" t="s">
        <v>311</v>
      </c>
      <c r="C243" s="262" t="s">
        <v>337</v>
      </c>
      <c r="D243" s="262">
        <v>-106.121661</v>
      </c>
      <c r="E243" s="262">
        <v>40.098269999999999</v>
      </c>
      <c r="M243" s="262">
        <v>9.7495639569999994</v>
      </c>
      <c r="N243" s="262">
        <v>9.7495639569999994</v>
      </c>
    </row>
    <row r="244" spans="1:14" x14ac:dyDescent="0.25">
      <c r="A244" s="262">
        <v>8051</v>
      </c>
      <c r="B244" s="262" t="s">
        <v>311</v>
      </c>
      <c r="C244" s="262" t="s">
        <v>338</v>
      </c>
      <c r="D244" s="262">
        <v>-107.04109800000001</v>
      </c>
      <c r="E244" s="262">
        <v>38.661879999999996</v>
      </c>
      <c r="M244" s="262">
        <v>10.260627080000001</v>
      </c>
      <c r="N244" s="262">
        <v>10.260627080000001</v>
      </c>
    </row>
    <row r="245" spans="1:14" x14ac:dyDescent="0.25">
      <c r="A245" s="262">
        <v>8053</v>
      </c>
      <c r="B245" s="262" t="s">
        <v>311</v>
      </c>
      <c r="C245" s="262" t="s">
        <v>339</v>
      </c>
      <c r="D245" s="262">
        <v>-107.302577</v>
      </c>
      <c r="E245" s="262">
        <v>37.82837</v>
      </c>
      <c r="M245" s="262">
        <v>10.74694422</v>
      </c>
      <c r="N245" s="262">
        <v>10.74694422</v>
      </c>
    </row>
    <row r="246" spans="1:14" x14ac:dyDescent="0.25">
      <c r="A246" s="262">
        <v>8055</v>
      </c>
      <c r="B246" s="262" t="s">
        <v>311</v>
      </c>
      <c r="C246" s="262" t="s">
        <v>340</v>
      </c>
      <c r="D246" s="262">
        <v>-104.960914</v>
      </c>
      <c r="E246" s="262">
        <v>37.685420000000001</v>
      </c>
      <c r="M246" s="262">
        <v>10.117465080000001</v>
      </c>
      <c r="N246" s="262">
        <v>10.117465080000001</v>
      </c>
    </row>
    <row r="247" spans="1:14" x14ac:dyDescent="0.25">
      <c r="A247" s="262">
        <v>8057</v>
      </c>
      <c r="B247" s="262" t="s">
        <v>311</v>
      </c>
      <c r="C247" s="262" t="s">
        <v>148</v>
      </c>
      <c r="D247" s="262">
        <v>-106.352509</v>
      </c>
      <c r="E247" s="262">
        <v>40.667409999999997</v>
      </c>
      <c r="M247" s="262">
        <v>9.4524195649999996</v>
      </c>
      <c r="N247" s="262">
        <v>9.4524195649999996</v>
      </c>
    </row>
    <row r="248" spans="1:14" x14ac:dyDescent="0.25">
      <c r="A248" s="262">
        <v>8059</v>
      </c>
      <c r="B248" s="262" t="s">
        <v>311</v>
      </c>
      <c r="C248" s="262" t="s">
        <v>149</v>
      </c>
      <c r="D248" s="262">
        <v>-105.248553</v>
      </c>
      <c r="E248" s="262">
        <v>39.590530000000001</v>
      </c>
      <c r="M248" s="262">
        <v>9.9580341949999998</v>
      </c>
      <c r="N248" s="262">
        <v>9.9580341949999998</v>
      </c>
    </row>
    <row r="249" spans="1:14" x14ac:dyDescent="0.25">
      <c r="A249" s="262">
        <v>8061</v>
      </c>
      <c r="B249" s="262" t="s">
        <v>311</v>
      </c>
      <c r="C249" s="262" t="s">
        <v>341</v>
      </c>
      <c r="D249" s="262">
        <v>-102.74480200000001</v>
      </c>
      <c r="E249" s="262">
        <v>38.42212</v>
      </c>
      <c r="M249" s="262">
        <v>11.788317960000001</v>
      </c>
      <c r="N249" s="262">
        <v>11.788317960000001</v>
      </c>
    </row>
    <row r="250" spans="1:14" x14ac:dyDescent="0.25">
      <c r="A250" s="262">
        <v>8063</v>
      </c>
      <c r="B250" s="262" t="s">
        <v>311</v>
      </c>
      <c r="C250" s="262" t="s">
        <v>342</v>
      </c>
      <c r="D250" s="262">
        <v>-102.60703100000001</v>
      </c>
      <c r="E250" s="262">
        <v>39.310650000000003</v>
      </c>
      <c r="M250" s="262">
        <v>11.70699011</v>
      </c>
      <c r="N250" s="262">
        <v>11.70699011</v>
      </c>
    </row>
    <row r="251" spans="1:14" x14ac:dyDescent="0.25">
      <c r="A251" s="262">
        <v>8065</v>
      </c>
      <c r="B251" s="262" t="s">
        <v>311</v>
      </c>
      <c r="C251" s="262" t="s">
        <v>271</v>
      </c>
      <c r="D251" s="262">
        <v>-106.352012</v>
      </c>
      <c r="E251" s="262">
        <v>39.193770000000001</v>
      </c>
      <c r="M251" s="262">
        <v>10.003052070000001</v>
      </c>
      <c r="N251" s="262">
        <v>10.003052070000001</v>
      </c>
    </row>
    <row r="252" spans="1:14" x14ac:dyDescent="0.25">
      <c r="A252" s="262">
        <v>8067</v>
      </c>
      <c r="B252" s="262" t="s">
        <v>311</v>
      </c>
      <c r="C252" s="262" t="s">
        <v>343</v>
      </c>
      <c r="D252" s="262">
        <v>-107.838297</v>
      </c>
      <c r="E252" s="262">
        <v>37.28275</v>
      </c>
      <c r="M252" s="262">
        <v>11.40414713</v>
      </c>
      <c r="N252" s="262">
        <v>11.40414713</v>
      </c>
    </row>
    <row r="253" spans="1:14" x14ac:dyDescent="0.25">
      <c r="A253" s="262">
        <v>8069</v>
      </c>
      <c r="B253" s="262" t="s">
        <v>311</v>
      </c>
      <c r="C253" s="262" t="s">
        <v>344</v>
      </c>
      <c r="D253" s="262">
        <v>-105.468762</v>
      </c>
      <c r="E253" s="262">
        <v>40.674489999999999</v>
      </c>
      <c r="M253" s="262">
        <v>9.8608327740000004</v>
      </c>
      <c r="N253" s="262">
        <v>9.8608327740000004</v>
      </c>
    </row>
    <row r="254" spans="1:14" x14ac:dyDescent="0.25">
      <c r="A254" s="262">
        <v>8071</v>
      </c>
      <c r="B254" s="262" t="s">
        <v>311</v>
      </c>
      <c r="C254" s="262" t="s">
        <v>345</v>
      </c>
      <c r="D254" s="262">
        <v>-104.049775</v>
      </c>
      <c r="E254" s="262">
        <v>37.303199999999997</v>
      </c>
      <c r="M254" s="262">
        <v>11.25010387</v>
      </c>
      <c r="N254" s="262">
        <v>11.25010387</v>
      </c>
    </row>
    <row r="255" spans="1:14" x14ac:dyDescent="0.25">
      <c r="A255" s="262">
        <v>8073</v>
      </c>
      <c r="B255" s="262" t="s">
        <v>311</v>
      </c>
      <c r="C255" s="262" t="s">
        <v>226</v>
      </c>
      <c r="D255" s="262">
        <v>-103.514965</v>
      </c>
      <c r="E255" s="262">
        <v>38.99024</v>
      </c>
      <c r="M255" s="262">
        <v>10.90313091</v>
      </c>
      <c r="N255" s="262">
        <v>10.90313091</v>
      </c>
    </row>
    <row r="256" spans="1:14" x14ac:dyDescent="0.25">
      <c r="A256" s="262">
        <v>8075</v>
      </c>
      <c r="B256" s="262" t="s">
        <v>311</v>
      </c>
      <c r="C256" s="262" t="s">
        <v>228</v>
      </c>
      <c r="D256" s="262">
        <v>-103.108924</v>
      </c>
      <c r="E256" s="262">
        <v>40.729999999999997</v>
      </c>
      <c r="M256" s="262">
        <v>11.22905379</v>
      </c>
      <c r="N256" s="262">
        <v>11.22905379</v>
      </c>
    </row>
    <row r="257" spans="1:14" x14ac:dyDescent="0.25">
      <c r="A257" s="262">
        <v>8077</v>
      </c>
      <c r="B257" s="262" t="s">
        <v>311</v>
      </c>
      <c r="C257" s="262" t="s">
        <v>346</v>
      </c>
      <c r="D257" s="262">
        <v>-108.465165</v>
      </c>
      <c r="E257" s="262">
        <v>39.018259999999998</v>
      </c>
      <c r="M257" s="262">
        <v>10.424404859999999</v>
      </c>
      <c r="N257" s="262">
        <v>10.424404859999999</v>
      </c>
    </row>
    <row r="258" spans="1:14" x14ac:dyDescent="0.25">
      <c r="A258" s="262">
        <v>8079</v>
      </c>
      <c r="B258" s="262" t="s">
        <v>311</v>
      </c>
      <c r="C258" s="262" t="s">
        <v>347</v>
      </c>
      <c r="D258" s="262">
        <v>-106.92958</v>
      </c>
      <c r="E258" s="262">
        <v>37.661239999999999</v>
      </c>
      <c r="M258" s="262">
        <v>10.64532784</v>
      </c>
      <c r="N258" s="262">
        <v>10.64532784</v>
      </c>
    </row>
    <row r="259" spans="1:14" x14ac:dyDescent="0.25">
      <c r="A259" s="262">
        <v>8081</v>
      </c>
      <c r="B259" s="262" t="s">
        <v>311</v>
      </c>
      <c r="C259" s="262" t="s">
        <v>348</v>
      </c>
      <c r="D259" s="262">
        <v>-108.20345500000001</v>
      </c>
      <c r="E259" s="262">
        <v>40.62238</v>
      </c>
      <c r="M259" s="262">
        <v>9.3218704569999993</v>
      </c>
      <c r="N259" s="262">
        <v>9.3218704569999993</v>
      </c>
    </row>
    <row r="260" spans="1:14" x14ac:dyDescent="0.25">
      <c r="A260" s="262">
        <v>8083</v>
      </c>
      <c r="B260" s="262" t="s">
        <v>311</v>
      </c>
      <c r="C260" s="262" t="s">
        <v>349</v>
      </c>
      <c r="D260" s="262">
        <v>-108.608594</v>
      </c>
      <c r="E260" s="262">
        <v>37.344360000000002</v>
      </c>
      <c r="M260" s="262">
        <v>11.746045280000001</v>
      </c>
      <c r="N260" s="262">
        <v>11.746045280000001</v>
      </c>
    </row>
    <row r="261" spans="1:14" x14ac:dyDescent="0.25">
      <c r="A261" s="262">
        <v>8085</v>
      </c>
      <c r="B261" s="262" t="s">
        <v>311</v>
      </c>
      <c r="C261" s="262" t="s">
        <v>350</v>
      </c>
      <c r="D261" s="262">
        <v>-108.277237</v>
      </c>
      <c r="E261" s="262">
        <v>38.395220000000002</v>
      </c>
      <c r="M261" s="262">
        <v>10.77892158</v>
      </c>
      <c r="N261" s="262">
        <v>10.77892158</v>
      </c>
    </row>
    <row r="262" spans="1:14" x14ac:dyDescent="0.25">
      <c r="A262" s="262">
        <v>8087</v>
      </c>
      <c r="B262" s="262" t="s">
        <v>311</v>
      </c>
      <c r="C262" s="262" t="s">
        <v>164</v>
      </c>
      <c r="D262" s="262">
        <v>-103.805227</v>
      </c>
      <c r="E262" s="262">
        <v>40.272359999999999</v>
      </c>
      <c r="M262" s="262">
        <v>10.816233049999999</v>
      </c>
      <c r="N262" s="262">
        <v>10.816233049999999</v>
      </c>
    </row>
    <row r="263" spans="1:14" x14ac:dyDescent="0.25">
      <c r="A263" s="262">
        <v>8089</v>
      </c>
      <c r="B263" s="262" t="s">
        <v>311</v>
      </c>
      <c r="C263" s="262" t="s">
        <v>351</v>
      </c>
      <c r="D263" s="262">
        <v>-103.71992299999999</v>
      </c>
      <c r="E263" s="262">
        <v>37.895099999999999</v>
      </c>
      <c r="M263" s="262">
        <v>10.963569919999999</v>
      </c>
      <c r="N263" s="262">
        <v>10.963569919999999</v>
      </c>
    </row>
    <row r="264" spans="1:14" x14ac:dyDescent="0.25">
      <c r="A264" s="262">
        <v>8091</v>
      </c>
      <c r="B264" s="262" t="s">
        <v>311</v>
      </c>
      <c r="C264" s="262" t="s">
        <v>352</v>
      </c>
      <c r="D264" s="262">
        <v>-107.771472</v>
      </c>
      <c r="E264" s="262">
        <v>38.154730000000001</v>
      </c>
      <c r="M264" s="262">
        <v>10.742498680000001</v>
      </c>
      <c r="N264" s="262">
        <v>10.742498680000001</v>
      </c>
    </row>
    <row r="265" spans="1:14" x14ac:dyDescent="0.25">
      <c r="A265" s="262">
        <v>8093</v>
      </c>
      <c r="B265" s="262" t="s">
        <v>311</v>
      </c>
      <c r="C265" s="262" t="s">
        <v>353</v>
      </c>
      <c r="D265" s="262">
        <v>-105.72003100000001</v>
      </c>
      <c r="E265" s="262">
        <v>39.119459999999997</v>
      </c>
      <c r="M265" s="262">
        <v>9.9087684599999992</v>
      </c>
      <c r="N265" s="262">
        <v>9.9087684599999992</v>
      </c>
    </row>
    <row r="266" spans="1:14" x14ac:dyDescent="0.25">
      <c r="A266" s="262">
        <v>8095</v>
      </c>
      <c r="B266" s="262" t="s">
        <v>311</v>
      </c>
      <c r="C266" s="262" t="s">
        <v>235</v>
      </c>
      <c r="D266" s="262">
        <v>-102.366103</v>
      </c>
      <c r="E266" s="262">
        <v>40.596890000000002</v>
      </c>
      <c r="M266" s="262">
        <v>11.5843262</v>
      </c>
      <c r="N266" s="262">
        <v>11.5843262</v>
      </c>
    </row>
    <row r="267" spans="1:14" x14ac:dyDescent="0.25">
      <c r="A267" s="262">
        <v>8097</v>
      </c>
      <c r="B267" s="262" t="s">
        <v>311</v>
      </c>
      <c r="C267" s="262" t="s">
        <v>354</v>
      </c>
      <c r="D267" s="262">
        <v>-106.917075</v>
      </c>
      <c r="E267" s="262">
        <v>39.212510000000002</v>
      </c>
      <c r="M267" s="262">
        <v>10.07355707</v>
      </c>
      <c r="N267" s="262">
        <v>10.07355707</v>
      </c>
    </row>
    <row r="268" spans="1:14" x14ac:dyDescent="0.25">
      <c r="A268" s="262">
        <v>8099</v>
      </c>
      <c r="B268" s="262" t="s">
        <v>311</v>
      </c>
      <c r="C268" s="262" t="s">
        <v>355</v>
      </c>
      <c r="D268" s="262">
        <v>-102.397784</v>
      </c>
      <c r="E268" s="262">
        <v>37.945860000000003</v>
      </c>
      <c r="M268" s="262">
        <v>12.385710749999999</v>
      </c>
      <c r="N268" s="262">
        <v>12.385710749999999</v>
      </c>
    </row>
    <row r="269" spans="1:14" x14ac:dyDescent="0.25">
      <c r="A269" s="262">
        <v>8101</v>
      </c>
      <c r="B269" s="262" t="s">
        <v>311</v>
      </c>
      <c r="C269" s="262" t="s">
        <v>356</v>
      </c>
      <c r="D269" s="262">
        <v>-104.50698800000001</v>
      </c>
      <c r="E269" s="262">
        <v>38.168379999999999</v>
      </c>
      <c r="M269" s="262">
        <v>10.06905718</v>
      </c>
      <c r="N269" s="262">
        <v>10.06905718</v>
      </c>
    </row>
    <row r="270" spans="1:14" x14ac:dyDescent="0.25">
      <c r="A270" s="262">
        <v>8103</v>
      </c>
      <c r="B270" s="262" t="s">
        <v>311</v>
      </c>
      <c r="C270" s="262" t="s">
        <v>357</v>
      </c>
      <c r="D270" s="262">
        <v>-108.212333</v>
      </c>
      <c r="E270" s="262">
        <v>39.980539999999998</v>
      </c>
      <c r="M270" s="262">
        <v>9.7639736859999999</v>
      </c>
      <c r="N270" s="262">
        <v>9.7639736859999999</v>
      </c>
    </row>
    <row r="271" spans="1:14" x14ac:dyDescent="0.25">
      <c r="A271" s="262">
        <v>8105</v>
      </c>
      <c r="B271" s="262" t="s">
        <v>311</v>
      </c>
      <c r="C271" s="262" t="s">
        <v>358</v>
      </c>
      <c r="D271" s="262">
        <v>-106.391074</v>
      </c>
      <c r="E271" s="262">
        <v>37.572670000000002</v>
      </c>
      <c r="M271" s="262">
        <v>10.38247713</v>
      </c>
      <c r="N271" s="262">
        <v>10.38247713</v>
      </c>
    </row>
    <row r="272" spans="1:14" x14ac:dyDescent="0.25">
      <c r="A272" s="262">
        <v>8107</v>
      </c>
      <c r="B272" s="262" t="s">
        <v>311</v>
      </c>
      <c r="C272" s="262" t="s">
        <v>359</v>
      </c>
      <c r="D272" s="262">
        <v>-106.994665</v>
      </c>
      <c r="E272" s="262">
        <v>40.49306</v>
      </c>
      <c r="M272" s="262">
        <v>9.4332438649999997</v>
      </c>
      <c r="N272" s="262">
        <v>9.4332438649999997</v>
      </c>
    </row>
    <row r="273" spans="1:14" x14ac:dyDescent="0.25">
      <c r="A273" s="262">
        <v>8109</v>
      </c>
      <c r="B273" s="262" t="s">
        <v>311</v>
      </c>
      <c r="C273" s="262" t="s">
        <v>360</v>
      </c>
      <c r="D273" s="262">
        <v>-106.28138199999999</v>
      </c>
      <c r="E273" s="262">
        <v>38.072539999999996</v>
      </c>
      <c r="M273" s="262">
        <v>10.14056351</v>
      </c>
      <c r="N273" s="262">
        <v>10.14056351</v>
      </c>
    </row>
    <row r="274" spans="1:14" x14ac:dyDescent="0.25">
      <c r="A274" s="262">
        <v>8111</v>
      </c>
      <c r="B274" s="262" t="s">
        <v>311</v>
      </c>
      <c r="C274" s="262" t="s">
        <v>361</v>
      </c>
      <c r="D274" s="262">
        <v>-107.676552</v>
      </c>
      <c r="E274" s="262">
        <v>37.758650000000003</v>
      </c>
      <c r="M274" s="262">
        <v>10.94830395</v>
      </c>
      <c r="N274" s="262">
        <v>10.94830395</v>
      </c>
    </row>
    <row r="275" spans="1:14" x14ac:dyDescent="0.25">
      <c r="A275" s="262">
        <v>8113</v>
      </c>
      <c r="B275" s="262" t="s">
        <v>311</v>
      </c>
      <c r="C275" s="262" t="s">
        <v>362</v>
      </c>
      <c r="D275" s="262">
        <v>-108.414772</v>
      </c>
      <c r="E275" s="262">
        <v>37.999780000000001</v>
      </c>
      <c r="M275" s="262">
        <v>11.0963189</v>
      </c>
      <c r="N275" s="262">
        <v>11.0963189</v>
      </c>
    </row>
    <row r="276" spans="1:14" x14ac:dyDescent="0.25">
      <c r="A276" s="262">
        <v>8115</v>
      </c>
      <c r="B276" s="262" t="s">
        <v>311</v>
      </c>
      <c r="C276" s="262" t="s">
        <v>363</v>
      </c>
      <c r="D276" s="262">
        <v>-102.358971</v>
      </c>
      <c r="E276" s="262">
        <v>40.877769999999998</v>
      </c>
      <c r="M276" s="262">
        <v>11.51955203</v>
      </c>
      <c r="N276" s="262">
        <v>11.51955203</v>
      </c>
    </row>
    <row r="277" spans="1:14" x14ac:dyDescent="0.25">
      <c r="A277" s="262">
        <v>8117</v>
      </c>
      <c r="B277" s="262" t="s">
        <v>311</v>
      </c>
      <c r="C277" s="262" t="s">
        <v>364</v>
      </c>
      <c r="D277" s="262">
        <v>-106.122038</v>
      </c>
      <c r="E277" s="262">
        <v>39.626379999999997</v>
      </c>
      <c r="M277" s="262">
        <v>9.8823484940000004</v>
      </c>
      <c r="N277" s="262">
        <v>9.8823484940000004</v>
      </c>
    </row>
    <row r="278" spans="1:14" x14ac:dyDescent="0.25">
      <c r="A278" s="262">
        <v>8119</v>
      </c>
      <c r="B278" s="262" t="s">
        <v>311</v>
      </c>
      <c r="C278" s="262" t="s">
        <v>365</v>
      </c>
      <c r="D278" s="262">
        <v>-105.15831300000001</v>
      </c>
      <c r="E278" s="262">
        <v>38.879399999999997</v>
      </c>
      <c r="M278" s="262">
        <v>9.8991801220000006</v>
      </c>
      <c r="N278" s="262">
        <v>9.8991801220000006</v>
      </c>
    </row>
    <row r="279" spans="1:14" x14ac:dyDescent="0.25">
      <c r="A279" s="262">
        <v>8121</v>
      </c>
      <c r="B279" s="262" t="s">
        <v>311</v>
      </c>
      <c r="C279" s="262" t="s">
        <v>177</v>
      </c>
      <c r="D279" s="262">
        <v>-103.19877</v>
      </c>
      <c r="E279" s="262">
        <v>39.977029999999999</v>
      </c>
      <c r="M279" s="262">
        <v>11.18116337</v>
      </c>
      <c r="N279" s="262">
        <v>11.18116337</v>
      </c>
    </row>
    <row r="280" spans="1:14" x14ac:dyDescent="0.25">
      <c r="A280" s="262">
        <v>8123</v>
      </c>
      <c r="B280" s="262" t="s">
        <v>311</v>
      </c>
      <c r="C280" s="262" t="s">
        <v>366</v>
      </c>
      <c r="D280" s="262">
        <v>-104.3899</v>
      </c>
      <c r="E280" s="262">
        <v>40.562350000000002</v>
      </c>
      <c r="M280" s="262">
        <v>10.520016399999999</v>
      </c>
      <c r="N280" s="262">
        <v>10.520016399999999</v>
      </c>
    </row>
    <row r="281" spans="1:14" x14ac:dyDescent="0.25">
      <c r="A281" s="262">
        <v>8125</v>
      </c>
      <c r="B281" s="262" t="s">
        <v>311</v>
      </c>
      <c r="C281" s="262" t="s">
        <v>195</v>
      </c>
      <c r="D281" s="262">
        <v>-102.424616</v>
      </c>
      <c r="E281" s="262">
        <v>40.006689999999999</v>
      </c>
      <c r="M281" s="262">
        <v>11.693417739999999</v>
      </c>
      <c r="N281" s="262">
        <v>11.693417739999999</v>
      </c>
    </row>
    <row r="282" spans="1:14" x14ac:dyDescent="0.25">
      <c r="A282" s="262">
        <v>9001</v>
      </c>
      <c r="B282" s="262" t="s">
        <v>367</v>
      </c>
      <c r="C282" s="262" t="s">
        <v>368</v>
      </c>
      <c r="D282" s="262">
        <v>-73.392313099999996</v>
      </c>
      <c r="E282" s="262">
        <v>41.281329999999997</v>
      </c>
      <c r="M282" s="262">
        <v>11.306618050000001</v>
      </c>
      <c r="N282" s="262">
        <v>11.306618050000001</v>
      </c>
    </row>
    <row r="283" spans="1:14" x14ac:dyDescent="0.25">
      <c r="A283" s="262">
        <v>9003</v>
      </c>
      <c r="B283" s="262" t="s">
        <v>367</v>
      </c>
      <c r="C283" s="262" t="s">
        <v>369</v>
      </c>
      <c r="D283" s="262">
        <v>-72.732218799999998</v>
      </c>
      <c r="E283" s="262">
        <v>41.804920000000003</v>
      </c>
      <c r="M283" s="262">
        <v>10.714022290000001</v>
      </c>
      <c r="N283" s="262">
        <v>10.714022290000001</v>
      </c>
    </row>
    <row r="284" spans="1:14" x14ac:dyDescent="0.25">
      <c r="A284" s="262">
        <v>9005</v>
      </c>
      <c r="B284" s="262" t="s">
        <v>367</v>
      </c>
      <c r="C284" s="262" t="s">
        <v>370</v>
      </c>
      <c r="D284" s="262">
        <v>-73.251505499999993</v>
      </c>
      <c r="E284" s="262">
        <v>41.795940000000002</v>
      </c>
      <c r="M284" s="262">
        <v>10.57573243</v>
      </c>
      <c r="N284" s="262">
        <v>10.57573243</v>
      </c>
    </row>
    <row r="285" spans="1:14" x14ac:dyDescent="0.25">
      <c r="A285" s="262">
        <v>9007</v>
      </c>
      <c r="B285" s="262" t="s">
        <v>367</v>
      </c>
      <c r="C285" s="262" t="s">
        <v>371</v>
      </c>
      <c r="D285" s="262">
        <v>-72.532600799999997</v>
      </c>
      <c r="E285" s="262">
        <v>41.465609999999998</v>
      </c>
      <c r="M285" s="262">
        <v>11.20905952</v>
      </c>
      <c r="N285" s="262">
        <v>11.20905952</v>
      </c>
    </row>
    <row r="286" spans="1:14" x14ac:dyDescent="0.25">
      <c r="A286" s="262">
        <v>9009</v>
      </c>
      <c r="B286" s="262" t="s">
        <v>367</v>
      </c>
      <c r="C286" s="262" t="s">
        <v>372</v>
      </c>
      <c r="D286" s="262">
        <v>-72.927431100000007</v>
      </c>
      <c r="E286" s="262">
        <v>41.411969999999997</v>
      </c>
      <c r="M286" s="262">
        <v>11.2114192</v>
      </c>
      <c r="N286" s="262">
        <v>11.2114192</v>
      </c>
    </row>
    <row r="287" spans="1:14" x14ac:dyDescent="0.25">
      <c r="A287" s="262">
        <v>9011</v>
      </c>
      <c r="B287" s="262" t="s">
        <v>367</v>
      </c>
      <c r="C287" s="262" t="s">
        <v>373</v>
      </c>
      <c r="D287" s="262">
        <v>-72.098026399999995</v>
      </c>
      <c r="E287" s="262">
        <v>41.489280000000001</v>
      </c>
      <c r="M287" s="262">
        <v>11.279739299999999</v>
      </c>
      <c r="N287" s="262">
        <v>11.279739299999999</v>
      </c>
    </row>
    <row r="288" spans="1:14" x14ac:dyDescent="0.25">
      <c r="A288" s="262">
        <v>9013</v>
      </c>
      <c r="B288" s="262" t="s">
        <v>367</v>
      </c>
      <c r="C288" s="262" t="s">
        <v>374</v>
      </c>
      <c r="D288" s="262">
        <v>-72.337070299999993</v>
      </c>
      <c r="E288" s="262">
        <v>41.859160000000003</v>
      </c>
      <c r="M288" s="262">
        <v>10.77430073</v>
      </c>
      <c r="N288" s="262">
        <v>10.77430073</v>
      </c>
    </row>
    <row r="289" spans="1:14" x14ac:dyDescent="0.25">
      <c r="A289" s="262">
        <v>9015</v>
      </c>
      <c r="B289" s="262" t="s">
        <v>367</v>
      </c>
      <c r="C289" s="262" t="s">
        <v>375</v>
      </c>
      <c r="D289" s="262">
        <v>-71.982532199999994</v>
      </c>
      <c r="E289" s="262">
        <v>41.834220000000002</v>
      </c>
      <c r="M289" s="262">
        <v>10.908629850000001</v>
      </c>
      <c r="N289" s="262">
        <v>10.908629850000001</v>
      </c>
    </row>
    <row r="290" spans="1:14" x14ac:dyDescent="0.25">
      <c r="A290" s="262">
        <v>10001</v>
      </c>
      <c r="B290" s="262" t="s">
        <v>376</v>
      </c>
      <c r="C290" s="262" t="s">
        <v>377</v>
      </c>
      <c r="D290" s="262">
        <v>-75.573876499999997</v>
      </c>
      <c r="E290" s="262">
        <v>39.087649999999996</v>
      </c>
      <c r="M290" s="262">
        <v>13.674135140000001</v>
      </c>
      <c r="N290" s="262">
        <v>13.674135140000001</v>
      </c>
    </row>
    <row r="291" spans="1:14" x14ac:dyDescent="0.25">
      <c r="A291" s="262">
        <v>10003</v>
      </c>
      <c r="B291" s="262" t="s">
        <v>376</v>
      </c>
      <c r="C291" s="262" t="s">
        <v>378</v>
      </c>
      <c r="D291" s="262">
        <v>-75.655191200000004</v>
      </c>
      <c r="E291" s="262">
        <v>39.583359999999999</v>
      </c>
      <c r="M291" s="262">
        <v>13.021187449999999</v>
      </c>
      <c r="N291" s="262">
        <v>13.021187449999999</v>
      </c>
    </row>
    <row r="292" spans="1:14" x14ac:dyDescent="0.25">
      <c r="A292" s="262">
        <v>10005</v>
      </c>
      <c r="B292" s="262" t="s">
        <v>376</v>
      </c>
      <c r="C292" s="262" t="s">
        <v>379</v>
      </c>
      <c r="D292" s="262">
        <v>-75.406689</v>
      </c>
      <c r="E292" s="262">
        <v>38.665730000000003</v>
      </c>
      <c r="M292" s="262">
        <v>14.11896466</v>
      </c>
      <c r="N292" s="262">
        <v>14.11896466</v>
      </c>
    </row>
    <row r="293" spans="1:14" x14ac:dyDescent="0.25">
      <c r="A293" s="262">
        <v>11001</v>
      </c>
      <c r="B293" s="262" t="s">
        <v>380</v>
      </c>
      <c r="C293" s="262" t="s">
        <v>381</v>
      </c>
      <c r="D293" s="262">
        <v>-77.0340992</v>
      </c>
      <c r="E293" s="262">
        <v>38.910789999999999</v>
      </c>
      <c r="M293" s="262">
        <v>13.503761969999999</v>
      </c>
      <c r="N293" s="262">
        <v>13.503761969999999</v>
      </c>
    </row>
    <row r="294" spans="1:14" x14ac:dyDescent="0.25">
      <c r="A294" s="262">
        <v>12001</v>
      </c>
      <c r="B294" s="262" t="s">
        <v>382</v>
      </c>
      <c r="C294" s="262" t="s">
        <v>383</v>
      </c>
      <c r="D294" s="262">
        <v>-82.357750999999993</v>
      </c>
      <c r="E294" s="262">
        <v>29.669180000000001</v>
      </c>
      <c r="M294" s="262">
        <v>20.976910050000001</v>
      </c>
      <c r="N294" s="262">
        <v>20.976910050000001</v>
      </c>
    </row>
    <row r="295" spans="1:14" x14ac:dyDescent="0.25">
      <c r="A295" s="262">
        <v>12003</v>
      </c>
      <c r="B295" s="262" t="s">
        <v>382</v>
      </c>
      <c r="C295" s="262" t="s">
        <v>384</v>
      </c>
      <c r="D295" s="262">
        <v>-82.281342600000002</v>
      </c>
      <c r="E295" s="262">
        <v>30.324069999999999</v>
      </c>
      <c r="M295" s="262">
        <v>20.431983079999998</v>
      </c>
      <c r="N295" s="262">
        <v>20.431983079999998</v>
      </c>
    </row>
    <row r="296" spans="1:14" x14ac:dyDescent="0.25">
      <c r="A296" s="262">
        <v>12005</v>
      </c>
      <c r="B296" s="262" t="s">
        <v>382</v>
      </c>
      <c r="C296" s="262" t="s">
        <v>385</v>
      </c>
      <c r="D296" s="262">
        <v>-85.6243269</v>
      </c>
      <c r="E296" s="262">
        <v>30.29533</v>
      </c>
      <c r="M296" s="262">
        <v>19.714814530000002</v>
      </c>
      <c r="N296" s="262">
        <v>19.714814530000002</v>
      </c>
    </row>
    <row r="297" spans="1:14" x14ac:dyDescent="0.25">
      <c r="A297" s="262">
        <v>12007</v>
      </c>
      <c r="B297" s="262" t="s">
        <v>382</v>
      </c>
      <c r="C297" s="262" t="s">
        <v>386</v>
      </c>
      <c r="D297" s="262">
        <v>-82.170252099999999</v>
      </c>
      <c r="E297" s="262">
        <v>29.942530000000001</v>
      </c>
      <c r="M297" s="262">
        <v>20.81220888</v>
      </c>
      <c r="N297" s="262">
        <v>20.81220888</v>
      </c>
    </row>
    <row r="298" spans="1:14" x14ac:dyDescent="0.25">
      <c r="A298" s="262">
        <v>12009</v>
      </c>
      <c r="B298" s="262" t="s">
        <v>382</v>
      </c>
      <c r="C298" s="262" t="s">
        <v>387</v>
      </c>
      <c r="D298" s="262">
        <v>-80.757977400000001</v>
      </c>
      <c r="E298" s="262">
        <v>28.177569999999999</v>
      </c>
      <c r="M298" s="262">
        <v>22.00925604</v>
      </c>
      <c r="N298" s="262">
        <v>22.00925604</v>
      </c>
    </row>
    <row r="299" spans="1:14" x14ac:dyDescent="0.25">
      <c r="A299" s="262">
        <v>12011</v>
      </c>
      <c r="B299" s="262" t="s">
        <v>382</v>
      </c>
      <c r="C299" s="262" t="s">
        <v>388</v>
      </c>
      <c r="D299" s="262">
        <v>-80.498686899999996</v>
      </c>
      <c r="E299" s="262">
        <v>26.14256</v>
      </c>
      <c r="M299" s="262">
        <v>22.78167582</v>
      </c>
      <c r="N299" s="262">
        <v>22.78167582</v>
      </c>
    </row>
    <row r="300" spans="1:14" x14ac:dyDescent="0.25">
      <c r="A300" s="262">
        <v>12013</v>
      </c>
      <c r="B300" s="262" t="s">
        <v>382</v>
      </c>
      <c r="C300" s="262" t="s">
        <v>120</v>
      </c>
      <c r="D300" s="262">
        <v>-85.213587200000006</v>
      </c>
      <c r="E300" s="262">
        <v>30.414670000000001</v>
      </c>
      <c r="M300" s="262">
        <v>19.67367866</v>
      </c>
      <c r="N300" s="262">
        <v>19.67367866</v>
      </c>
    </row>
    <row r="301" spans="1:14" x14ac:dyDescent="0.25">
      <c r="A301" s="262">
        <v>12015</v>
      </c>
      <c r="B301" s="262" t="s">
        <v>382</v>
      </c>
      <c r="C301" s="262" t="s">
        <v>389</v>
      </c>
      <c r="D301" s="262">
        <v>-81.890227100000004</v>
      </c>
      <c r="E301" s="262">
        <v>26.904260000000001</v>
      </c>
      <c r="M301" s="262">
        <v>22.482253159999999</v>
      </c>
      <c r="N301" s="262">
        <v>22.482253159999999</v>
      </c>
    </row>
    <row r="302" spans="1:14" x14ac:dyDescent="0.25">
      <c r="A302" s="262">
        <v>12017</v>
      </c>
      <c r="B302" s="262" t="s">
        <v>382</v>
      </c>
      <c r="C302" s="262" t="s">
        <v>390</v>
      </c>
      <c r="D302" s="262">
        <v>-82.457380999999998</v>
      </c>
      <c r="E302" s="262">
        <v>28.850249999999999</v>
      </c>
      <c r="M302" s="262">
        <v>21.51445459</v>
      </c>
      <c r="N302" s="262">
        <v>21.51445459</v>
      </c>
    </row>
    <row r="303" spans="1:14" x14ac:dyDescent="0.25">
      <c r="A303" s="262">
        <v>12019</v>
      </c>
      <c r="B303" s="262" t="s">
        <v>382</v>
      </c>
      <c r="C303" s="262" t="s">
        <v>126</v>
      </c>
      <c r="D303" s="262">
        <v>-81.845422799999994</v>
      </c>
      <c r="E303" s="262">
        <v>29.97157</v>
      </c>
      <c r="M303" s="262">
        <v>20.865932699999998</v>
      </c>
      <c r="N303" s="262">
        <v>20.865932699999998</v>
      </c>
    </row>
    <row r="304" spans="1:14" x14ac:dyDescent="0.25">
      <c r="A304" s="262">
        <v>12021</v>
      </c>
      <c r="B304" s="262" t="s">
        <v>382</v>
      </c>
      <c r="C304" s="262" t="s">
        <v>391</v>
      </c>
      <c r="D304" s="262">
        <v>-81.3566754</v>
      </c>
      <c r="E304" s="262">
        <v>26.114000000000001</v>
      </c>
      <c r="M304" s="262">
        <v>22.630840750000001</v>
      </c>
      <c r="N304" s="262">
        <v>22.630840750000001</v>
      </c>
    </row>
    <row r="305" spans="1:14" x14ac:dyDescent="0.25">
      <c r="A305" s="262">
        <v>12023</v>
      </c>
      <c r="B305" s="262" t="s">
        <v>382</v>
      </c>
      <c r="C305" s="262" t="s">
        <v>207</v>
      </c>
      <c r="D305" s="262">
        <v>-82.621155099999996</v>
      </c>
      <c r="E305" s="262">
        <v>30.212769999999999</v>
      </c>
      <c r="M305" s="262">
        <v>20.43361621</v>
      </c>
      <c r="N305" s="262">
        <v>20.43361621</v>
      </c>
    </row>
    <row r="306" spans="1:14" x14ac:dyDescent="0.25">
      <c r="A306" s="262">
        <v>12027</v>
      </c>
      <c r="B306" s="262" t="s">
        <v>382</v>
      </c>
      <c r="C306" s="262" t="s">
        <v>392</v>
      </c>
      <c r="D306" s="262">
        <v>-81.848041199999997</v>
      </c>
      <c r="E306" s="262">
        <v>27.182559999999999</v>
      </c>
      <c r="M306" s="262">
        <v>22.439385900000001</v>
      </c>
      <c r="N306" s="262">
        <v>22.439385900000001</v>
      </c>
    </row>
    <row r="307" spans="1:14" x14ac:dyDescent="0.25">
      <c r="A307" s="262">
        <v>12029</v>
      </c>
      <c r="B307" s="262" t="s">
        <v>382</v>
      </c>
      <c r="C307" s="262" t="s">
        <v>393</v>
      </c>
      <c r="D307" s="262">
        <v>-83.156325899999999</v>
      </c>
      <c r="E307" s="262">
        <v>29.609190000000002</v>
      </c>
      <c r="M307" s="262">
        <v>20.79834992</v>
      </c>
      <c r="N307" s="262">
        <v>20.79834992</v>
      </c>
    </row>
    <row r="308" spans="1:14" x14ac:dyDescent="0.25">
      <c r="A308" s="262">
        <v>12031</v>
      </c>
      <c r="B308" s="262" t="s">
        <v>382</v>
      </c>
      <c r="C308" s="262" t="s">
        <v>394</v>
      </c>
      <c r="D308" s="262">
        <v>-81.665833899999996</v>
      </c>
      <c r="E308" s="262">
        <v>30.315149999999999</v>
      </c>
      <c r="M308" s="262">
        <v>20.62245369</v>
      </c>
      <c r="N308" s="262">
        <v>20.62245369</v>
      </c>
    </row>
    <row r="309" spans="1:14" x14ac:dyDescent="0.25">
      <c r="A309" s="262">
        <v>12033</v>
      </c>
      <c r="B309" s="262" t="s">
        <v>382</v>
      </c>
      <c r="C309" s="262" t="s">
        <v>139</v>
      </c>
      <c r="D309" s="262">
        <v>-87.396574299999997</v>
      </c>
      <c r="E309" s="262">
        <v>30.720980000000001</v>
      </c>
      <c r="M309" s="262">
        <v>19.416554319999999</v>
      </c>
      <c r="N309" s="262">
        <v>19.416554319999999</v>
      </c>
    </row>
    <row r="310" spans="1:14" x14ac:dyDescent="0.25">
      <c r="A310" s="262">
        <v>12035</v>
      </c>
      <c r="B310" s="262" t="s">
        <v>382</v>
      </c>
      <c r="C310" s="262" t="s">
        <v>395</v>
      </c>
      <c r="D310" s="262">
        <v>-81.315430599999999</v>
      </c>
      <c r="E310" s="262">
        <v>29.459949999999999</v>
      </c>
      <c r="M310" s="262">
        <v>21.280657560000002</v>
      </c>
      <c r="N310" s="262">
        <v>21.280657560000002</v>
      </c>
    </row>
    <row r="311" spans="1:14" x14ac:dyDescent="0.25">
      <c r="A311" s="262">
        <v>12037</v>
      </c>
      <c r="B311" s="262" t="s">
        <v>382</v>
      </c>
      <c r="C311" s="262" t="s">
        <v>142</v>
      </c>
      <c r="D311" s="262">
        <v>-84.800465099999997</v>
      </c>
      <c r="E311" s="262">
        <v>29.912310000000002</v>
      </c>
      <c r="M311" s="262">
        <v>20.15597245</v>
      </c>
      <c r="N311" s="262">
        <v>20.15597245</v>
      </c>
    </row>
    <row r="312" spans="1:14" x14ac:dyDescent="0.25">
      <c r="A312" s="262">
        <v>12039</v>
      </c>
      <c r="B312" s="262" t="s">
        <v>382</v>
      </c>
      <c r="C312" s="262" t="s">
        <v>396</v>
      </c>
      <c r="D312" s="262">
        <v>-84.620468599999995</v>
      </c>
      <c r="E312" s="262">
        <v>30.580110000000001</v>
      </c>
      <c r="M312" s="262">
        <v>19.65394564</v>
      </c>
      <c r="N312" s="262">
        <v>19.65394564</v>
      </c>
    </row>
    <row r="313" spans="1:14" x14ac:dyDescent="0.25">
      <c r="A313" s="262">
        <v>12041</v>
      </c>
      <c r="B313" s="262" t="s">
        <v>382</v>
      </c>
      <c r="C313" s="262" t="s">
        <v>397</v>
      </c>
      <c r="D313" s="262">
        <v>-82.803117799999995</v>
      </c>
      <c r="E313" s="262">
        <v>29.723780000000001</v>
      </c>
      <c r="M313" s="262">
        <v>20.806422220000002</v>
      </c>
      <c r="N313" s="262">
        <v>20.806422220000002</v>
      </c>
    </row>
    <row r="314" spans="1:14" x14ac:dyDescent="0.25">
      <c r="A314" s="262">
        <v>12043</v>
      </c>
      <c r="B314" s="262" t="s">
        <v>382</v>
      </c>
      <c r="C314" s="262" t="s">
        <v>398</v>
      </c>
      <c r="D314" s="262">
        <v>-81.213480899999993</v>
      </c>
      <c r="E314" s="262">
        <v>26.947279999999999</v>
      </c>
      <c r="M314" s="262">
        <v>22.689280610000001</v>
      </c>
      <c r="N314" s="262">
        <v>22.689280610000001</v>
      </c>
    </row>
    <row r="315" spans="1:14" x14ac:dyDescent="0.25">
      <c r="A315" s="262">
        <v>12045</v>
      </c>
      <c r="B315" s="262" t="s">
        <v>382</v>
      </c>
      <c r="C315" s="262" t="s">
        <v>399</v>
      </c>
      <c r="D315" s="262">
        <v>-85.247158499999998</v>
      </c>
      <c r="E315" s="262">
        <v>29.958500000000001</v>
      </c>
      <c r="M315" s="262">
        <v>20.047187130000001</v>
      </c>
      <c r="N315" s="262">
        <v>20.047187130000001</v>
      </c>
    </row>
    <row r="316" spans="1:14" x14ac:dyDescent="0.25">
      <c r="A316" s="262">
        <v>12047</v>
      </c>
      <c r="B316" s="262" t="s">
        <v>382</v>
      </c>
      <c r="C316" s="262" t="s">
        <v>400</v>
      </c>
      <c r="D316" s="262">
        <v>-82.935380699999996</v>
      </c>
      <c r="E316" s="262">
        <v>30.487279999999998</v>
      </c>
      <c r="M316" s="262">
        <v>20.09568097</v>
      </c>
      <c r="N316" s="262">
        <v>20.09568097</v>
      </c>
    </row>
    <row r="317" spans="1:14" x14ac:dyDescent="0.25">
      <c r="A317" s="262">
        <v>12049</v>
      </c>
      <c r="B317" s="262" t="s">
        <v>382</v>
      </c>
      <c r="C317" s="262" t="s">
        <v>401</v>
      </c>
      <c r="D317" s="262">
        <v>-81.811205999999999</v>
      </c>
      <c r="E317" s="262">
        <v>27.490220000000001</v>
      </c>
      <c r="M317" s="262">
        <v>22.35571994</v>
      </c>
      <c r="N317" s="262">
        <v>22.35571994</v>
      </c>
    </row>
    <row r="318" spans="1:14" x14ac:dyDescent="0.25">
      <c r="A318" s="262">
        <v>12051</v>
      </c>
      <c r="B318" s="262" t="s">
        <v>382</v>
      </c>
      <c r="C318" s="262" t="s">
        <v>402</v>
      </c>
      <c r="D318" s="262">
        <v>-81.172602499999996</v>
      </c>
      <c r="E318" s="262">
        <v>26.538350000000001</v>
      </c>
      <c r="M318" s="262">
        <v>22.800341530000001</v>
      </c>
      <c r="N318" s="262">
        <v>22.800341530000001</v>
      </c>
    </row>
    <row r="319" spans="1:14" x14ac:dyDescent="0.25">
      <c r="A319" s="262">
        <v>12053</v>
      </c>
      <c r="B319" s="262" t="s">
        <v>382</v>
      </c>
      <c r="C319" s="262" t="s">
        <v>403</v>
      </c>
      <c r="D319" s="262">
        <v>-82.432499800000002</v>
      </c>
      <c r="E319" s="262">
        <v>28.555700000000002</v>
      </c>
      <c r="M319" s="262">
        <v>21.688195669999999</v>
      </c>
      <c r="N319" s="262">
        <v>21.688195669999999</v>
      </c>
    </row>
    <row r="320" spans="1:14" x14ac:dyDescent="0.25">
      <c r="A320" s="262">
        <v>12055</v>
      </c>
      <c r="B320" s="262" t="s">
        <v>382</v>
      </c>
      <c r="C320" s="262" t="s">
        <v>404</v>
      </c>
      <c r="D320" s="262">
        <v>-81.336228000000006</v>
      </c>
      <c r="E320" s="262">
        <v>27.34478</v>
      </c>
      <c r="M320" s="262">
        <v>22.50655137</v>
      </c>
      <c r="N320" s="262">
        <v>22.50655137</v>
      </c>
    </row>
    <row r="321" spans="1:14" x14ac:dyDescent="0.25">
      <c r="A321" s="262">
        <v>12057</v>
      </c>
      <c r="B321" s="262" t="s">
        <v>382</v>
      </c>
      <c r="C321" s="262" t="s">
        <v>405</v>
      </c>
      <c r="D321" s="262">
        <v>-82.308235800000006</v>
      </c>
      <c r="E321" s="262">
        <v>27.928360000000001</v>
      </c>
      <c r="M321" s="262">
        <v>22.048315760000001</v>
      </c>
      <c r="N321" s="262">
        <v>22.048315760000001</v>
      </c>
    </row>
    <row r="322" spans="1:14" x14ac:dyDescent="0.25">
      <c r="A322" s="262">
        <v>12059</v>
      </c>
      <c r="B322" s="262" t="s">
        <v>382</v>
      </c>
      <c r="C322" s="262" t="s">
        <v>406</v>
      </c>
      <c r="D322" s="262">
        <v>-85.826457099999999</v>
      </c>
      <c r="E322" s="262">
        <v>30.885680000000001</v>
      </c>
      <c r="M322" s="262">
        <v>19.154296899999999</v>
      </c>
      <c r="N322" s="262">
        <v>19.154296899999999</v>
      </c>
    </row>
    <row r="323" spans="1:14" x14ac:dyDescent="0.25">
      <c r="A323" s="262">
        <v>12061</v>
      </c>
      <c r="B323" s="262" t="s">
        <v>382</v>
      </c>
      <c r="C323" s="262" t="s">
        <v>407</v>
      </c>
      <c r="D323" s="262">
        <v>-80.615547300000003</v>
      </c>
      <c r="E323" s="262">
        <v>27.683060000000001</v>
      </c>
      <c r="M323" s="262">
        <v>22.284858419999999</v>
      </c>
      <c r="N323" s="262">
        <v>22.284858419999999</v>
      </c>
    </row>
    <row r="324" spans="1:14" x14ac:dyDescent="0.25">
      <c r="A324" s="262">
        <v>12063</v>
      </c>
      <c r="B324" s="262" t="s">
        <v>382</v>
      </c>
      <c r="C324" s="262" t="s">
        <v>148</v>
      </c>
      <c r="D324" s="262">
        <v>-85.226999800000002</v>
      </c>
      <c r="E324" s="262">
        <v>30.799189999999999</v>
      </c>
      <c r="M324" s="262">
        <v>19.32112313</v>
      </c>
      <c r="N324" s="262">
        <v>19.32112313</v>
      </c>
    </row>
    <row r="325" spans="1:14" x14ac:dyDescent="0.25">
      <c r="A325" s="262">
        <v>12065</v>
      </c>
      <c r="B325" s="262" t="s">
        <v>382</v>
      </c>
      <c r="C325" s="262" t="s">
        <v>149</v>
      </c>
      <c r="D325" s="262">
        <v>-83.888135500000004</v>
      </c>
      <c r="E325" s="262">
        <v>30.439430000000002</v>
      </c>
      <c r="M325" s="262">
        <v>19.939331689999999</v>
      </c>
      <c r="N325" s="262">
        <v>19.939331689999999</v>
      </c>
    </row>
    <row r="326" spans="1:14" x14ac:dyDescent="0.25">
      <c r="A326" s="262">
        <v>12067</v>
      </c>
      <c r="B326" s="262" t="s">
        <v>382</v>
      </c>
      <c r="C326" s="262" t="s">
        <v>225</v>
      </c>
      <c r="D326" s="262">
        <v>-83.181943599999997</v>
      </c>
      <c r="E326" s="262">
        <v>29.984929999999999</v>
      </c>
      <c r="M326" s="262">
        <v>20.50083377</v>
      </c>
      <c r="N326" s="262">
        <v>20.50083377</v>
      </c>
    </row>
    <row r="327" spans="1:14" x14ac:dyDescent="0.25">
      <c r="A327" s="262">
        <v>12069</v>
      </c>
      <c r="B327" s="262" t="s">
        <v>382</v>
      </c>
      <c r="C327" s="262" t="s">
        <v>271</v>
      </c>
      <c r="D327" s="262">
        <v>-81.6996556</v>
      </c>
      <c r="E327" s="262">
        <v>28.75018</v>
      </c>
      <c r="M327" s="262">
        <v>21.71894404</v>
      </c>
      <c r="N327" s="262">
        <v>21.71894404</v>
      </c>
    </row>
    <row r="328" spans="1:14" x14ac:dyDescent="0.25">
      <c r="A328" s="262">
        <v>12071</v>
      </c>
      <c r="B328" s="262" t="s">
        <v>382</v>
      </c>
      <c r="C328" s="262" t="s">
        <v>153</v>
      </c>
      <c r="D328" s="262">
        <v>-81.803141999999994</v>
      </c>
      <c r="E328" s="262">
        <v>26.580110000000001</v>
      </c>
      <c r="M328" s="262">
        <v>22.529983250000001</v>
      </c>
      <c r="N328" s="262">
        <v>22.529983250000001</v>
      </c>
    </row>
    <row r="329" spans="1:14" x14ac:dyDescent="0.25">
      <c r="A329" s="262">
        <v>12073</v>
      </c>
      <c r="B329" s="262" t="s">
        <v>382</v>
      </c>
      <c r="C329" s="262" t="s">
        <v>408</v>
      </c>
      <c r="D329" s="262">
        <v>-84.2734272</v>
      </c>
      <c r="E329" s="262">
        <v>30.460850000000001</v>
      </c>
      <c r="M329" s="262">
        <v>19.827999479999999</v>
      </c>
      <c r="N329" s="262">
        <v>19.827999479999999</v>
      </c>
    </row>
    <row r="330" spans="1:14" x14ac:dyDescent="0.25">
      <c r="A330" s="262">
        <v>12075</v>
      </c>
      <c r="B330" s="262" t="s">
        <v>382</v>
      </c>
      <c r="C330" s="262" t="s">
        <v>409</v>
      </c>
      <c r="D330" s="262">
        <v>-82.732552299999995</v>
      </c>
      <c r="E330" s="262">
        <v>29.324149999999999</v>
      </c>
      <c r="M330" s="262">
        <v>21.125805029999999</v>
      </c>
      <c r="N330" s="262">
        <v>21.125805029999999</v>
      </c>
    </row>
    <row r="331" spans="1:14" x14ac:dyDescent="0.25">
      <c r="A331" s="262">
        <v>12077</v>
      </c>
      <c r="B331" s="262" t="s">
        <v>382</v>
      </c>
      <c r="C331" s="262" t="s">
        <v>410</v>
      </c>
      <c r="D331" s="262">
        <v>-84.894806299999999</v>
      </c>
      <c r="E331" s="262">
        <v>30.24905</v>
      </c>
      <c r="M331" s="262">
        <v>19.875757950000001</v>
      </c>
      <c r="N331" s="262">
        <v>19.875757950000001</v>
      </c>
    </row>
    <row r="332" spans="1:14" x14ac:dyDescent="0.25">
      <c r="A332" s="262">
        <v>12079</v>
      </c>
      <c r="B332" s="262" t="s">
        <v>382</v>
      </c>
      <c r="C332" s="262" t="s">
        <v>157</v>
      </c>
      <c r="D332" s="262">
        <v>-83.459890599999994</v>
      </c>
      <c r="E332" s="262">
        <v>30.440460000000002</v>
      </c>
      <c r="M332" s="262">
        <v>20.023281799999999</v>
      </c>
      <c r="N332" s="262">
        <v>20.023281799999999</v>
      </c>
    </row>
    <row r="333" spans="1:14" x14ac:dyDescent="0.25">
      <c r="A333" s="262">
        <v>12081</v>
      </c>
      <c r="B333" s="262" t="s">
        <v>382</v>
      </c>
      <c r="C333" s="262" t="s">
        <v>411</v>
      </c>
      <c r="D333" s="262">
        <v>-82.303526099999999</v>
      </c>
      <c r="E333" s="262">
        <v>27.472349999999999</v>
      </c>
      <c r="M333" s="262">
        <v>22.225835320000002</v>
      </c>
      <c r="N333" s="262">
        <v>22.225835320000002</v>
      </c>
    </row>
    <row r="334" spans="1:14" x14ac:dyDescent="0.25">
      <c r="A334" s="262">
        <v>12083</v>
      </c>
      <c r="B334" s="262" t="s">
        <v>382</v>
      </c>
      <c r="C334" s="262" t="s">
        <v>159</v>
      </c>
      <c r="D334" s="262">
        <v>-82.054551799999999</v>
      </c>
      <c r="E334" s="262">
        <v>29.203240000000001</v>
      </c>
      <c r="M334" s="262">
        <v>21.378460619999998</v>
      </c>
      <c r="N334" s="262">
        <v>21.378460619999998</v>
      </c>
    </row>
    <row r="335" spans="1:14" x14ac:dyDescent="0.25">
      <c r="A335" s="262">
        <v>12085</v>
      </c>
      <c r="B335" s="262" t="s">
        <v>382</v>
      </c>
      <c r="C335" s="262" t="s">
        <v>412</v>
      </c>
      <c r="D335" s="262">
        <v>-80.3862314</v>
      </c>
      <c r="E335" s="262">
        <v>27.077770000000001</v>
      </c>
      <c r="M335" s="262">
        <v>22.577575710000001</v>
      </c>
      <c r="N335" s="262">
        <v>22.577575710000001</v>
      </c>
    </row>
    <row r="336" spans="1:14" x14ac:dyDescent="0.25">
      <c r="A336" s="262">
        <v>12086</v>
      </c>
      <c r="B336" s="262" t="s">
        <v>382</v>
      </c>
      <c r="C336" s="262" t="s">
        <v>413</v>
      </c>
      <c r="D336" s="262">
        <v>-80.587502000000001</v>
      </c>
      <c r="E336" s="262">
        <v>25.607890000000001</v>
      </c>
      <c r="M336" s="262">
        <v>22.422154160000002</v>
      </c>
      <c r="N336" s="262">
        <v>22.422154160000002</v>
      </c>
    </row>
    <row r="337" spans="1:14" x14ac:dyDescent="0.25">
      <c r="A337" s="262">
        <v>12087</v>
      </c>
      <c r="B337" s="262" t="s">
        <v>382</v>
      </c>
      <c r="C337" s="262" t="s">
        <v>162</v>
      </c>
      <c r="D337" s="262">
        <v>-81.070249500000003</v>
      </c>
      <c r="E337" s="262">
        <v>25.533930000000002</v>
      </c>
      <c r="M337" s="262">
        <v>22.39483796</v>
      </c>
      <c r="N337" s="262">
        <v>22.39483796</v>
      </c>
    </row>
    <row r="338" spans="1:14" x14ac:dyDescent="0.25">
      <c r="A338" s="262">
        <v>12089</v>
      </c>
      <c r="B338" s="262" t="s">
        <v>382</v>
      </c>
      <c r="C338" s="262" t="s">
        <v>414</v>
      </c>
      <c r="D338" s="262">
        <v>-81.823636300000004</v>
      </c>
      <c r="E338" s="262">
        <v>30.60042</v>
      </c>
      <c r="M338" s="262">
        <v>20.252545210000001</v>
      </c>
      <c r="N338" s="262">
        <v>20.252545210000001</v>
      </c>
    </row>
    <row r="339" spans="1:14" x14ac:dyDescent="0.25">
      <c r="A339" s="262">
        <v>12091</v>
      </c>
      <c r="B339" s="262" t="s">
        <v>382</v>
      </c>
      <c r="C339" s="262" t="s">
        <v>415</v>
      </c>
      <c r="D339" s="262">
        <v>-86.602794200000005</v>
      </c>
      <c r="E339" s="262">
        <v>30.739889999999999</v>
      </c>
      <c r="M339" s="262">
        <v>19.289485880000001</v>
      </c>
      <c r="N339" s="262">
        <v>19.289485880000001</v>
      </c>
    </row>
    <row r="340" spans="1:14" x14ac:dyDescent="0.25">
      <c r="A340" s="262">
        <v>12093</v>
      </c>
      <c r="B340" s="262" t="s">
        <v>382</v>
      </c>
      <c r="C340" s="262" t="s">
        <v>416</v>
      </c>
      <c r="D340" s="262">
        <v>-80.894218100000003</v>
      </c>
      <c r="E340" s="262">
        <v>27.428339999999999</v>
      </c>
      <c r="M340" s="262">
        <v>22.488114079999999</v>
      </c>
      <c r="N340" s="262">
        <v>22.488114079999999</v>
      </c>
    </row>
    <row r="341" spans="1:14" x14ac:dyDescent="0.25">
      <c r="A341" s="262">
        <v>12095</v>
      </c>
      <c r="B341" s="262" t="s">
        <v>382</v>
      </c>
      <c r="C341" s="262" t="s">
        <v>283</v>
      </c>
      <c r="D341" s="262">
        <v>-81.307125499999998</v>
      </c>
      <c r="E341" s="262">
        <v>28.501580000000001</v>
      </c>
      <c r="M341" s="262">
        <v>21.870322479999999</v>
      </c>
      <c r="N341" s="262">
        <v>21.870322479999999</v>
      </c>
    </row>
    <row r="342" spans="1:14" x14ac:dyDescent="0.25">
      <c r="A342" s="262">
        <v>12097</v>
      </c>
      <c r="B342" s="262" t="s">
        <v>382</v>
      </c>
      <c r="C342" s="262" t="s">
        <v>417</v>
      </c>
      <c r="D342" s="262">
        <v>-81.150039300000003</v>
      </c>
      <c r="E342" s="262">
        <v>28.057089999999999</v>
      </c>
      <c r="M342" s="262">
        <v>22.12933877</v>
      </c>
      <c r="N342" s="262">
        <v>22.12933877</v>
      </c>
    </row>
    <row r="343" spans="1:14" x14ac:dyDescent="0.25">
      <c r="A343" s="262">
        <v>12099</v>
      </c>
      <c r="B343" s="262" t="s">
        <v>382</v>
      </c>
      <c r="C343" s="262" t="s">
        <v>418</v>
      </c>
      <c r="D343" s="262">
        <v>-80.513017199999993</v>
      </c>
      <c r="E343" s="262">
        <v>26.689039999999999</v>
      </c>
      <c r="M343" s="262">
        <v>22.797892019999999</v>
      </c>
      <c r="N343" s="262">
        <v>22.797892019999999</v>
      </c>
    </row>
    <row r="344" spans="1:14" x14ac:dyDescent="0.25">
      <c r="A344" s="262">
        <v>12101</v>
      </c>
      <c r="B344" s="262" t="s">
        <v>382</v>
      </c>
      <c r="C344" s="262" t="s">
        <v>419</v>
      </c>
      <c r="D344" s="262">
        <v>-82.397470999999996</v>
      </c>
      <c r="E344" s="262">
        <v>28.309709999999999</v>
      </c>
      <c r="M344" s="262">
        <v>21.829634080000002</v>
      </c>
      <c r="N344" s="262">
        <v>21.829634080000002</v>
      </c>
    </row>
    <row r="345" spans="1:14" x14ac:dyDescent="0.25">
      <c r="A345" s="262">
        <v>12103</v>
      </c>
      <c r="B345" s="262" t="s">
        <v>382</v>
      </c>
      <c r="C345" s="262" t="s">
        <v>420</v>
      </c>
      <c r="D345" s="262">
        <v>-82.731089400000002</v>
      </c>
      <c r="E345" s="262">
        <v>27.948599999999999</v>
      </c>
      <c r="M345" s="262">
        <v>21.898195820000002</v>
      </c>
      <c r="N345" s="262">
        <v>21.898195820000002</v>
      </c>
    </row>
    <row r="346" spans="1:14" x14ac:dyDescent="0.25">
      <c r="A346" s="262">
        <v>12105</v>
      </c>
      <c r="B346" s="262" t="s">
        <v>382</v>
      </c>
      <c r="C346" s="262" t="s">
        <v>237</v>
      </c>
      <c r="D346" s="262">
        <v>-81.697468999999998</v>
      </c>
      <c r="E346" s="262">
        <v>27.943570000000001</v>
      </c>
      <c r="M346" s="262">
        <v>22.169357860000002</v>
      </c>
      <c r="N346" s="262">
        <v>22.169357860000002</v>
      </c>
    </row>
    <row r="347" spans="1:14" x14ac:dyDescent="0.25">
      <c r="A347" s="262">
        <v>12107</v>
      </c>
      <c r="B347" s="262" t="s">
        <v>382</v>
      </c>
      <c r="C347" s="262" t="s">
        <v>421</v>
      </c>
      <c r="D347" s="262">
        <v>-81.7432333</v>
      </c>
      <c r="E347" s="262">
        <v>29.59928</v>
      </c>
      <c r="M347" s="262">
        <v>21.165075980000001</v>
      </c>
      <c r="N347" s="262">
        <v>21.165075980000001</v>
      </c>
    </row>
    <row r="348" spans="1:14" x14ac:dyDescent="0.25">
      <c r="A348" s="262">
        <v>12109</v>
      </c>
      <c r="B348" s="262" t="s">
        <v>382</v>
      </c>
      <c r="C348" s="262" t="s">
        <v>422</v>
      </c>
      <c r="D348" s="262">
        <v>-81.428567299999997</v>
      </c>
      <c r="E348" s="262">
        <v>29.89378</v>
      </c>
      <c r="M348" s="262">
        <v>20.992328749999999</v>
      </c>
      <c r="N348" s="262">
        <v>20.992328749999999</v>
      </c>
    </row>
    <row r="349" spans="1:14" x14ac:dyDescent="0.25">
      <c r="A349" s="262">
        <v>12111</v>
      </c>
      <c r="B349" s="262" t="s">
        <v>382</v>
      </c>
      <c r="C349" s="262" t="s">
        <v>423</v>
      </c>
      <c r="D349" s="262">
        <v>-80.480226299999998</v>
      </c>
      <c r="E349" s="262">
        <v>27.370429999999999</v>
      </c>
      <c r="M349" s="262">
        <v>22.440440379999998</v>
      </c>
      <c r="N349" s="262">
        <v>22.440440379999998</v>
      </c>
    </row>
    <row r="350" spans="1:14" x14ac:dyDescent="0.25">
      <c r="A350" s="262">
        <v>12113</v>
      </c>
      <c r="B350" s="262" t="s">
        <v>382</v>
      </c>
      <c r="C350" s="262" t="s">
        <v>424</v>
      </c>
      <c r="D350" s="262">
        <v>-87.030138899999997</v>
      </c>
      <c r="E350" s="262">
        <v>30.745629999999998</v>
      </c>
      <c r="M350" s="262">
        <v>19.317529570000001</v>
      </c>
      <c r="N350" s="262">
        <v>19.317529570000001</v>
      </c>
    </row>
    <row r="351" spans="1:14" x14ac:dyDescent="0.25">
      <c r="A351" s="262">
        <v>12115</v>
      </c>
      <c r="B351" s="262" t="s">
        <v>382</v>
      </c>
      <c r="C351" s="262" t="s">
        <v>425</v>
      </c>
      <c r="D351" s="262">
        <v>-82.350440800000001</v>
      </c>
      <c r="E351" s="262">
        <v>27.17783</v>
      </c>
      <c r="M351" s="262">
        <v>22.264864509999999</v>
      </c>
      <c r="N351" s="262">
        <v>22.264864509999999</v>
      </c>
    </row>
    <row r="352" spans="1:14" x14ac:dyDescent="0.25">
      <c r="A352" s="262">
        <v>12117</v>
      </c>
      <c r="B352" s="262" t="s">
        <v>382</v>
      </c>
      <c r="C352" s="262" t="s">
        <v>426</v>
      </c>
      <c r="D352" s="262">
        <v>-81.220828100000006</v>
      </c>
      <c r="E352" s="262">
        <v>28.7028</v>
      </c>
      <c r="M352" s="262">
        <v>21.755057820000001</v>
      </c>
      <c r="N352" s="262">
        <v>21.755057820000001</v>
      </c>
    </row>
    <row r="353" spans="1:14" x14ac:dyDescent="0.25">
      <c r="A353" s="262">
        <v>12119</v>
      </c>
      <c r="B353" s="262" t="s">
        <v>382</v>
      </c>
      <c r="C353" s="262" t="s">
        <v>172</v>
      </c>
      <c r="D353" s="262">
        <v>-82.077237299999993</v>
      </c>
      <c r="E353" s="262">
        <v>28.691320000000001</v>
      </c>
      <c r="M353" s="262">
        <v>21.70023093</v>
      </c>
      <c r="N353" s="262">
        <v>21.70023093</v>
      </c>
    </row>
    <row r="354" spans="1:14" x14ac:dyDescent="0.25">
      <c r="A354" s="262">
        <v>12121</v>
      </c>
      <c r="B354" s="262" t="s">
        <v>382</v>
      </c>
      <c r="C354" s="262" t="s">
        <v>427</v>
      </c>
      <c r="D354" s="262">
        <v>-82.985429699999997</v>
      </c>
      <c r="E354" s="262">
        <v>30.189769999999999</v>
      </c>
      <c r="M354" s="262">
        <v>20.362418170000002</v>
      </c>
      <c r="N354" s="262">
        <v>20.362418170000002</v>
      </c>
    </row>
    <row r="355" spans="1:14" x14ac:dyDescent="0.25">
      <c r="A355" s="262">
        <v>12123</v>
      </c>
      <c r="B355" s="262" t="s">
        <v>382</v>
      </c>
      <c r="C355" s="262" t="s">
        <v>428</v>
      </c>
      <c r="D355" s="262">
        <v>-83.6008961</v>
      </c>
      <c r="E355" s="262">
        <v>30.049330000000001</v>
      </c>
      <c r="M355" s="262">
        <v>20.33481196</v>
      </c>
      <c r="N355" s="262">
        <v>20.33481196</v>
      </c>
    </row>
    <row r="356" spans="1:14" x14ac:dyDescent="0.25">
      <c r="A356" s="262">
        <v>12125</v>
      </c>
      <c r="B356" s="262" t="s">
        <v>382</v>
      </c>
      <c r="C356" s="262" t="s">
        <v>249</v>
      </c>
      <c r="D356" s="262">
        <v>-82.370314100000002</v>
      </c>
      <c r="E356" s="262">
        <v>30.041630000000001</v>
      </c>
      <c r="M356" s="262">
        <v>20.669714460000002</v>
      </c>
      <c r="N356" s="262">
        <v>20.669714460000002</v>
      </c>
    </row>
    <row r="357" spans="1:14" x14ac:dyDescent="0.25">
      <c r="A357" s="262">
        <v>12127</v>
      </c>
      <c r="B357" s="262" t="s">
        <v>382</v>
      </c>
      <c r="C357" s="262" t="s">
        <v>429</v>
      </c>
      <c r="D357" s="262">
        <v>-81.189450300000004</v>
      </c>
      <c r="E357" s="262">
        <v>29.052479999999999</v>
      </c>
      <c r="M357" s="262">
        <v>21.527550789999999</v>
      </c>
      <c r="N357" s="262">
        <v>21.527550789999999</v>
      </c>
    </row>
    <row r="358" spans="1:14" x14ac:dyDescent="0.25">
      <c r="A358" s="262">
        <v>12129</v>
      </c>
      <c r="B358" s="262" t="s">
        <v>382</v>
      </c>
      <c r="C358" s="262" t="s">
        <v>430</v>
      </c>
      <c r="D358" s="262">
        <v>-84.409454699999998</v>
      </c>
      <c r="E358" s="262">
        <v>30.17558</v>
      </c>
      <c r="M358" s="262">
        <v>20.054297250000001</v>
      </c>
      <c r="N358" s="262">
        <v>20.054297250000001</v>
      </c>
    </row>
    <row r="359" spans="1:14" x14ac:dyDescent="0.25">
      <c r="A359" s="262">
        <v>12131</v>
      </c>
      <c r="B359" s="262" t="s">
        <v>382</v>
      </c>
      <c r="C359" s="262" t="s">
        <v>431</v>
      </c>
      <c r="D359" s="262">
        <v>-86.171778799999998</v>
      </c>
      <c r="E359" s="262">
        <v>30.672170000000001</v>
      </c>
      <c r="M359" s="262">
        <v>19.338693979999999</v>
      </c>
      <c r="N359" s="262">
        <v>19.338693979999999</v>
      </c>
    </row>
    <row r="360" spans="1:14" x14ac:dyDescent="0.25">
      <c r="A360" s="262">
        <v>12133</v>
      </c>
      <c r="B360" s="262" t="s">
        <v>382</v>
      </c>
      <c r="C360" s="262" t="s">
        <v>177</v>
      </c>
      <c r="D360" s="262">
        <v>-85.683668900000001</v>
      </c>
      <c r="E360" s="262">
        <v>30.626719999999999</v>
      </c>
      <c r="M360" s="262">
        <v>19.419525960000001</v>
      </c>
      <c r="N360" s="262">
        <v>19.419525960000001</v>
      </c>
    </row>
    <row r="361" spans="1:14" x14ac:dyDescent="0.25">
      <c r="A361" s="262">
        <v>13001</v>
      </c>
      <c r="B361" s="262" t="s">
        <v>432</v>
      </c>
      <c r="C361" s="262" t="s">
        <v>433</v>
      </c>
      <c r="D361" s="262">
        <v>-82.310257800000002</v>
      </c>
      <c r="E361" s="262">
        <v>31.744119999999999</v>
      </c>
      <c r="M361" s="262">
        <v>18.73177497</v>
      </c>
      <c r="N361" s="262">
        <v>18.73177497</v>
      </c>
    </row>
    <row r="362" spans="1:14" x14ac:dyDescent="0.25">
      <c r="A362" s="262">
        <v>13003</v>
      </c>
      <c r="B362" s="262" t="s">
        <v>432</v>
      </c>
      <c r="C362" s="262" t="s">
        <v>434</v>
      </c>
      <c r="D362" s="262">
        <v>-82.900324299999994</v>
      </c>
      <c r="E362" s="262">
        <v>31.277999999999999</v>
      </c>
      <c r="M362" s="262">
        <v>19.250266409999998</v>
      </c>
      <c r="N362" s="262">
        <v>19.250266409999998</v>
      </c>
    </row>
    <row r="363" spans="1:14" x14ac:dyDescent="0.25">
      <c r="A363" s="262">
        <v>13005</v>
      </c>
      <c r="B363" s="262" t="s">
        <v>432</v>
      </c>
      <c r="C363" s="262" t="s">
        <v>435</v>
      </c>
      <c r="D363" s="262">
        <v>-82.479974299999995</v>
      </c>
      <c r="E363" s="262">
        <v>31.54316</v>
      </c>
      <c r="M363" s="262">
        <v>18.99298563</v>
      </c>
      <c r="N363" s="262">
        <v>18.99298563</v>
      </c>
    </row>
    <row r="364" spans="1:14" x14ac:dyDescent="0.25">
      <c r="A364" s="262">
        <v>13007</v>
      </c>
      <c r="B364" s="262" t="s">
        <v>432</v>
      </c>
      <c r="C364" s="262" t="s">
        <v>384</v>
      </c>
      <c r="D364" s="262">
        <v>-84.465344599999995</v>
      </c>
      <c r="E364" s="262">
        <v>31.310189999999999</v>
      </c>
      <c r="M364" s="262">
        <v>18.982008029999999</v>
      </c>
      <c r="N364" s="262">
        <v>18.982008029999999</v>
      </c>
    </row>
    <row r="365" spans="1:14" x14ac:dyDescent="0.25">
      <c r="A365" s="262">
        <v>13009</v>
      </c>
      <c r="B365" s="262" t="s">
        <v>432</v>
      </c>
      <c r="C365" s="262" t="s">
        <v>114</v>
      </c>
      <c r="D365" s="262">
        <v>-83.254068899999993</v>
      </c>
      <c r="E365" s="262">
        <v>33.068959999999997</v>
      </c>
      <c r="M365" s="262">
        <v>17.360021960000001</v>
      </c>
      <c r="N365" s="262">
        <v>17.360021960000001</v>
      </c>
    </row>
    <row r="366" spans="1:14" x14ac:dyDescent="0.25">
      <c r="A366" s="262">
        <v>13011</v>
      </c>
      <c r="B366" s="262" t="s">
        <v>432</v>
      </c>
      <c r="C366" s="262" t="s">
        <v>436</v>
      </c>
      <c r="D366" s="262">
        <v>-83.4941484</v>
      </c>
      <c r="E366" s="262">
        <v>34.352589999999999</v>
      </c>
      <c r="M366" s="262">
        <v>15.35494102</v>
      </c>
      <c r="N366" s="262">
        <v>15.35494102</v>
      </c>
    </row>
    <row r="367" spans="1:14" x14ac:dyDescent="0.25">
      <c r="A367" s="262">
        <v>13013</v>
      </c>
      <c r="B367" s="262" t="s">
        <v>432</v>
      </c>
      <c r="C367" s="262" t="s">
        <v>437</v>
      </c>
      <c r="D367" s="262">
        <v>-83.721806099999995</v>
      </c>
      <c r="E367" s="262">
        <v>33.991399999999999</v>
      </c>
      <c r="M367" s="262">
        <v>16.042597789999999</v>
      </c>
      <c r="N367" s="262">
        <v>16.042597789999999</v>
      </c>
    </row>
    <row r="368" spans="1:14" x14ac:dyDescent="0.25">
      <c r="A368" s="262">
        <v>13015</v>
      </c>
      <c r="B368" s="262" t="s">
        <v>432</v>
      </c>
      <c r="C368" s="262" t="s">
        <v>438</v>
      </c>
      <c r="D368" s="262">
        <v>-84.855252899999996</v>
      </c>
      <c r="E368" s="262">
        <v>34.229770000000002</v>
      </c>
      <c r="M368" s="262">
        <v>15.93801103</v>
      </c>
      <c r="N368" s="262">
        <v>15.93801103</v>
      </c>
    </row>
    <row r="369" spans="1:14" x14ac:dyDescent="0.25">
      <c r="A369" s="262">
        <v>13017</v>
      </c>
      <c r="B369" s="262" t="s">
        <v>432</v>
      </c>
      <c r="C369" s="262" t="s">
        <v>439</v>
      </c>
      <c r="D369" s="262">
        <v>-83.2547462</v>
      </c>
      <c r="E369" s="262">
        <v>31.760629999999999</v>
      </c>
      <c r="M369" s="262">
        <v>18.67017723</v>
      </c>
      <c r="N369" s="262">
        <v>18.67017723</v>
      </c>
    </row>
    <row r="370" spans="1:14" x14ac:dyDescent="0.25">
      <c r="A370" s="262">
        <v>13019</v>
      </c>
      <c r="B370" s="262" t="s">
        <v>432</v>
      </c>
      <c r="C370" s="262" t="s">
        <v>440</v>
      </c>
      <c r="D370" s="262">
        <v>-83.243223299999997</v>
      </c>
      <c r="E370" s="262">
        <v>31.266960000000001</v>
      </c>
      <c r="M370" s="262">
        <v>19.213551580000001</v>
      </c>
      <c r="N370" s="262">
        <v>19.213551580000001</v>
      </c>
    </row>
    <row r="371" spans="1:14" x14ac:dyDescent="0.25">
      <c r="A371" s="262">
        <v>13021</v>
      </c>
      <c r="B371" s="262" t="s">
        <v>432</v>
      </c>
      <c r="C371" s="262" t="s">
        <v>116</v>
      </c>
      <c r="D371" s="262">
        <v>-83.717426900000007</v>
      </c>
      <c r="E371" s="262">
        <v>32.813760000000002</v>
      </c>
      <c r="M371" s="262">
        <v>17.588159019999999</v>
      </c>
      <c r="N371" s="262">
        <v>17.588159019999999</v>
      </c>
    </row>
    <row r="372" spans="1:14" x14ac:dyDescent="0.25">
      <c r="A372" s="262">
        <v>13023</v>
      </c>
      <c r="B372" s="262" t="s">
        <v>432</v>
      </c>
      <c r="C372" s="262" t="s">
        <v>441</v>
      </c>
      <c r="D372" s="262">
        <v>-83.358415100000002</v>
      </c>
      <c r="E372" s="262">
        <v>32.43553</v>
      </c>
      <c r="M372" s="262">
        <v>17.97169851</v>
      </c>
      <c r="N372" s="262">
        <v>17.97169851</v>
      </c>
    </row>
    <row r="373" spans="1:14" x14ac:dyDescent="0.25">
      <c r="A373" s="262">
        <v>13025</v>
      </c>
      <c r="B373" s="262" t="s">
        <v>432</v>
      </c>
      <c r="C373" s="262" t="s">
        <v>442</v>
      </c>
      <c r="D373" s="262">
        <v>-81.999895199999997</v>
      </c>
      <c r="E373" s="262">
        <v>31.192170000000001</v>
      </c>
      <c r="M373" s="262">
        <v>19.481975899999998</v>
      </c>
      <c r="N373" s="262">
        <v>19.481975899999998</v>
      </c>
    </row>
    <row r="374" spans="1:14" x14ac:dyDescent="0.25">
      <c r="A374" s="262">
        <v>13027</v>
      </c>
      <c r="B374" s="262" t="s">
        <v>432</v>
      </c>
      <c r="C374" s="262" t="s">
        <v>443</v>
      </c>
      <c r="D374" s="262">
        <v>-83.600144099999994</v>
      </c>
      <c r="E374" s="262">
        <v>30.837910000000001</v>
      </c>
      <c r="M374" s="262">
        <v>19.598468530000002</v>
      </c>
      <c r="N374" s="262">
        <v>19.598468530000002</v>
      </c>
    </row>
    <row r="375" spans="1:14" x14ac:dyDescent="0.25">
      <c r="A375" s="262">
        <v>13029</v>
      </c>
      <c r="B375" s="262" t="s">
        <v>432</v>
      </c>
      <c r="C375" s="262" t="s">
        <v>444</v>
      </c>
      <c r="D375" s="262">
        <v>-81.448749100000001</v>
      </c>
      <c r="E375" s="262">
        <v>32.019869999999997</v>
      </c>
      <c r="M375" s="262">
        <v>18.452994799999999</v>
      </c>
      <c r="N375" s="262">
        <v>18.452994799999999</v>
      </c>
    </row>
    <row r="376" spans="1:14" x14ac:dyDescent="0.25">
      <c r="A376" s="262">
        <v>13031</v>
      </c>
      <c r="B376" s="262" t="s">
        <v>432</v>
      </c>
      <c r="C376" s="262" t="s">
        <v>445</v>
      </c>
      <c r="D376" s="262">
        <v>-81.748233600000006</v>
      </c>
      <c r="E376" s="262">
        <v>32.402520000000003</v>
      </c>
      <c r="M376" s="262">
        <v>17.983284529999999</v>
      </c>
      <c r="N376" s="262">
        <v>17.983284529999999</v>
      </c>
    </row>
    <row r="377" spans="1:14" x14ac:dyDescent="0.25">
      <c r="A377" s="262">
        <v>13033</v>
      </c>
      <c r="B377" s="262" t="s">
        <v>432</v>
      </c>
      <c r="C377" s="262" t="s">
        <v>446</v>
      </c>
      <c r="D377" s="262">
        <v>-82.005414099999996</v>
      </c>
      <c r="E377" s="262">
        <v>33.062289999999997</v>
      </c>
      <c r="M377" s="262">
        <v>17.410495439999998</v>
      </c>
      <c r="N377" s="262">
        <v>17.410495439999998</v>
      </c>
    </row>
    <row r="378" spans="1:14" x14ac:dyDescent="0.25">
      <c r="A378" s="262">
        <v>13035</v>
      </c>
      <c r="B378" s="262" t="s">
        <v>432</v>
      </c>
      <c r="C378" s="262" t="s">
        <v>447</v>
      </c>
      <c r="D378" s="262">
        <v>-83.961892899999995</v>
      </c>
      <c r="E378" s="262">
        <v>33.283830000000002</v>
      </c>
      <c r="M378" s="262">
        <v>17.06912925</v>
      </c>
      <c r="N378" s="262">
        <v>17.06912925</v>
      </c>
    </row>
    <row r="379" spans="1:14" x14ac:dyDescent="0.25">
      <c r="A379" s="262">
        <v>13037</v>
      </c>
      <c r="B379" s="262" t="s">
        <v>432</v>
      </c>
      <c r="C379" s="262" t="s">
        <v>120</v>
      </c>
      <c r="D379" s="262">
        <v>-84.641989600000002</v>
      </c>
      <c r="E379" s="262">
        <v>31.516120000000001</v>
      </c>
      <c r="M379" s="262">
        <v>18.747265729999999</v>
      </c>
      <c r="N379" s="262">
        <v>18.747265729999999</v>
      </c>
    </row>
    <row r="380" spans="1:14" x14ac:dyDescent="0.25">
      <c r="A380" s="262">
        <v>13039</v>
      </c>
      <c r="B380" s="262" t="s">
        <v>432</v>
      </c>
      <c r="C380" s="262" t="s">
        <v>448</v>
      </c>
      <c r="D380" s="262">
        <v>-81.693462400000001</v>
      </c>
      <c r="E380" s="262">
        <v>30.94021</v>
      </c>
      <c r="M380" s="262">
        <v>19.849509430000001</v>
      </c>
      <c r="N380" s="262">
        <v>19.849509430000001</v>
      </c>
    </row>
    <row r="381" spans="1:14" x14ac:dyDescent="0.25">
      <c r="A381" s="262">
        <v>13043</v>
      </c>
      <c r="B381" s="262" t="s">
        <v>432</v>
      </c>
      <c r="C381" s="262" t="s">
        <v>449</v>
      </c>
      <c r="D381" s="262">
        <v>-82.087609400000005</v>
      </c>
      <c r="E381" s="262">
        <v>32.405209999999997</v>
      </c>
      <c r="M381" s="262">
        <v>17.94807204</v>
      </c>
      <c r="N381" s="262">
        <v>17.94807204</v>
      </c>
    </row>
    <row r="382" spans="1:14" x14ac:dyDescent="0.25">
      <c r="A382" s="262">
        <v>13045</v>
      </c>
      <c r="B382" s="262" t="s">
        <v>432</v>
      </c>
      <c r="C382" s="262" t="s">
        <v>203</v>
      </c>
      <c r="D382" s="262">
        <v>-85.085667299999997</v>
      </c>
      <c r="E382" s="262">
        <v>33.575980000000001</v>
      </c>
      <c r="M382" s="262">
        <v>16.661953130000001</v>
      </c>
      <c r="N382" s="262">
        <v>16.661953130000001</v>
      </c>
    </row>
    <row r="383" spans="1:14" x14ac:dyDescent="0.25">
      <c r="A383" s="262">
        <v>13047</v>
      </c>
      <c r="B383" s="262" t="s">
        <v>432</v>
      </c>
      <c r="C383" s="262" t="s">
        <v>450</v>
      </c>
      <c r="D383" s="262">
        <v>-85.144714300000004</v>
      </c>
      <c r="E383" s="262">
        <v>34.889420000000001</v>
      </c>
      <c r="M383" s="262">
        <v>15.578929629999999</v>
      </c>
      <c r="N383" s="262">
        <v>15.578929629999999</v>
      </c>
    </row>
    <row r="384" spans="1:14" x14ac:dyDescent="0.25">
      <c r="A384" s="262">
        <v>13049</v>
      </c>
      <c r="B384" s="262" t="s">
        <v>432</v>
      </c>
      <c r="C384" s="262" t="s">
        <v>451</v>
      </c>
      <c r="D384" s="262">
        <v>-82.161194100000003</v>
      </c>
      <c r="E384" s="262">
        <v>30.792149999999999</v>
      </c>
      <c r="M384" s="262">
        <v>19.95356572</v>
      </c>
      <c r="N384" s="262">
        <v>19.95356572</v>
      </c>
    </row>
    <row r="385" spans="1:14" x14ac:dyDescent="0.25">
      <c r="A385" s="262">
        <v>13051</v>
      </c>
      <c r="B385" s="262" t="s">
        <v>432</v>
      </c>
      <c r="C385" s="262" t="s">
        <v>452</v>
      </c>
      <c r="D385" s="262">
        <v>-81.135959299999996</v>
      </c>
      <c r="E385" s="262">
        <v>32.004770000000001</v>
      </c>
      <c r="M385" s="262">
        <v>18.492682599999998</v>
      </c>
      <c r="N385" s="262">
        <v>18.492682599999998</v>
      </c>
    </row>
    <row r="386" spans="1:14" x14ac:dyDescent="0.25">
      <c r="A386" s="262">
        <v>13053</v>
      </c>
      <c r="B386" s="262" t="s">
        <v>432</v>
      </c>
      <c r="C386" s="262" t="s">
        <v>453</v>
      </c>
      <c r="D386" s="262">
        <v>-84.783553800000007</v>
      </c>
      <c r="E386" s="262">
        <v>32.342660000000002</v>
      </c>
      <c r="M386" s="262">
        <v>17.90031214</v>
      </c>
      <c r="N386" s="262">
        <v>17.90031214</v>
      </c>
    </row>
    <row r="387" spans="1:14" x14ac:dyDescent="0.25">
      <c r="A387" s="262">
        <v>13055</v>
      </c>
      <c r="B387" s="262" t="s">
        <v>432</v>
      </c>
      <c r="C387" s="262" t="s">
        <v>454</v>
      </c>
      <c r="D387" s="262">
        <v>-85.349862599999994</v>
      </c>
      <c r="E387" s="262">
        <v>34.46255</v>
      </c>
      <c r="M387" s="262">
        <v>15.89945202</v>
      </c>
      <c r="N387" s="262">
        <v>15.89945202</v>
      </c>
    </row>
    <row r="388" spans="1:14" x14ac:dyDescent="0.25">
      <c r="A388" s="262">
        <v>13057</v>
      </c>
      <c r="B388" s="262" t="s">
        <v>432</v>
      </c>
      <c r="C388" s="262" t="s">
        <v>122</v>
      </c>
      <c r="D388" s="262">
        <v>-84.483716000000001</v>
      </c>
      <c r="E388" s="262">
        <v>34.24</v>
      </c>
      <c r="M388" s="262">
        <v>15.764979589999999</v>
      </c>
      <c r="N388" s="262">
        <v>15.764979589999999</v>
      </c>
    </row>
    <row r="389" spans="1:14" x14ac:dyDescent="0.25">
      <c r="A389" s="262">
        <v>13059</v>
      </c>
      <c r="B389" s="262" t="s">
        <v>432</v>
      </c>
      <c r="C389" s="262" t="s">
        <v>125</v>
      </c>
      <c r="D389" s="262">
        <v>-83.369021399999994</v>
      </c>
      <c r="E389" s="262">
        <v>33.949170000000002</v>
      </c>
      <c r="M389" s="262">
        <v>16.178391300000001</v>
      </c>
      <c r="N389" s="262">
        <v>16.178391300000001</v>
      </c>
    </row>
    <row r="390" spans="1:14" x14ac:dyDescent="0.25">
      <c r="A390" s="262">
        <v>13061</v>
      </c>
      <c r="B390" s="262" t="s">
        <v>432</v>
      </c>
      <c r="C390" s="262" t="s">
        <v>126</v>
      </c>
      <c r="D390" s="262">
        <v>-84.990730200000002</v>
      </c>
      <c r="E390" s="262">
        <v>31.61523</v>
      </c>
      <c r="M390" s="262">
        <v>18.56564264</v>
      </c>
      <c r="N390" s="262">
        <v>18.56564264</v>
      </c>
    </row>
    <row r="391" spans="1:14" x14ac:dyDescent="0.25">
      <c r="A391" s="262">
        <v>13063</v>
      </c>
      <c r="B391" s="262" t="s">
        <v>432</v>
      </c>
      <c r="C391" s="262" t="s">
        <v>455</v>
      </c>
      <c r="D391" s="262">
        <v>-84.369303700000003</v>
      </c>
      <c r="E391" s="262">
        <v>33.535939999999997</v>
      </c>
      <c r="M391" s="262">
        <v>16.7630175</v>
      </c>
      <c r="N391" s="262">
        <v>16.7630175</v>
      </c>
    </row>
    <row r="392" spans="1:14" x14ac:dyDescent="0.25">
      <c r="A392" s="262">
        <v>13065</v>
      </c>
      <c r="B392" s="262" t="s">
        <v>432</v>
      </c>
      <c r="C392" s="262" t="s">
        <v>456</v>
      </c>
      <c r="D392" s="262">
        <v>-82.734136199999995</v>
      </c>
      <c r="E392" s="262">
        <v>30.904789999999998</v>
      </c>
      <c r="M392" s="262">
        <v>19.698111999999998</v>
      </c>
      <c r="N392" s="262">
        <v>19.698111999999998</v>
      </c>
    </row>
    <row r="393" spans="1:14" x14ac:dyDescent="0.25">
      <c r="A393" s="262">
        <v>13067</v>
      </c>
      <c r="B393" s="262" t="s">
        <v>432</v>
      </c>
      <c r="C393" s="262" t="s">
        <v>457</v>
      </c>
      <c r="D393" s="262">
        <v>-84.592042399999997</v>
      </c>
      <c r="E393" s="262">
        <v>33.93685</v>
      </c>
      <c r="M393" s="262">
        <v>16.213237360000001</v>
      </c>
      <c r="N393" s="262">
        <v>16.213237360000001</v>
      </c>
    </row>
    <row r="394" spans="1:14" x14ac:dyDescent="0.25">
      <c r="A394" s="262">
        <v>13069</v>
      </c>
      <c r="B394" s="262" t="s">
        <v>432</v>
      </c>
      <c r="C394" s="262" t="s">
        <v>128</v>
      </c>
      <c r="D394" s="262">
        <v>-82.887469300000006</v>
      </c>
      <c r="E394" s="262">
        <v>31.537179999999999</v>
      </c>
      <c r="M394" s="262">
        <v>18.949259730000001</v>
      </c>
      <c r="N394" s="262">
        <v>18.949259730000001</v>
      </c>
    </row>
    <row r="395" spans="1:14" x14ac:dyDescent="0.25">
      <c r="A395" s="262">
        <v>13071</v>
      </c>
      <c r="B395" s="262" t="s">
        <v>432</v>
      </c>
      <c r="C395" s="262" t="s">
        <v>458</v>
      </c>
      <c r="D395" s="262">
        <v>-83.790288000000004</v>
      </c>
      <c r="E395" s="262">
        <v>31.171869999999998</v>
      </c>
      <c r="M395" s="262">
        <v>19.234210430000001</v>
      </c>
      <c r="N395" s="262">
        <v>19.234210430000001</v>
      </c>
    </row>
    <row r="396" spans="1:14" x14ac:dyDescent="0.25">
      <c r="A396" s="262">
        <v>13073</v>
      </c>
      <c r="B396" s="262" t="s">
        <v>432</v>
      </c>
      <c r="C396" s="262" t="s">
        <v>207</v>
      </c>
      <c r="D396" s="262">
        <v>-82.274059199999996</v>
      </c>
      <c r="E396" s="262">
        <v>33.545749999999998</v>
      </c>
      <c r="M396" s="262">
        <v>17.06471857</v>
      </c>
      <c r="N396" s="262">
        <v>17.06471857</v>
      </c>
    </row>
    <row r="397" spans="1:14" x14ac:dyDescent="0.25">
      <c r="A397" s="262">
        <v>13075</v>
      </c>
      <c r="B397" s="262" t="s">
        <v>432</v>
      </c>
      <c r="C397" s="262" t="s">
        <v>459</v>
      </c>
      <c r="D397" s="262">
        <v>-83.446711199999996</v>
      </c>
      <c r="E397" s="262">
        <v>31.148879999999998</v>
      </c>
      <c r="M397" s="262">
        <v>19.30339889</v>
      </c>
      <c r="N397" s="262">
        <v>19.30339889</v>
      </c>
    </row>
    <row r="398" spans="1:14" x14ac:dyDescent="0.25">
      <c r="A398" s="262">
        <v>13077</v>
      </c>
      <c r="B398" s="262" t="s">
        <v>432</v>
      </c>
      <c r="C398" s="262" t="s">
        <v>460</v>
      </c>
      <c r="D398" s="262">
        <v>-84.777442600000001</v>
      </c>
      <c r="E398" s="262">
        <v>33.343679999999999</v>
      </c>
      <c r="M398" s="262">
        <v>16.951540130000001</v>
      </c>
      <c r="N398" s="262">
        <v>16.951540130000001</v>
      </c>
    </row>
    <row r="399" spans="1:14" x14ac:dyDescent="0.25">
      <c r="A399" s="262">
        <v>13079</v>
      </c>
      <c r="B399" s="262" t="s">
        <v>432</v>
      </c>
      <c r="C399" s="262" t="s">
        <v>210</v>
      </c>
      <c r="D399" s="262">
        <v>-83.993981000000005</v>
      </c>
      <c r="E399" s="262">
        <v>32.723939999999999</v>
      </c>
      <c r="M399" s="262">
        <v>17.655257200000001</v>
      </c>
      <c r="N399" s="262">
        <v>17.655257200000001</v>
      </c>
    </row>
    <row r="400" spans="1:14" x14ac:dyDescent="0.25">
      <c r="A400" s="262">
        <v>13081</v>
      </c>
      <c r="B400" s="262" t="s">
        <v>432</v>
      </c>
      <c r="C400" s="262" t="s">
        <v>461</v>
      </c>
      <c r="D400" s="262">
        <v>-83.808347600000005</v>
      </c>
      <c r="E400" s="262">
        <v>31.916620000000002</v>
      </c>
      <c r="M400" s="262">
        <v>18.483692619999999</v>
      </c>
      <c r="N400" s="262">
        <v>18.483692619999999</v>
      </c>
    </row>
    <row r="401" spans="1:14" x14ac:dyDescent="0.25">
      <c r="A401" s="262">
        <v>13083</v>
      </c>
      <c r="B401" s="262" t="s">
        <v>432</v>
      </c>
      <c r="C401" s="262" t="s">
        <v>462</v>
      </c>
      <c r="D401" s="262">
        <v>-85.503516099999999</v>
      </c>
      <c r="E401" s="262">
        <v>34.840719999999997</v>
      </c>
      <c r="M401" s="262">
        <v>15.707988889999999</v>
      </c>
      <c r="N401" s="262">
        <v>15.707988889999999</v>
      </c>
    </row>
    <row r="402" spans="1:14" x14ac:dyDescent="0.25">
      <c r="A402" s="262">
        <v>13085</v>
      </c>
      <c r="B402" s="262" t="s">
        <v>432</v>
      </c>
      <c r="C402" s="262" t="s">
        <v>463</v>
      </c>
      <c r="D402" s="262">
        <v>-84.177809499999995</v>
      </c>
      <c r="E402" s="262">
        <v>34.432850000000002</v>
      </c>
      <c r="M402" s="262">
        <v>15.313133130000001</v>
      </c>
      <c r="N402" s="262">
        <v>15.313133130000001</v>
      </c>
    </row>
    <row r="403" spans="1:14" x14ac:dyDescent="0.25">
      <c r="A403" s="262">
        <v>13087</v>
      </c>
      <c r="B403" s="262" t="s">
        <v>432</v>
      </c>
      <c r="C403" s="262" t="s">
        <v>464</v>
      </c>
      <c r="D403" s="262">
        <v>-84.584413900000001</v>
      </c>
      <c r="E403" s="262">
        <v>30.874220000000001</v>
      </c>
      <c r="M403" s="262">
        <v>19.387503290000001</v>
      </c>
      <c r="N403" s="262">
        <v>19.387503290000001</v>
      </c>
    </row>
    <row r="404" spans="1:14" x14ac:dyDescent="0.25">
      <c r="A404" s="262">
        <v>13089</v>
      </c>
      <c r="B404" s="262" t="s">
        <v>432</v>
      </c>
      <c r="C404" s="262" t="s">
        <v>137</v>
      </c>
      <c r="D404" s="262">
        <v>-84.234349399999999</v>
      </c>
      <c r="E404" s="262">
        <v>33.765970000000003</v>
      </c>
      <c r="M404" s="262">
        <v>16.416201470000001</v>
      </c>
      <c r="N404" s="262">
        <v>16.416201470000001</v>
      </c>
    </row>
    <row r="405" spans="1:14" x14ac:dyDescent="0.25">
      <c r="A405" s="262">
        <v>13091</v>
      </c>
      <c r="B405" s="262" t="s">
        <v>432</v>
      </c>
      <c r="C405" s="262" t="s">
        <v>465</v>
      </c>
      <c r="D405" s="262">
        <v>-83.197408899999999</v>
      </c>
      <c r="E405" s="262">
        <v>32.169150000000002</v>
      </c>
      <c r="M405" s="262">
        <v>18.237352810000001</v>
      </c>
      <c r="N405" s="262">
        <v>18.237352810000001</v>
      </c>
    </row>
    <row r="406" spans="1:14" x14ac:dyDescent="0.25">
      <c r="A406" s="262">
        <v>13093</v>
      </c>
      <c r="B406" s="262" t="s">
        <v>432</v>
      </c>
      <c r="C406" s="262" t="s">
        <v>466</v>
      </c>
      <c r="D406" s="262">
        <v>-83.829433300000005</v>
      </c>
      <c r="E406" s="262">
        <v>32.148069999999997</v>
      </c>
      <c r="M406" s="262">
        <v>18.24531254</v>
      </c>
      <c r="N406" s="262">
        <v>18.24531254</v>
      </c>
    </row>
    <row r="407" spans="1:14" x14ac:dyDescent="0.25">
      <c r="A407" s="262">
        <v>13095</v>
      </c>
      <c r="B407" s="262" t="s">
        <v>432</v>
      </c>
      <c r="C407" s="262" t="s">
        <v>467</v>
      </c>
      <c r="D407" s="262">
        <v>-84.235789600000004</v>
      </c>
      <c r="E407" s="262">
        <v>31.5184</v>
      </c>
      <c r="M407" s="262">
        <v>18.814328329999999</v>
      </c>
      <c r="N407" s="262">
        <v>18.814328329999999</v>
      </c>
    </row>
    <row r="408" spans="1:14" x14ac:dyDescent="0.25">
      <c r="A408" s="262">
        <v>13097</v>
      </c>
      <c r="B408" s="262" t="s">
        <v>432</v>
      </c>
      <c r="C408" s="262" t="s">
        <v>330</v>
      </c>
      <c r="D408" s="262">
        <v>-84.771095500000001</v>
      </c>
      <c r="E408" s="262">
        <v>33.687739999999998</v>
      </c>
      <c r="M408" s="262">
        <v>16.566186739999999</v>
      </c>
      <c r="N408" s="262">
        <v>16.566186739999999</v>
      </c>
    </row>
    <row r="409" spans="1:14" x14ac:dyDescent="0.25">
      <c r="A409" s="262">
        <v>13099</v>
      </c>
      <c r="B409" s="262" t="s">
        <v>432</v>
      </c>
      <c r="C409" s="262" t="s">
        <v>468</v>
      </c>
      <c r="D409" s="262">
        <v>-84.918937400000004</v>
      </c>
      <c r="E409" s="262">
        <v>31.314330000000002</v>
      </c>
      <c r="M409" s="262">
        <v>18.8777334</v>
      </c>
      <c r="N409" s="262">
        <v>18.8777334</v>
      </c>
    </row>
    <row r="410" spans="1:14" x14ac:dyDescent="0.25">
      <c r="A410" s="262">
        <v>13101</v>
      </c>
      <c r="B410" s="262" t="s">
        <v>432</v>
      </c>
      <c r="C410" s="262" t="s">
        <v>469</v>
      </c>
      <c r="D410" s="262">
        <v>-82.902095099999997</v>
      </c>
      <c r="E410" s="262">
        <v>30.70186</v>
      </c>
      <c r="M410" s="262">
        <v>19.885519299999999</v>
      </c>
      <c r="N410" s="262">
        <v>19.885519299999999</v>
      </c>
    </row>
    <row r="411" spans="1:14" x14ac:dyDescent="0.25">
      <c r="A411" s="262">
        <v>13103</v>
      </c>
      <c r="B411" s="262" t="s">
        <v>432</v>
      </c>
      <c r="C411" s="262" t="s">
        <v>470</v>
      </c>
      <c r="D411" s="262">
        <v>-81.340249600000007</v>
      </c>
      <c r="E411" s="262">
        <v>32.371810000000004</v>
      </c>
      <c r="M411" s="262">
        <v>18.0362145</v>
      </c>
      <c r="N411" s="262">
        <v>18.0362145</v>
      </c>
    </row>
    <row r="412" spans="1:14" x14ac:dyDescent="0.25">
      <c r="A412" s="262">
        <v>13105</v>
      </c>
      <c r="B412" s="262" t="s">
        <v>432</v>
      </c>
      <c r="C412" s="262" t="s">
        <v>332</v>
      </c>
      <c r="D412" s="262">
        <v>-82.838635300000007</v>
      </c>
      <c r="E412" s="262">
        <v>34.112209999999997</v>
      </c>
      <c r="M412" s="262">
        <v>16.1497548</v>
      </c>
      <c r="N412" s="262">
        <v>16.1497548</v>
      </c>
    </row>
    <row r="413" spans="1:14" x14ac:dyDescent="0.25">
      <c r="A413" s="262">
        <v>13107</v>
      </c>
      <c r="B413" s="262" t="s">
        <v>432</v>
      </c>
      <c r="C413" s="262" t="s">
        <v>471</v>
      </c>
      <c r="D413" s="262">
        <v>-82.320177000000001</v>
      </c>
      <c r="E413" s="262">
        <v>32.60248</v>
      </c>
      <c r="M413" s="262">
        <v>17.746516020000001</v>
      </c>
      <c r="N413" s="262">
        <v>17.746516020000001</v>
      </c>
    </row>
    <row r="414" spans="1:14" x14ac:dyDescent="0.25">
      <c r="A414" s="262">
        <v>13109</v>
      </c>
      <c r="B414" s="262" t="s">
        <v>432</v>
      </c>
      <c r="C414" s="262" t="s">
        <v>472</v>
      </c>
      <c r="D414" s="262">
        <v>-81.891527300000007</v>
      </c>
      <c r="E414" s="262">
        <v>32.162300000000002</v>
      </c>
      <c r="M414" s="262">
        <v>18.243954460000001</v>
      </c>
      <c r="N414" s="262">
        <v>18.243954460000001</v>
      </c>
    </row>
    <row r="415" spans="1:14" x14ac:dyDescent="0.25">
      <c r="A415" s="262">
        <v>13111</v>
      </c>
      <c r="B415" s="262" t="s">
        <v>432</v>
      </c>
      <c r="C415" s="262" t="s">
        <v>473</v>
      </c>
      <c r="D415" s="262">
        <v>-84.336043799999999</v>
      </c>
      <c r="E415" s="262">
        <v>34.856250000000003</v>
      </c>
      <c r="M415" s="262">
        <v>14.745899379999999</v>
      </c>
      <c r="N415" s="262">
        <v>14.745899379999999</v>
      </c>
    </row>
    <row r="416" spans="1:14" x14ac:dyDescent="0.25">
      <c r="A416" s="262">
        <v>13113</v>
      </c>
      <c r="B416" s="262" t="s">
        <v>432</v>
      </c>
      <c r="C416" s="262" t="s">
        <v>141</v>
      </c>
      <c r="D416" s="262">
        <v>-84.511464200000006</v>
      </c>
      <c r="E416" s="262">
        <v>33.402189999999997</v>
      </c>
      <c r="M416" s="262">
        <v>16.893812910000001</v>
      </c>
      <c r="N416" s="262">
        <v>16.893812910000001</v>
      </c>
    </row>
    <row r="417" spans="1:14" x14ac:dyDescent="0.25">
      <c r="A417" s="262">
        <v>13115</v>
      </c>
      <c r="B417" s="262" t="s">
        <v>432</v>
      </c>
      <c r="C417" s="262" t="s">
        <v>474</v>
      </c>
      <c r="D417" s="262">
        <v>-85.225453000000002</v>
      </c>
      <c r="E417" s="262">
        <v>34.247450000000001</v>
      </c>
      <c r="M417" s="262">
        <v>16.033383919999999</v>
      </c>
      <c r="N417" s="262">
        <v>16.033383919999999</v>
      </c>
    </row>
    <row r="418" spans="1:14" x14ac:dyDescent="0.25">
      <c r="A418" s="262">
        <v>13117</v>
      </c>
      <c r="B418" s="262" t="s">
        <v>432</v>
      </c>
      <c r="C418" s="262" t="s">
        <v>475</v>
      </c>
      <c r="D418" s="262">
        <v>-84.135727299999999</v>
      </c>
      <c r="E418" s="262">
        <v>34.226419999999997</v>
      </c>
      <c r="M418" s="262">
        <v>15.657832519999999</v>
      </c>
      <c r="N418" s="262">
        <v>15.657832519999999</v>
      </c>
    </row>
    <row r="419" spans="1:14" x14ac:dyDescent="0.25">
      <c r="A419" s="262">
        <v>13119</v>
      </c>
      <c r="B419" s="262" t="s">
        <v>432</v>
      </c>
      <c r="C419" s="262" t="s">
        <v>142</v>
      </c>
      <c r="D419" s="262">
        <v>-83.229423600000004</v>
      </c>
      <c r="E419" s="262">
        <v>34.376669999999997</v>
      </c>
      <c r="M419" s="262">
        <v>15.40675983</v>
      </c>
      <c r="N419" s="262">
        <v>15.40675983</v>
      </c>
    </row>
    <row r="420" spans="1:14" x14ac:dyDescent="0.25">
      <c r="A420" s="262">
        <v>13121</v>
      </c>
      <c r="B420" s="262" t="s">
        <v>432</v>
      </c>
      <c r="C420" s="262" t="s">
        <v>216</v>
      </c>
      <c r="D420" s="262">
        <v>-84.467529600000006</v>
      </c>
      <c r="E420" s="262">
        <v>33.794840000000001</v>
      </c>
      <c r="M420" s="262">
        <v>16.384183480000001</v>
      </c>
      <c r="N420" s="262">
        <v>16.384183480000001</v>
      </c>
    </row>
    <row r="421" spans="1:14" x14ac:dyDescent="0.25">
      <c r="A421" s="262">
        <v>13123</v>
      </c>
      <c r="B421" s="262" t="s">
        <v>432</v>
      </c>
      <c r="C421" s="262" t="s">
        <v>476</v>
      </c>
      <c r="D421" s="262">
        <v>-84.464897899999997</v>
      </c>
      <c r="E421" s="262">
        <v>34.675750000000001</v>
      </c>
      <c r="M421" s="262">
        <v>15.151341349999999</v>
      </c>
      <c r="N421" s="262">
        <v>15.151341349999999</v>
      </c>
    </row>
    <row r="422" spans="1:14" x14ac:dyDescent="0.25">
      <c r="A422" s="262">
        <v>13125</v>
      </c>
      <c r="B422" s="262" t="s">
        <v>432</v>
      </c>
      <c r="C422" s="262" t="s">
        <v>477</v>
      </c>
      <c r="D422" s="262">
        <v>-82.626746600000004</v>
      </c>
      <c r="E422" s="262">
        <v>33.224829999999997</v>
      </c>
      <c r="M422" s="262">
        <v>17.264021670000002</v>
      </c>
      <c r="N422" s="262">
        <v>17.264021670000002</v>
      </c>
    </row>
    <row r="423" spans="1:14" x14ac:dyDescent="0.25">
      <c r="A423" s="262">
        <v>13127</v>
      </c>
      <c r="B423" s="262" t="s">
        <v>432</v>
      </c>
      <c r="C423" s="262" t="s">
        <v>478</v>
      </c>
      <c r="D423" s="262">
        <v>-81.592168400000006</v>
      </c>
      <c r="E423" s="262">
        <v>31.242380000000001</v>
      </c>
      <c r="M423" s="262">
        <v>19.460666249999999</v>
      </c>
      <c r="N423" s="262">
        <v>19.460666249999999</v>
      </c>
    </row>
    <row r="424" spans="1:14" x14ac:dyDescent="0.25">
      <c r="A424" s="262">
        <v>13129</v>
      </c>
      <c r="B424" s="262" t="s">
        <v>432</v>
      </c>
      <c r="C424" s="262" t="s">
        <v>479</v>
      </c>
      <c r="D424" s="262">
        <v>-84.8919329</v>
      </c>
      <c r="E424" s="262">
        <v>34.491720000000001</v>
      </c>
      <c r="M424" s="262">
        <v>15.69635366</v>
      </c>
      <c r="N424" s="262">
        <v>15.69635366</v>
      </c>
    </row>
    <row r="425" spans="1:14" x14ac:dyDescent="0.25">
      <c r="A425" s="262">
        <v>13131</v>
      </c>
      <c r="B425" s="262" t="s">
        <v>432</v>
      </c>
      <c r="C425" s="262" t="s">
        <v>480</v>
      </c>
      <c r="D425" s="262">
        <v>-84.243045800000004</v>
      </c>
      <c r="E425" s="262">
        <v>30.870149999999999</v>
      </c>
      <c r="M425" s="262">
        <v>19.447772180000001</v>
      </c>
      <c r="N425" s="262">
        <v>19.447772180000001</v>
      </c>
    </row>
    <row r="426" spans="1:14" x14ac:dyDescent="0.25">
      <c r="A426" s="262">
        <v>13133</v>
      </c>
      <c r="B426" s="262" t="s">
        <v>432</v>
      </c>
      <c r="C426" s="262" t="s">
        <v>144</v>
      </c>
      <c r="D426" s="262">
        <v>-83.170513600000007</v>
      </c>
      <c r="E426" s="262">
        <v>33.57358</v>
      </c>
      <c r="M426" s="262">
        <v>16.841914389999999</v>
      </c>
      <c r="N426" s="262">
        <v>16.841914389999999</v>
      </c>
    </row>
    <row r="427" spans="1:14" x14ac:dyDescent="0.25">
      <c r="A427" s="262">
        <v>13135</v>
      </c>
      <c r="B427" s="262" t="s">
        <v>432</v>
      </c>
      <c r="C427" s="262" t="s">
        <v>481</v>
      </c>
      <c r="D427" s="262">
        <v>-84.033399099999997</v>
      </c>
      <c r="E427" s="262">
        <v>33.949159999999999</v>
      </c>
      <c r="M427" s="262">
        <v>16.106399849999999</v>
      </c>
      <c r="N427" s="262">
        <v>16.106399849999999</v>
      </c>
    </row>
    <row r="428" spans="1:14" x14ac:dyDescent="0.25">
      <c r="A428" s="262">
        <v>13137</v>
      </c>
      <c r="B428" s="262" t="s">
        <v>432</v>
      </c>
      <c r="C428" s="262" t="s">
        <v>482</v>
      </c>
      <c r="D428" s="262">
        <v>-83.5345868</v>
      </c>
      <c r="E428" s="262">
        <v>34.625570000000003</v>
      </c>
      <c r="M428" s="262">
        <v>14.739304300000001</v>
      </c>
      <c r="N428" s="262">
        <v>14.739304300000001</v>
      </c>
    </row>
    <row r="429" spans="1:14" x14ac:dyDescent="0.25">
      <c r="A429" s="262">
        <v>13139</v>
      </c>
      <c r="B429" s="262" t="s">
        <v>432</v>
      </c>
      <c r="C429" s="262" t="s">
        <v>483</v>
      </c>
      <c r="D429" s="262">
        <v>-83.829342999999994</v>
      </c>
      <c r="E429" s="262">
        <v>34.30856</v>
      </c>
      <c r="M429" s="262">
        <v>15.440053280000001</v>
      </c>
      <c r="N429" s="262">
        <v>15.440053280000001</v>
      </c>
    </row>
    <row r="430" spans="1:14" x14ac:dyDescent="0.25">
      <c r="A430" s="262">
        <v>13141</v>
      </c>
      <c r="B430" s="262" t="s">
        <v>432</v>
      </c>
      <c r="C430" s="262" t="s">
        <v>484</v>
      </c>
      <c r="D430" s="262">
        <v>-83.009019199999997</v>
      </c>
      <c r="E430" s="262">
        <v>33.26634</v>
      </c>
      <c r="M430" s="262">
        <v>17.19979056</v>
      </c>
      <c r="N430" s="262">
        <v>17.19979056</v>
      </c>
    </row>
    <row r="431" spans="1:14" x14ac:dyDescent="0.25">
      <c r="A431" s="262">
        <v>13143</v>
      </c>
      <c r="B431" s="262" t="s">
        <v>432</v>
      </c>
      <c r="C431" s="262" t="s">
        <v>485</v>
      </c>
      <c r="D431" s="262">
        <v>-85.219874899999994</v>
      </c>
      <c r="E431" s="262">
        <v>33.790790000000001</v>
      </c>
      <c r="M431" s="262">
        <v>16.468310809999998</v>
      </c>
      <c r="N431" s="262">
        <v>16.468310809999998</v>
      </c>
    </row>
    <row r="432" spans="1:14" x14ac:dyDescent="0.25">
      <c r="A432" s="262">
        <v>13145</v>
      </c>
      <c r="B432" s="262" t="s">
        <v>432</v>
      </c>
      <c r="C432" s="262" t="s">
        <v>486</v>
      </c>
      <c r="D432" s="262">
        <v>-84.915663600000002</v>
      </c>
      <c r="E432" s="262">
        <v>32.730939999999997</v>
      </c>
      <c r="M432" s="262">
        <v>17.513344150000002</v>
      </c>
      <c r="N432" s="262">
        <v>17.513344150000002</v>
      </c>
    </row>
    <row r="433" spans="1:14" x14ac:dyDescent="0.25">
      <c r="A433" s="262">
        <v>13147</v>
      </c>
      <c r="B433" s="262" t="s">
        <v>432</v>
      </c>
      <c r="C433" s="262" t="s">
        <v>487</v>
      </c>
      <c r="D433" s="262">
        <v>-82.965784099999993</v>
      </c>
      <c r="E433" s="262">
        <v>34.350769999999997</v>
      </c>
      <c r="M433" s="262">
        <v>15.63384445</v>
      </c>
      <c r="N433" s="262">
        <v>15.63384445</v>
      </c>
    </row>
    <row r="434" spans="1:14" x14ac:dyDescent="0.25">
      <c r="A434" s="262">
        <v>13149</v>
      </c>
      <c r="B434" s="262" t="s">
        <v>432</v>
      </c>
      <c r="C434" s="262" t="s">
        <v>488</v>
      </c>
      <c r="D434" s="262">
        <v>-85.136686999999995</v>
      </c>
      <c r="E434" s="262">
        <v>33.288760000000003</v>
      </c>
      <c r="M434" s="262">
        <v>16.94272672</v>
      </c>
      <c r="N434" s="262">
        <v>16.94272672</v>
      </c>
    </row>
    <row r="435" spans="1:14" x14ac:dyDescent="0.25">
      <c r="A435" s="262">
        <v>13151</v>
      </c>
      <c r="B435" s="262" t="s">
        <v>432</v>
      </c>
      <c r="C435" s="262" t="s">
        <v>146</v>
      </c>
      <c r="D435" s="262">
        <v>-84.159861100000001</v>
      </c>
      <c r="E435" s="262">
        <v>33.449080000000002</v>
      </c>
      <c r="M435" s="262">
        <v>16.871933420000001</v>
      </c>
      <c r="N435" s="262">
        <v>16.871933420000001</v>
      </c>
    </row>
    <row r="436" spans="1:14" x14ac:dyDescent="0.25">
      <c r="A436" s="262">
        <v>13153</v>
      </c>
      <c r="B436" s="262" t="s">
        <v>432</v>
      </c>
      <c r="C436" s="262" t="s">
        <v>147</v>
      </c>
      <c r="D436" s="262">
        <v>-83.692902000000004</v>
      </c>
      <c r="E436" s="262">
        <v>32.45937</v>
      </c>
      <c r="M436" s="262">
        <v>17.935500749999999</v>
      </c>
      <c r="N436" s="262">
        <v>17.935500749999999</v>
      </c>
    </row>
    <row r="437" spans="1:14" x14ac:dyDescent="0.25">
      <c r="A437" s="262">
        <v>13155</v>
      </c>
      <c r="B437" s="262" t="s">
        <v>432</v>
      </c>
      <c r="C437" s="262" t="s">
        <v>489</v>
      </c>
      <c r="D437" s="262">
        <v>-83.308949799999994</v>
      </c>
      <c r="E437" s="262">
        <v>31.600529999999999</v>
      </c>
      <c r="M437" s="262">
        <v>18.842065510000001</v>
      </c>
      <c r="N437" s="262">
        <v>18.842065510000001</v>
      </c>
    </row>
    <row r="438" spans="1:14" x14ac:dyDescent="0.25">
      <c r="A438" s="262">
        <v>13157</v>
      </c>
      <c r="B438" s="262" t="s">
        <v>432</v>
      </c>
      <c r="C438" s="262" t="s">
        <v>148</v>
      </c>
      <c r="D438" s="262">
        <v>-83.563801299999994</v>
      </c>
      <c r="E438" s="262">
        <v>34.128880000000002</v>
      </c>
      <c r="M438" s="262">
        <v>15.80144127</v>
      </c>
      <c r="N438" s="262">
        <v>15.80144127</v>
      </c>
    </row>
    <row r="439" spans="1:14" x14ac:dyDescent="0.25">
      <c r="A439" s="262">
        <v>13159</v>
      </c>
      <c r="B439" s="262" t="s">
        <v>432</v>
      </c>
      <c r="C439" s="262" t="s">
        <v>490</v>
      </c>
      <c r="D439" s="262">
        <v>-83.694635300000002</v>
      </c>
      <c r="E439" s="262">
        <v>33.314100000000003</v>
      </c>
      <c r="M439" s="262">
        <v>17.047775569999999</v>
      </c>
      <c r="N439" s="262">
        <v>17.047775569999999</v>
      </c>
    </row>
    <row r="440" spans="1:14" x14ac:dyDescent="0.25">
      <c r="A440" s="262">
        <v>13161</v>
      </c>
      <c r="B440" s="262" t="s">
        <v>432</v>
      </c>
      <c r="C440" s="262" t="s">
        <v>491</v>
      </c>
      <c r="D440" s="262">
        <v>-82.653136000000003</v>
      </c>
      <c r="E440" s="262">
        <v>31.79541</v>
      </c>
      <c r="M440" s="262">
        <v>18.675527670000001</v>
      </c>
      <c r="N440" s="262">
        <v>18.675527670000001</v>
      </c>
    </row>
    <row r="441" spans="1:14" x14ac:dyDescent="0.25">
      <c r="A441" s="262">
        <v>13163</v>
      </c>
      <c r="B441" s="262" t="s">
        <v>432</v>
      </c>
      <c r="C441" s="262" t="s">
        <v>149</v>
      </c>
      <c r="D441" s="262">
        <v>-82.427113700000007</v>
      </c>
      <c r="E441" s="262">
        <v>33.060360000000003</v>
      </c>
      <c r="M441" s="262">
        <v>17.404247300000002</v>
      </c>
      <c r="N441" s="262">
        <v>17.404247300000002</v>
      </c>
    </row>
    <row r="442" spans="1:14" x14ac:dyDescent="0.25">
      <c r="A442" s="262">
        <v>13165</v>
      </c>
      <c r="B442" s="262" t="s">
        <v>432</v>
      </c>
      <c r="C442" s="262" t="s">
        <v>492</v>
      </c>
      <c r="D442" s="262">
        <v>-81.972637500000005</v>
      </c>
      <c r="E442" s="262">
        <v>32.796619999999997</v>
      </c>
      <c r="M442" s="262">
        <v>17.600561710000001</v>
      </c>
      <c r="N442" s="262">
        <v>17.600561710000001</v>
      </c>
    </row>
    <row r="443" spans="1:14" x14ac:dyDescent="0.25">
      <c r="A443" s="262">
        <v>13167</v>
      </c>
      <c r="B443" s="262" t="s">
        <v>432</v>
      </c>
      <c r="C443" s="262" t="s">
        <v>224</v>
      </c>
      <c r="D443" s="262">
        <v>-82.683336999999995</v>
      </c>
      <c r="E443" s="262">
        <v>32.709490000000002</v>
      </c>
      <c r="M443" s="262">
        <v>17.67444656</v>
      </c>
      <c r="N443" s="262">
        <v>17.67444656</v>
      </c>
    </row>
    <row r="444" spans="1:14" x14ac:dyDescent="0.25">
      <c r="A444" s="262">
        <v>13169</v>
      </c>
      <c r="B444" s="262" t="s">
        <v>432</v>
      </c>
      <c r="C444" s="262" t="s">
        <v>493</v>
      </c>
      <c r="D444" s="262">
        <v>-83.567150600000005</v>
      </c>
      <c r="E444" s="262">
        <v>33.030369999999998</v>
      </c>
      <c r="M444" s="262">
        <v>17.37386656</v>
      </c>
      <c r="N444" s="262">
        <v>17.37386656</v>
      </c>
    </row>
    <row r="445" spans="1:14" x14ac:dyDescent="0.25">
      <c r="A445" s="262">
        <v>13171</v>
      </c>
      <c r="B445" s="262" t="s">
        <v>432</v>
      </c>
      <c r="C445" s="262" t="s">
        <v>150</v>
      </c>
      <c r="D445" s="262">
        <v>-84.162271799999999</v>
      </c>
      <c r="E445" s="262">
        <v>33.067900000000002</v>
      </c>
      <c r="M445" s="262">
        <v>17.297430769999998</v>
      </c>
      <c r="N445" s="262">
        <v>17.297430769999998</v>
      </c>
    </row>
    <row r="446" spans="1:14" x14ac:dyDescent="0.25">
      <c r="A446" s="262">
        <v>13173</v>
      </c>
      <c r="B446" s="262" t="s">
        <v>432</v>
      </c>
      <c r="C446" s="262" t="s">
        <v>494</v>
      </c>
      <c r="D446" s="262">
        <v>-83.061781300000007</v>
      </c>
      <c r="E446" s="262">
        <v>31.018550000000001</v>
      </c>
      <c r="M446" s="262">
        <v>19.50088345</v>
      </c>
      <c r="N446" s="262">
        <v>19.50088345</v>
      </c>
    </row>
    <row r="447" spans="1:14" x14ac:dyDescent="0.25">
      <c r="A447" s="262">
        <v>13175</v>
      </c>
      <c r="B447" s="262" t="s">
        <v>432</v>
      </c>
      <c r="C447" s="262" t="s">
        <v>495</v>
      </c>
      <c r="D447" s="262">
        <v>-82.943524199999999</v>
      </c>
      <c r="E447" s="262">
        <v>32.463120000000004</v>
      </c>
      <c r="M447" s="262">
        <v>17.92915678</v>
      </c>
      <c r="N447" s="262">
        <v>17.92915678</v>
      </c>
    </row>
    <row r="448" spans="1:14" x14ac:dyDescent="0.25">
      <c r="A448" s="262">
        <v>13177</v>
      </c>
      <c r="B448" s="262" t="s">
        <v>432</v>
      </c>
      <c r="C448" s="262" t="s">
        <v>153</v>
      </c>
      <c r="D448" s="262">
        <v>-84.173830800000005</v>
      </c>
      <c r="E448" s="262">
        <v>31.772559999999999</v>
      </c>
      <c r="M448" s="262">
        <v>18.58204035</v>
      </c>
      <c r="N448" s="262">
        <v>18.58204035</v>
      </c>
    </row>
    <row r="449" spans="1:14" x14ac:dyDescent="0.25">
      <c r="A449" s="262">
        <v>13179</v>
      </c>
      <c r="B449" s="262" t="s">
        <v>432</v>
      </c>
      <c r="C449" s="262" t="s">
        <v>410</v>
      </c>
      <c r="D449" s="262">
        <v>-81.495869999999996</v>
      </c>
      <c r="E449" s="262">
        <v>31.829730000000001</v>
      </c>
      <c r="M449" s="262">
        <v>18.69321339</v>
      </c>
      <c r="N449" s="262">
        <v>18.69321339</v>
      </c>
    </row>
    <row r="450" spans="1:14" x14ac:dyDescent="0.25">
      <c r="A450" s="262">
        <v>13181</v>
      </c>
      <c r="B450" s="262" t="s">
        <v>432</v>
      </c>
      <c r="C450" s="262" t="s">
        <v>226</v>
      </c>
      <c r="D450" s="262">
        <v>-82.456553099999994</v>
      </c>
      <c r="E450" s="262">
        <v>33.788690000000003</v>
      </c>
      <c r="M450" s="262">
        <v>16.787939099999999</v>
      </c>
      <c r="N450" s="262">
        <v>16.787939099999999</v>
      </c>
    </row>
    <row r="451" spans="1:14" x14ac:dyDescent="0.25">
      <c r="A451" s="262">
        <v>13183</v>
      </c>
      <c r="B451" s="262" t="s">
        <v>432</v>
      </c>
      <c r="C451" s="262" t="s">
        <v>496</v>
      </c>
      <c r="D451" s="262">
        <v>-81.760169500000003</v>
      </c>
      <c r="E451" s="262">
        <v>31.764420000000001</v>
      </c>
      <c r="M451" s="262">
        <v>18.769846220000002</v>
      </c>
      <c r="N451" s="262">
        <v>18.769846220000002</v>
      </c>
    </row>
    <row r="452" spans="1:14" x14ac:dyDescent="0.25">
      <c r="A452" s="262">
        <v>13185</v>
      </c>
      <c r="B452" s="262" t="s">
        <v>432</v>
      </c>
      <c r="C452" s="262" t="s">
        <v>155</v>
      </c>
      <c r="D452" s="262">
        <v>-83.278775300000007</v>
      </c>
      <c r="E452" s="262">
        <v>30.828109999999999</v>
      </c>
      <c r="M452" s="262">
        <v>19.66555413</v>
      </c>
      <c r="N452" s="262">
        <v>19.66555413</v>
      </c>
    </row>
    <row r="453" spans="1:14" x14ac:dyDescent="0.25">
      <c r="A453" s="262">
        <v>13187</v>
      </c>
      <c r="B453" s="262" t="s">
        <v>432</v>
      </c>
      <c r="C453" s="262" t="s">
        <v>497</v>
      </c>
      <c r="D453" s="262">
        <v>-84.011308799999995</v>
      </c>
      <c r="E453" s="262">
        <v>34.565159999999999</v>
      </c>
      <c r="M453" s="262">
        <v>14.975480689999999</v>
      </c>
      <c r="N453" s="262">
        <v>14.975480689999999</v>
      </c>
    </row>
    <row r="454" spans="1:14" x14ac:dyDescent="0.25">
      <c r="A454" s="262">
        <v>13189</v>
      </c>
      <c r="B454" s="262" t="s">
        <v>432</v>
      </c>
      <c r="C454" s="262" t="s">
        <v>498</v>
      </c>
      <c r="D454" s="262">
        <v>-82.493003799999997</v>
      </c>
      <c r="E454" s="262">
        <v>33.483359999999998</v>
      </c>
      <c r="M454" s="262">
        <v>17.059988359999998</v>
      </c>
      <c r="N454" s="262">
        <v>17.059988359999998</v>
      </c>
    </row>
    <row r="455" spans="1:14" x14ac:dyDescent="0.25">
      <c r="A455" s="262">
        <v>13191</v>
      </c>
      <c r="B455" s="262" t="s">
        <v>432</v>
      </c>
      <c r="C455" s="262" t="s">
        <v>499</v>
      </c>
      <c r="D455" s="262">
        <v>-81.425065000000004</v>
      </c>
      <c r="E455" s="262">
        <v>31.51613</v>
      </c>
      <c r="M455" s="262">
        <v>19.102029959999999</v>
      </c>
      <c r="N455" s="262">
        <v>19.102029959999999</v>
      </c>
    </row>
    <row r="456" spans="1:14" x14ac:dyDescent="0.25">
      <c r="A456" s="262">
        <v>13193</v>
      </c>
      <c r="B456" s="262" t="s">
        <v>432</v>
      </c>
      <c r="C456" s="262" t="s">
        <v>156</v>
      </c>
      <c r="D456" s="262">
        <v>-84.057538500000007</v>
      </c>
      <c r="E456" s="262">
        <v>32.345820000000003</v>
      </c>
      <c r="M456" s="262">
        <v>18.023675829999998</v>
      </c>
      <c r="N456" s="262">
        <v>18.023675829999998</v>
      </c>
    </row>
    <row r="457" spans="1:14" x14ac:dyDescent="0.25">
      <c r="A457" s="262">
        <v>13195</v>
      </c>
      <c r="B457" s="262" t="s">
        <v>432</v>
      </c>
      <c r="C457" s="262" t="s">
        <v>157</v>
      </c>
      <c r="D457" s="262">
        <v>-83.208859399999994</v>
      </c>
      <c r="E457" s="262">
        <v>34.12923</v>
      </c>
      <c r="M457" s="262">
        <v>15.905920099999999</v>
      </c>
      <c r="N457" s="262">
        <v>15.905920099999999</v>
      </c>
    </row>
    <row r="458" spans="1:14" x14ac:dyDescent="0.25">
      <c r="A458" s="262">
        <v>13197</v>
      </c>
      <c r="B458" s="262" t="s">
        <v>432</v>
      </c>
      <c r="C458" s="262" t="s">
        <v>159</v>
      </c>
      <c r="D458" s="262">
        <v>-84.533906999999999</v>
      </c>
      <c r="E458" s="262">
        <v>32.34563</v>
      </c>
      <c r="M458" s="262">
        <v>17.949226240000002</v>
      </c>
      <c r="N458" s="262">
        <v>17.949226240000002</v>
      </c>
    </row>
    <row r="459" spans="1:14" x14ac:dyDescent="0.25">
      <c r="A459" s="262">
        <v>13199</v>
      </c>
      <c r="B459" s="262" t="s">
        <v>432</v>
      </c>
      <c r="C459" s="262" t="s">
        <v>500</v>
      </c>
      <c r="D459" s="262">
        <v>-84.699775900000006</v>
      </c>
      <c r="E459" s="262">
        <v>33.035330000000002</v>
      </c>
      <c r="M459" s="262">
        <v>17.27327571</v>
      </c>
      <c r="N459" s="262">
        <v>17.27327571</v>
      </c>
    </row>
    <row r="460" spans="1:14" x14ac:dyDescent="0.25">
      <c r="A460" s="262">
        <v>13201</v>
      </c>
      <c r="B460" s="262" t="s">
        <v>432</v>
      </c>
      <c r="C460" s="262" t="s">
        <v>230</v>
      </c>
      <c r="D460" s="262">
        <v>-84.742432800000003</v>
      </c>
      <c r="E460" s="262">
        <v>31.153880000000001</v>
      </c>
      <c r="M460" s="262">
        <v>19.08106458</v>
      </c>
      <c r="N460" s="262">
        <v>19.08106458</v>
      </c>
    </row>
    <row r="461" spans="1:14" x14ac:dyDescent="0.25">
      <c r="A461" s="262">
        <v>13205</v>
      </c>
      <c r="B461" s="262" t="s">
        <v>432</v>
      </c>
      <c r="C461" s="262" t="s">
        <v>501</v>
      </c>
      <c r="D461" s="262">
        <v>-84.213202800000005</v>
      </c>
      <c r="E461" s="262">
        <v>31.21219</v>
      </c>
      <c r="M461" s="262">
        <v>19.12046282</v>
      </c>
      <c r="N461" s="262">
        <v>19.12046282</v>
      </c>
    </row>
    <row r="462" spans="1:14" x14ac:dyDescent="0.25">
      <c r="A462" s="262">
        <v>13207</v>
      </c>
      <c r="B462" s="262" t="s">
        <v>432</v>
      </c>
      <c r="C462" s="262" t="s">
        <v>162</v>
      </c>
      <c r="D462" s="262">
        <v>-83.933845599999998</v>
      </c>
      <c r="E462" s="262">
        <v>33.015500000000003</v>
      </c>
      <c r="M462" s="262">
        <v>17.37300785</v>
      </c>
      <c r="N462" s="262">
        <v>17.37300785</v>
      </c>
    </row>
    <row r="463" spans="1:14" x14ac:dyDescent="0.25">
      <c r="A463" s="262">
        <v>13209</v>
      </c>
      <c r="B463" s="262" t="s">
        <v>432</v>
      </c>
      <c r="C463" s="262" t="s">
        <v>163</v>
      </c>
      <c r="D463" s="262">
        <v>-82.540790299999998</v>
      </c>
      <c r="E463" s="262">
        <v>32.171909999999997</v>
      </c>
      <c r="M463" s="262">
        <v>18.196327490000002</v>
      </c>
      <c r="N463" s="262">
        <v>18.196327490000002</v>
      </c>
    </row>
    <row r="464" spans="1:14" x14ac:dyDescent="0.25">
      <c r="A464" s="262">
        <v>13211</v>
      </c>
      <c r="B464" s="262" t="s">
        <v>432</v>
      </c>
      <c r="C464" s="262" t="s">
        <v>164</v>
      </c>
      <c r="D464" s="262">
        <v>-83.4973928</v>
      </c>
      <c r="E464" s="262">
        <v>33.587220000000002</v>
      </c>
      <c r="M464" s="262">
        <v>16.73419118</v>
      </c>
      <c r="N464" s="262">
        <v>16.73419118</v>
      </c>
    </row>
    <row r="465" spans="1:14" x14ac:dyDescent="0.25">
      <c r="A465" s="262">
        <v>13213</v>
      </c>
      <c r="B465" s="262" t="s">
        <v>432</v>
      </c>
      <c r="C465" s="262" t="s">
        <v>502</v>
      </c>
      <c r="D465" s="262">
        <v>-84.763189600000004</v>
      </c>
      <c r="E465" s="262">
        <v>34.780180000000001</v>
      </c>
      <c r="M465" s="262">
        <v>15.302649860000001</v>
      </c>
      <c r="N465" s="262">
        <v>15.302649860000001</v>
      </c>
    </row>
    <row r="466" spans="1:14" x14ac:dyDescent="0.25">
      <c r="A466" s="262">
        <v>13215</v>
      </c>
      <c r="B466" s="262" t="s">
        <v>432</v>
      </c>
      <c r="C466" s="262" t="s">
        <v>503</v>
      </c>
      <c r="D466" s="262">
        <v>-84.877151999999995</v>
      </c>
      <c r="E466" s="262">
        <v>32.503700000000002</v>
      </c>
      <c r="M466" s="262">
        <v>17.730765439999999</v>
      </c>
      <c r="N466" s="262">
        <v>17.730765439999999</v>
      </c>
    </row>
    <row r="467" spans="1:14" x14ac:dyDescent="0.25">
      <c r="A467" s="262">
        <v>13217</v>
      </c>
      <c r="B467" s="262" t="s">
        <v>432</v>
      </c>
      <c r="C467" s="262" t="s">
        <v>233</v>
      </c>
      <c r="D467" s="262">
        <v>-83.856456499999993</v>
      </c>
      <c r="E467" s="262">
        <v>33.555660000000003</v>
      </c>
      <c r="M467" s="262">
        <v>16.729254019999999</v>
      </c>
      <c r="N467" s="262">
        <v>16.729254019999999</v>
      </c>
    </row>
    <row r="468" spans="1:14" x14ac:dyDescent="0.25">
      <c r="A468" s="262">
        <v>13219</v>
      </c>
      <c r="B468" s="262" t="s">
        <v>432</v>
      </c>
      <c r="C468" s="262" t="s">
        <v>504</v>
      </c>
      <c r="D468" s="262">
        <v>-83.444363699999997</v>
      </c>
      <c r="E468" s="262">
        <v>33.830159999999999</v>
      </c>
      <c r="M468" s="262">
        <v>16.373413790000001</v>
      </c>
      <c r="N468" s="262">
        <v>16.373413790000001</v>
      </c>
    </row>
    <row r="469" spans="1:14" x14ac:dyDescent="0.25">
      <c r="A469" s="262">
        <v>13221</v>
      </c>
      <c r="B469" s="262" t="s">
        <v>432</v>
      </c>
      <c r="C469" s="262" t="s">
        <v>505</v>
      </c>
      <c r="D469" s="262">
        <v>-83.091728700000004</v>
      </c>
      <c r="E469" s="262">
        <v>33.877290000000002</v>
      </c>
      <c r="M469" s="262">
        <v>16.405662970000002</v>
      </c>
      <c r="N469" s="262">
        <v>16.405662970000002</v>
      </c>
    </row>
    <row r="470" spans="1:14" x14ac:dyDescent="0.25">
      <c r="A470" s="262">
        <v>13223</v>
      </c>
      <c r="B470" s="262" t="s">
        <v>432</v>
      </c>
      <c r="C470" s="262" t="s">
        <v>506</v>
      </c>
      <c r="D470" s="262">
        <v>-84.877675699999998</v>
      </c>
      <c r="E470" s="262">
        <v>33.91093</v>
      </c>
      <c r="M470" s="262">
        <v>16.311286899999999</v>
      </c>
      <c r="N470" s="262">
        <v>16.311286899999999</v>
      </c>
    </row>
    <row r="471" spans="1:14" x14ac:dyDescent="0.25">
      <c r="A471" s="262">
        <v>13225</v>
      </c>
      <c r="B471" s="262" t="s">
        <v>432</v>
      </c>
      <c r="C471" s="262" t="s">
        <v>507</v>
      </c>
      <c r="D471" s="262">
        <v>-83.833660199999997</v>
      </c>
      <c r="E471" s="262">
        <v>32.574289999999998</v>
      </c>
      <c r="M471" s="262">
        <v>17.814880420000001</v>
      </c>
      <c r="N471" s="262">
        <v>17.814880420000001</v>
      </c>
    </row>
    <row r="472" spans="1:14" x14ac:dyDescent="0.25">
      <c r="A472" s="262">
        <v>13227</v>
      </c>
      <c r="B472" s="262" t="s">
        <v>432</v>
      </c>
      <c r="C472" s="262" t="s">
        <v>166</v>
      </c>
      <c r="D472" s="262">
        <v>-84.478805100000002</v>
      </c>
      <c r="E472" s="262">
        <v>34.456890000000001</v>
      </c>
      <c r="M472" s="262">
        <v>15.459941669999999</v>
      </c>
      <c r="N472" s="262">
        <v>15.459941669999999</v>
      </c>
    </row>
    <row r="473" spans="1:14" x14ac:dyDescent="0.25">
      <c r="A473" s="262">
        <v>13229</v>
      </c>
      <c r="B473" s="262" t="s">
        <v>432</v>
      </c>
      <c r="C473" s="262" t="s">
        <v>508</v>
      </c>
      <c r="D473" s="262">
        <v>-82.237952000000007</v>
      </c>
      <c r="E473" s="262">
        <v>31.353850000000001</v>
      </c>
      <c r="M473" s="262">
        <v>19.244475340000001</v>
      </c>
      <c r="N473" s="262">
        <v>19.244475340000001</v>
      </c>
    </row>
    <row r="474" spans="1:14" x14ac:dyDescent="0.25">
      <c r="A474" s="262">
        <v>13231</v>
      </c>
      <c r="B474" s="262" t="s">
        <v>432</v>
      </c>
      <c r="C474" s="262" t="s">
        <v>167</v>
      </c>
      <c r="D474" s="262">
        <v>-84.405194100000003</v>
      </c>
      <c r="E474" s="262">
        <v>33.079889999999999</v>
      </c>
      <c r="M474" s="262">
        <v>17.255097410000001</v>
      </c>
      <c r="N474" s="262">
        <v>17.255097410000001</v>
      </c>
    </row>
    <row r="475" spans="1:14" x14ac:dyDescent="0.25">
      <c r="A475" s="262">
        <v>13233</v>
      </c>
      <c r="B475" s="262" t="s">
        <v>432</v>
      </c>
      <c r="C475" s="262" t="s">
        <v>237</v>
      </c>
      <c r="D475" s="262">
        <v>-85.195455800000005</v>
      </c>
      <c r="E475" s="262">
        <v>33.996769999999998</v>
      </c>
      <c r="M475" s="262">
        <v>16.259276620000001</v>
      </c>
      <c r="N475" s="262">
        <v>16.259276620000001</v>
      </c>
    </row>
    <row r="476" spans="1:14" x14ac:dyDescent="0.25">
      <c r="A476" s="262">
        <v>13235</v>
      </c>
      <c r="B476" s="262" t="s">
        <v>432</v>
      </c>
      <c r="C476" s="262" t="s">
        <v>240</v>
      </c>
      <c r="D476" s="262">
        <v>-83.5173621</v>
      </c>
      <c r="E476" s="262">
        <v>32.228000000000002</v>
      </c>
      <c r="M476" s="262">
        <v>18.177867670000001</v>
      </c>
      <c r="N476" s="262">
        <v>18.177867670000001</v>
      </c>
    </row>
    <row r="477" spans="1:14" x14ac:dyDescent="0.25">
      <c r="A477" s="262">
        <v>13237</v>
      </c>
      <c r="B477" s="262" t="s">
        <v>432</v>
      </c>
      <c r="C477" s="262" t="s">
        <v>421</v>
      </c>
      <c r="D477" s="262">
        <v>-83.377544299999997</v>
      </c>
      <c r="E477" s="262">
        <v>33.321539999999999</v>
      </c>
      <c r="M477" s="262">
        <v>17.082426649999999</v>
      </c>
      <c r="N477" s="262">
        <v>17.082426649999999</v>
      </c>
    </row>
    <row r="478" spans="1:14" x14ac:dyDescent="0.25">
      <c r="A478" s="262">
        <v>13239</v>
      </c>
      <c r="B478" s="262" t="s">
        <v>432</v>
      </c>
      <c r="C478" s="262" t="s">
        <v>509</v>
      </c>
      <c r="D478" s="262">
        <v>-85.028075400000006</v>
      </c>
      <c r="E478" s="262">
        <v>31.854710000000001</v>
      </c>
      <c r="M478" s="262">
        <v>18.31831223</v>
      </c>
      <c r="N478" s="262">
        <v>18.31831223</v>
      </c>
    </row>
    <row r="479" spans="1:14" x14ac:dyDescent="0.25">
      <c r="A479" s="262">
        <v>13241</v>
      </c>
      <c r="B479" s="262" t="s">
        <v>432</v>
      </c>
      <c r="C479" s="262" t="s">
        <v>510</v>
      </c>
      <c r="D479" s="262">
        <v>-83.414379699999998</v>
      </c>
      <c r="E479" s="262">
        <v>34.87885</v>
      </c>
      <c r="M479" s="262">
        <v>14.176084749999999</v>
      </c>
      <c r="N479" s="262">
        <v>14.176084749999999</v>
      </c>
    </row>
    <row r="480" spans="1:14" x14ac:dyDescent="0.25">
      <c r="A480" s="262">
        <v>13243</v>
      </c>
      <c r="B480" s="262" t="s">
        <v>432</v>
      </c>
      <c r="C480" s="262" t="s">
        <v>168</v>
      </c>
      <c r="D480" s="262">
        <v>-84.760423799999998</v>
      </c>
      <c r="E480" s="262">
        <v>31.75271</v>
      </c>
      <c r="M480" s="262">
        <v>18.500247869999999</v>
      </c>
      <c r="N480" s="262">
        <v>18.500247869999999</v>
      </c>
    </row>
    <row r="481" spans="1:14" x14ac:dyDescent="0.25">
      <c r="A481" s="262">
        <v>13245</v>
      </c>
      <c r="B481" s="262" t="s">
        <v>432</v>
      </c>
      <c r="C481" s="262" t="s">
        <v>511</v>
      </c>
      <c r="D481" s="262">
        <v>-82.083290399999996</v>
      </c>
      <c r="E481" s="262">
        <v>33.360010000000003</v>
      </c>
      <c r="M481" s="262">
        <v>17.234798739999999</v>
      </c>
      <c r="N481" s="262">
        <v>17.234798739999999</v>
      </c>
    </row>
    <row r="482" spans="1:14" x14ac:dyDescent="0.25">
      <c r="A482" s="262">
        <v>13247</v>
      </c>
      <c r="B482" s="262" t="s">
        <v>432</v>
      </c>
      <c r="C482" s="262" t="s">
        <v>512</v>
      </c>
      <c r="D482" s="262">
        <v>-84.034896900000007</v>
      </c>
      <c r="E482" s="262">
        <v>33.649729999999998</v>
      </c>
      <c r="M482" s="262">
        <v>16.582277080000001</v>
      </c>
      <c r="N482" s="262">
        <v>16.582277080000001</v>
      </c>
    </row>
    <row r="483" spans="1:14" x14ac:dyDescent="0.25">
      <c r="A483" s="262">
        <v>13249</v>
      </c>
      <c r="B483" s="262" t="s">
        <v>432</v>
      </c>
      <c r="C483" s="262" t="s">
        <v>513</v>
      </c>
      <c r="D483" s="262">
        <v>-84.339140999999998</v>
      </c>
      <c r="E483" s="262">
        <v>32.254620000000003</v>
      </c>
      <c r="M483" s="262">
        <v>18.081517900000001</v>
      </c>
      <c r="N483" s="262">
        <v>18.081517900000001</v>
      </c>
    </row>
    <row r="484" spans="1:14" x14ac:dyDescent="0.25">
      <c r="A484" s="262">
        <v>13251</v>
      </c>
      <c r="B484" s="262" t="s">
        <v>432</v>
      </c>
      <c r="C484" s="262" t="s">
        <v>514</v>
      </c>
      <c r="D484" s="262">
        <v>-81.617148700000001</v>
      </c>
      <c r="E484" s="262">
        <v>32.756909999999998</v>
      </c>
      <c r="M484" s="262">
        <v>17.634850660000001</v>
      </c>
      <c r="N484" s="262">
        <v>17.634850660000001</v>
      </c>
    </row>
    <row r="485" spans="1:14" x14ac:dyDescent="0.25">
      <c r="A485" s="262">
        <v>13253</v>
      </c>
      <c r="B485" s="262" t="s">
        <v>432</v>
      </c>
      <c r="C485" s="262" t="s">
        <v>426</v>
      </c>
      <c r="D485" s="262">
        <v>-84.880193899999995</v>
      </c>
      <c r="E485" s="262">
        <v>30.93366</v>
      </c>
      <c r="M485" s="262">
        <v>19.265100230000002</v>
      </c>
      <c r="N485" s="262">
        <v>19.265100230000002</v>
      </c>
    </row>
    <row r="486" spans="1:14" x14ac:dyDescent="0.25">
      <c r="A486" s="262">
        <v>13255</v>
      </c>
      <c r="B486" s="262" t="s">
        <v>432</v>
      </c>
      <c r="C486" s="262" t="s">
        <v>515</v>
      </c>
      <c r="D486" s="262">
        <v>-84.296456500000005</v>
      </c>
      <c r="E486" s="262">
        <v>33.253869999999999</v>
      </c>
      <c r="M486" s="262">
        <v>17.097348390000001</v>
      </c>
      <c r="N486" s="262">
        <v>17.097348390000001</v>
      </c>
    </row>
    <row r="487" spans="1:14" x14ac:dyDescent="0.25">
      <c r="A487" s="262">
        <v>13257</v>
      </c>
      <c r="B487" s="262" t="s">
        <v>432</v>
      </c>
      <c r="C487" s="262" t="s">
        <v>516</v>
      </c>
      <c r="D487" s="262">
        <v>-83.294122999999999</v>
      </c>
      <c r="E487" s="262">
        <v>34.554400000000001</v>
      </c>
      <c r="M487" s="262">
        <v>14.97471206</v>
      </c>
      <c r="N487" s="262">
        <v>14.97471206</v>
      </c>
    </row>
    <row r="488" spans="1:14" x14ac:dyDescent="0.25">
      <c r="A488" s="262">
        <v>13259</v>
      </c>
      <c r="B488" s="262" t="s">
        <v>432</v>
      </c>
      <c r="C488" s="262" t="s">
        <v>517</v>
      </c>
      <c r="D488" s="262">
        <v>-84.850703199999998</v>
      </c>
      <c r="E488" s="262">
        <v>32.070599999999999</v>
      </c>
      <c r="M488" s="262">
        <v>18.150913790000001</v>
      </c>
      <c r="N488" s="262">
        <v>18.150913790000001</v>
      </c>
    </row>
    <row r="489" spans="1:14" x14ac:dyDescent="0.25">
      <c r="A489" s="262">
        <v>13261</v>
      </c>
      <c r="B489" s="262" t="s">
        <v>432</v>
      </c>
      <c r="C489" s="262" t="s">
        <v>172</v>
      </c>
      <c r="D489" s="262">
        <v>-84.226081300000004</v>
      </c>
      <c r="E489" s="262">
        <v>32.039319999999996</v>
      </c>
      <c r="M489" s="262">
        <v>18.306186830000001</v>
      </c>
      <c r="N489" s="262">
        <v>18.306186830000001</v>
      </c>
    </row>
    <row r="490" spans="1:14" x14ac:dyDescent="0.25">
      <c r="A490" s="262">
        <v>13263</v>
      </c>
      <c r="B490" s="262" t="s">
        <v>432</v>
      </c>
      <c r="C490" s="262" t="s">
        <v>518</v>
      </c>
      <c r="D490" s="262">
        <v>-84.541236999999995</v>
      </c>
      <c r="E490" s="262">
        <v>32.69753</v>
      </c>
      <c r="M490" s="262">
        <v>17.611512019999999</v>
      </c>
      <c r="N490" s="262">
        <v>17.611512019999999</v>
      </c>
    </row>
    <row r="491" spans="1:14" x14ac:dyDescent="0.25">
      <c r="A491" s="262">
        <v>13265</v>
      </c>
      <c r="B491" s="262" t="s">
        <v>432</v>
      </c>
      <c r="C491" s="262" t="s">
        <v>519</v>
      </c>
      <c r="D491" s="262">
        <v>-82.886680799999993</v>
      </c>
      <c r="E491" s="262">
        <v>33.562890000000003</v>
      </c>
      <c r="M491" s="262">
        <v>16.908503530000001</v>
      </c>
      <c r="N491" s="262">
        <v>16.908503530000001</v>
      </c>
    </row>
    <row r="492" spans="1:14" x14ac:dyDescent="0.25">
      <c r="A492" s="262">
        <v>13267</v>
      </c>
      <c r="B492" s="262" t="s">
        <v>432</v>
      </c>
      <c r="C492" s="262" t="s">
        <v>520</v>
      </c>
      <c r="D492" s="262">
        <v>-82.070564099999999</v>
      </c>
      <c r="E492" s="262">
        <v>32.04551</v>
      </c>
      <c r="M492" s="262">
        <v>18.377152760000001</v>
      </c>
      <c r="N492" s="262">
        <v>18.377152760000001</v>
      </c>
    </row>
    <row r="493" spans="1:14" x14ac:dyDescent="0.25">
      <c r="A493" s="262">
        <v>13269</v>
      </c>
      <c r="B493" s="262" t="s">
        <v>432</v>
      </c>
      <c r="C493" s="262" t="s">
        <v>428</v>
      </c>
      <c r="D493" s="262">
        <v>-84.248693299999999</v>
      </c>
      <c r="E493" s="262">
        <v>32.551180000000002</v>
      </c>
      <c r="M493" s="262">
        <v>17.795239609999999</v>
      </c>
      <c r="N493" s="262">
        <v>17.795239609999999</v>
      </c>
    </row>
    <row r="494" spans="1:14" x14ac:dyDescent="0.25">
      <c r="A494" s="262">
        <v>13271</v>
      </c>
      <c r="B494" s="262" t="s">
        <v>432</v>
      </c>
      <c r="C494" s="262" t="s">
        <v>521</v>
      </c>
      <c r="D494" s="262">
        <v>-82.963843699999998</v>
      </c>
      <c r="E494" s="262">
        <v>31.921410000000002</v>
      </c>
      <c r="M494" s="262">
        <v>18.504460770000001</v>
      </c>
      <c r="N494" s="262">
        <v>18.504460770000001</v>
      </c>
    </row>
    <row r="495" spans="1:14" x14ac:dyDescent="0.25">
      <c r="A495" s="262">
        <v>13273</v>
      </c>
      <c r="B495" s="262" t="s">
        <v>432</v>
      </c>
      <c r="C495" s="262" t="s">
        <v>522</v>
      </c>
      <c r="D495" s="262">
        <v>-84.451694599999996</v>
      </c>
      <c r="E495" s="262">
        <v>31.769909999999999</v>
      </c>
      <c r="M495" s="262">
        <v>18.531006770000001</v>
      </c>
      <c r="N495" s="262">
        <v>18.531006770000001</v>
      </c>
    </row>
    <row r="496" spans="1:14" x14ac:dyDescent="0.25">
      <c r="A496" s="262">
        <v>13275</v>
      </c>
      <c r="B496" s="262" t="s">
        <v>432</v>
      </c>
      <c r="C496" s="262" t="s">
        <v>523</v>
      </c>
      <c r="D496" s="262">
        <v>-83.936413999999999</v>
      </c>
      <c r="E496" s="262">
        <v>30.858789999999999</v>
      </c>
      <c r="M496" s="262">
        <v>19.525506109999998</v>
      </c>
      <c r="N496" s="262">
        <v>19.525506109999998</v>
      </c>
    </row>
    <row r="497" spans="1:14" x14ac:dyDescent="0.25">
      <c r="A497" s="262">
        <v>13277</v>
      </c>
      <c r="B497" s="262" t="s">
        <v>432</v>
      </c>
      <c r="C497" s="262" t="s">
        <v>524</v>
      </c>
      <c r="D497" s="262">
        <v>-83.549971400000004</v>
      </c>
      <c r="E497" s="262">
        <v>31.451560000000001</v>
      </c>
      <c r="M497" s="262">
        <v>18.98866383</v>
      </c>
      <c r="N497" s="262">
        <v>18.98866383</v>
      </c>
    </row>
    <row r="498" spans="1:14" x14ac:dyDescent="0.25">
      <c r="A498" s="262">
        <v>13279</v>
      </c>
      <c r="B498" s="262" t="s">
        <v>432</v>
      </c>
      <c r="C498" s="262" t="s">
        <v>525</v>
      </c>
      <c r="D498" s="262">
        <v>-82.347680100000005</v>
      </c>
      <c r="E498" s="262">
        <v>32.104509999999998</v>
      </c>
      <c r="M498" s="262">
        <v>18.27751778</v>
      </c>
      <c r="N498" s="262">
        <v>18.27751778</v>
      </c>
    </row>
    <row r="499" spans="1:14" x14ac:dyDescent="0.25">
      <c r="A499" s="262">
        <v>13281</v>
      </c>
      <c r="B499" s="262" t="s">
        <v>432</v>
      </c>
      <c r="C499" s="262" t="s">
        <v>526</v>
      </c>
      <c r="D499" s="262">
        <v>-83.749881000000002</v>
      </c>
      <c r="E499" s="262">
        <v>34.907609999999998</v>
      </c>
      <c r="M499" s="262">
        <v>14.08012244</v>
      </c>
      <c r="N499" s="262">
        <v>14.08012244</v>
      </c>
    </row>
    <row r="500" spans="1:14" x14ac:dyDescent="0.25">
      <c r="A500" s="262">
        <v>13283</v>
      </c>
      <c r="B500" s="262" t="s">
        <v>432</v>
      </c>
      <c r="C500" s="262" t="s">
        <v>527</v>
      </c>
      <c r="D500" s="262">
        <v>-82.571631100000005</v>
      </c>
      <c r="E500" s="262">
        <v>32.397599999999997</v>
      </c>
      <c r="M500" s="262">
        <v>17.94543041</v>
      </c>
      <c r="N500" s="262">
        <v>17.94543041</v>
      </c>
    </row>
    <row r="501" spans="1:14" x14ac:dyDescent="0.25">
      <c r="A501" s="262">
        <v>13285</v>
      </c>
      <c r="B501" s="262" t="s">
        <v>432</v>
      </c>
      <c r="C501" s="262" t="s">
        <v>528</v>
      </c>
      <c r="D501" s="262">
        <v>-85.034502799999999</v>
      </c>
      <c r="E501" s="262">
        <v>33.02413</v>
      </c>
      <c r="M501" s="262">
        <v>17.22585222</v>
      </c>
      <c r="N501" s="262">
        <v>17.22585222</v>
      </c>
    </row>
    <row r="502" spans="1:14" x14ac:dyDescent="0.25">
      <c r="A502" s="262">
        <v>13287</v>
      </c>
      <c r="B502" s="262" t="s">
        <v>432</v>
      </c>
      <c r="C502" s="262" t="s">
        <v>529</v>
      </c>
      <c r="D502" s="262">
        <v>-83.656501800000001</v>
      </c>
      <c r="E502" s="262">
        <v>31.715879999999999</v>
      </c>
      <c r="M502" s="262">
        <v>18.69958046</v>
      </c>
      <c r="N502" s="262">
        <v>18.69958046</v>
      </c>
    </row>
    <row r="503" spans="1:14" x14ac:dyDescent="0.25">
      <c r="A503" s="262">
        <v>13289</v>
      </c>
      <c r="B503" s="262" t="s">
        <v>432</v>
      </c>
      <c r="C503" s="262" t="s">
        <v>530</v>
      </c>
      <c r="D503" s="262">
        <v>-83.452032000000003</v>
      </c>
      <c r="E503" s="262">
        <v>32.673279999999998</v>
      </c>
      <c r="M503" s="262">
        <v>17.734277370000001</v>
      </c>
      <c r="N503" s="262">
        <v>17.734277370000001</v>
      </c>
    </row>
    <row r="504" spans="1:14" x14ac:dyDescent="0.25">
      <c r="A504" s="262">
        <v>13291</v>
      </c>
      <c r="B504" s="262" t="s">
        <v>432</v>
      </c>
      <c r="C504" s="262" t="s">
        <v>249</v>
      </c>
      <c r="D504" s="262">
        <v>-84.003022099999995</v>
      </c>
      <c r="E504" s="262">
        <v>34.828789999999998</v>
      </c>
      <c r="M504" s="262">
        <v>14.44168979</v>
      </c>
      <c r="N504" s="262">
        <v>14.44168979</v>
      </c>
    </row>
    <row r="505" spans="1:14" x14ac:dyDescent="0.25">
      <c r="A505" s="262">
        <v>13293</v>
      </c>
      <c r="B505" s="262" t="s">
        <v>432</v>
      </c>
      <c r="C505" s="262" t="s">
        <v>531</v>
      </c>
      <c r="D505" s="262">
        <v>-84.308317799999998</v>
      </c>
      <c r="E505" s="262">
        <v>32.877589999999998</v>
      </c>
      <c r="M505" s="262">
        <v>17.466961250000001</v>
      </c>
      <c r="N505" s="262">
        <v>17.466961250000001</v>
      </c>
    </row>
    <row r="506" spans="1:14" x14ac:dyDescent="0.25">
      <c r="A506" s="262">
        <v>13295</v>
      </c>
      <c r="B506" s="262" t="s">
        <v>432</v>
      </c>
      <c r="C506" s="262" t="s">
        <v>176</v>
      </c>
      <c r="D506" s="262">
        <v>-85.2984115</v>
      </c>
      <c r="E506" s="262">
        <v>34.72316</v>
      </c>
      <c r="M506" s="262">
        <v>15.72576177</v>
      </c>
      <c r="N506" s="262">
        <v>15.72576177</v>
      </c>
    </row>
    <row r="507" spans="1:14" x14ac:dyDescent="0.25">
      <c r="A507" s="262">
        <v>13297</v>
      </c>
      <c r="B507" s="262" t="s">
        <v>432</v>
      </c>
      <c r="C507" s="262" t="s">
        <v>431</v>
      </c>
      <c r="D507" s="262">
        <v>-83.738883200000004</v>
      </c>
      <c r="E507" s="262">
        <v>33.774819999999998</v>
      </c>
      <c r="M507" s="262">
        <v>16.410502309999998</v>
      </c>
      <c r="N507" s="262">
        <v>16.410502309999998</v>
      </c>
    </row>
    <row r="508" spans="1:14" x14ac:dyDescent="0.25">
      <c r="A508" s="262">
        <v>13299</v>
      </c>
      <c r="B508" s="262" t="s">
        <v>432</v>
      </c>
      <c r="C508" s="262" t="s">
        <v>532</v>
      </c>
      <c r="D508" s="262">
        <v>-82.457389300000003</v>
      </c>
      <c r="E508" s="262">
        <v>31.030259999999998</v>
      </c>
      <c r="M508" s="262">
        <v>19.622461619999999</v>
      </c>
      <c r="N508" s="262">
        <v>19.622461619999999</v>
      </c>
    </row>
    <row r="509" spans="1:14" x14ac:dyDescent="0.25">
      <c r="A509" s="262">
        <v>13301</v>
      </c>
      <c r="B509" s="262" t="s">
        <v>432</v>
      </c>
      <c r="C509" s="262" t="s">
        <v>533</v>
      </c>
      <c r="D509" s="262">
        <v>-82.688459600000002</v>
      </c>
      <c r="E509" s="262">
        <v>33.407400000000003</v>
      </c>
      <c r="M509" s="262">
        <v>17.09453018</v>
      </c>
      <c r="N509" s="262">
        <v>17.09453018</v>
      </c>
    </row>
    <row r="510" spans="1:14" x14ac:dyDescent="0.25">
      <c r="A510" s="262">
        <v>13303</v>
      </c>
      <c r="B510" s="262" t="s">
        <v>432</v>
      </c>
      <c r="C510" s="262" t="s">
        <v>177</v>
      </c>
      <c r="D510" s="262">
        <v>-82.8116536</v>
      </c>
      <c r="E510" s="262">
        <v>32.973280000000003</v>
      </c>
      <c r="M510" s="262">
        <v>17.465893730000001</v>
      </c>
      <c r="N510" s="262">
        <v>17.465893730000001</v>
      </c>
    </row>
    <row r="511" spans="1:14" x14ac:dyDescent="0.25">
      <c r="A511" s="262">
        <v>13305</v>
      </c>
      <c r="B511" s="262" t="s">
        <v>432</v>
      </c>
      <c r="C511" s="262" t="s">
        <v>534</v>
      </c>
      <c r="D511" s="262">
        <v>-81.930840000000003</v>
      </c>
      <c r="E511" s="262">
        <v>31.552350000000001</v>
      </c>
      <c r="M511" s="262">
        <v>19.010680789999999</v>
      </c>
      <c r="N511" s="262">
        <v>19.010680789999999</v>
      </c>
    </row>
    <row r="512" spans="1:14" x14ac:dyDescent="0.25">
      <c r="A512" s="262">
        <v>13307</v>
      </c>
      <c r="B512" s="262" t="s">
        <v>432</v>
      </c>
      <c r="C512" s="262" t="s">
        <v>535</v>
      </c>
      <c r="D512" s="262">
        <v>-84.574322100000003</v>
      </c>
      <c r="E512" s="262">
        <v>32.039079999999998</v>
      </c>
      <c r="M512" s="262">
        <v>18.24133342</v>
      </c>
      <c r="N512" s="262">
        <v>18.24133342</v>
      </c>
    </row>
    <row r="513" spans="1:14" x14ac:dyDescent="0.25">
      <c r="A513" s="262">
        <v>13309</v>
      </c>
      <c r="B513" s="262" t="s">
        <v>432</v>
      </c>
      <c r="C513" s="262" t="s">
        <v>536</v>
      </c>
      <c r="D513" s="262">
        <v>-82.745517100000001</v>
      </c>
      <c r="E513" s="262">
        <v>32.111539999999998</v>
      </c>
      <c r="M513" s="262">
        <v>18.286439510000001</v>
      </c>
      <c r="N513" s="262">
        <v>18.286439510000001</v>
      </c>
    </row>
    <row r="514" spans="1:14" x14ac:dyDescent="0.25">
      <c r="A514" s="262">
        <v>13311</v>
      </c>
      <c r="B514" s="262" t="s">
        <v>432</v>
      </c>
      <c r="C514" s="262" t="s">
        <v>251</v>
      </c>
      <c r="D514" s="262">
        <v>-83.751731800000002</v>
      </c>
      <c r="E514" s="262">
        <v>34.641579999999998</v>
      </c>
      <c r="M514" s="262">
        <v>14.71165467</v>
      </c>
      <c r="N514" s="262">
        <v>14.71165467</v>
      </c>
    </row>
    <row r="515" spans="1:14" x14ac:dyDescent="0.25">
      <c r="A515" s="262">
        <v>13313</v>
      </c>
      <c r="B515" s="262" t="s">
        <v>432</v>
      </c>
      <c r="C515" s="262" t="s">
        <v>537</v>
      </c>
      <c r="D515" s="262">
        <v>-84.971604799999994</v>
      </c>
      <c r="E515" s="262">
        <v>34.796990000000001</v>
      </c>
      <c r="M515" s="262">
        <v>15.50885823</v>
      </c>
      <c r="N515" s="262">
        <v>15.50885823</v>
      </c>
    </row>
    <row r="516" spans="1:14" x14ac:dyDescent="0.25">
      <c r="A516" s="262">
        <v>13315</v>
      </c>
      <c r="B516" s="262" t="s">
        <v>432</v>
      </c>
      <c r="C516" s="262" t="s">
        <v>178</v>
      </c>
      <c r="D516" s="262">
        <v>-83.470903800000002</v>
      </c>
      <c r="E516" s="262">
        <v>31.969460000000002</v>
      </c>
      <c r="M516" s="262">
        <v>18.438405629999998</v>
      </c>
      <c r="N516" s="262">
        <v>18.438405629999998</v>
      </c>
    </row>
    <row r="517" spans="1:14" x14ac:dyDescent="0.25">
      <c r="A517" s="262">
        <v>13317</v>
      </c>
      <c r="B517" s="262" t="s">
        <v>432</v>
      </c>
      <c r="C517" s="262" t="s">
        <v>538</v>
      </c>
      <c r="D517" s="262">
        <v>-82.755557699999997</v>
      </c>
      <c r="E517" s="262">
        <v>33.783769999999997</v>
      </c>
      <c r="M517" s="262">
        <v>16.659314869999999</v>
      </c>
      <c r="N517" s="262">
        <v>16.659314869999999</v>
      </c>
    </row>
    <row r="518" spans="1:14" x14ac:dyDescent="0.25">
      <c r="A518" s="262">
        <v>13319</v>
      </c>
      <c r="B518" s="262" t="s">
        <v>432</v>
      </c>
      <c r="C518" s="262" t="s">
        <v>539</v>
      </c>
      <c r="D518" s="262">
        <v>-83.194991299999998</v>
      </c>
      <c r="E518" s="262">
        <v>32.801049999999996</v>
      </c>
      <c r="M518" s="262">
        <v>17.615691859999998</v>
      </c>
      <c r="N518" s="262">
        <v>17.615691859999998</v>
      </c>
    </row>
    <row r="519" spans="1:14" x14ac:dyDescent="0.25">
      <c r="A519" s="262">
        <v>13321</v>
      </c>
      <c r="B519" s="262" t="s">
        <v>432</v>
      </c>
      <c r="C519" s="262" t="s">
        <v>540</v>
      </c>
      <c r="D519" s="262">
        <v>-83.877706900000007</v>
      </c>
      <c r="E519" s="262">
        <v>31.546340000000001</v>
      </c>
      <c r="M519" s="262">
        <v>18.85083435</v>
      </c>
      <c r="N519" s="262">
        <v>18.85083435</v>
      </c>
    </row>
    <row r="520" spans="1:14" x14ac:dyDescent="0.25">
      <c r="A520" s="262">
        <v>16001</v>
      </c>
      <c r="B520" s="262" t="s">
        <v>541</v>
      </c>
      <c r="C520" s="262" t="s">
        <v>542</v>
      </c>
      <c r="D520" s="262">
        <v>-116.235129</v>
      </c>
      <c r="E520" s="262">
        <v>43.446640000000002</v>
      </c>
      <c r="M520" s="262">
        <v>11.46222246</v>
      </c>
      <c r="N520" s="262">
        <v>11.46222246</v>
      </c>
    </row>
    <row r="521" spans="1:14" x14ac:dyDescent="0.25">
      <c r="A521" s="262">
        <v>16003</v>
      </c>
      <c r="B521" s="262" t="s">
        <v>541</v>
      </c>
      <c r="C521" s="262" t="s">
        <v>312</v>
      </c>
      <c r="D521" s="262">
        <v>-116.444456</v>
      </c>
      <c r="E521" s="262">
        <v>44.892899999999997</v>
      </c>
      <c r="M521" s="262">
        <v>9.5144524260000001</v>
      </c>
      <c r="N521" s="262">
        <v>9.5144524260000001</v>
      </c>
    </row>
    <row r="522" spans="1:14" x14ac:dyDescent="0.25">
      <c r="A522" s="262">
        <v>16005</v>
      </c>
      <c r="B522" s="262" t="s">
        <v>541</v>
      </c>
      <c r="C522" s="262" t="s">
        <v>543</v>
      </c>
      <c r="D522" s="262">
        <v>-112.207724</v>
      </c>
      <c r="E522" s="262">
        <v>42.663170000000001</v>
      </c>
      <c r="M522" s="262">
        <v>9.0762834229999996</v>
      </c>
      <c r="N522" s="262">
        <v>9.0762834229999996</v>
      </c>
    </row>
    <row r="523" spans="1:14" x14ac:dyDescent="0.25">
      <c r="A523" s="262">
        <v>16007</v>
      </c>
      <c r="B523" s="262" t="s">
        <v>541</v>
      </c>
      <c r="C523" s="262" t="s">
        <v>544</v>
      </c>
      <c r="D523" s="262">
        <v>-111.33814700000001</v>
      </c>
      <c r="E523" s="262">
        <v>42.286929999999998</v>
      </c>
      <c r="M523" s="262">
        <v>8.8531323900000007</v>
      </c>
      <c r="N523" s="262">
        <v>8.8531323900000007</v>
      </c>
    </row>
    <row r="524" spans="1:14" x14ac:dyDescent="0.25">
      <c r="A524" s="262">
        <v>16009</v>
      </c>
      <c r="B524" s="262" t="s">
        <v>541</v>
      </c>
      <c r="C524" s="262" t="s">
        <v>545</v>
      </c>
      <c r="D524" s="262">
        <v>-116.640602</v>
      </c>
      <c r="E524" s="262">
        <v>47.204970000000003</v>
      </c>
      <c r="M524" s="262">
        <v>8.9973320250000004</v>
      </c>
      <c r="N524" s="262">
        <v>8.9973320250000004</v>
      </c>
    </row>
    <row r="525" spans="1:14" x14ac:dyDescent="0.25">
      <c r="A525" s="262">
        <v>16011</v>
      </c>
      <c r="B525" s="262" t="s">
        <v>541</v>
      </c>
      <c r="C525" s="262" t="s">
        <v>546</v>
      </c>
      <c r="D525" s="262">
        <v>-112.406569</v>
      </c>
      <c r="E525" s="262">
        <v>43.214530000000003</v>
      </c>
      <c r="M525" s="262">
        <v>8.8144876920000002</v>
      </c>
      <c r="N525" s="262">
        <v>8.8144876920000002</v>
      </c>
    </row>
    <row r="526" spans="1:14" x14ac:dyDescent="0.25">
      <c r="A526" s="262">
        <v>16013</v>
      </c>
      <c r="B526" s="262" t="s">
        <v>541</v>
      </c>
      <c r="C526" s="262" t="s">
        <v>547</v>
      </c>
      <c r="D526" s="262">
        <v>-113.982494</v>
      </c>
      <c r="E526" s="262">
        <v>43.408619999999999</v>
      </c>
      <c r="M526" s="262">
        <v>9.0550557529999995</v>
      </c>
      <c r="N526" s="262">
        <v>9.0550557529999995</v>
      </c>
    </row>
    <row r="527" spans="1:14" x14ac:dyDescent="0.25">
      <c r="A527" s="262">
        <v>16015</v>
      </c>
      <c r="B527" s="262" t="s">
        <v>541</v>
      </c>
      <c r="C527" s="262" t="s">
        <v>548</v>
      </c>
      <c r="D527" s="262">
        <v>-115.71859499999999</v>
      </c>
      <c r="E527" s="262">
        <v>43.983890000000002</v>
      </c>
      <c r="M527" s="262">
        <v>10.352224700000001</v>
      </c>
      <c r="N527" s="262">
        <v>10.352224700000001</v>
      </c>
    </row>
    <row r="528" spans="1:14" x14ac:dyDescent="0.25">
      <c r="A528" s="262">
        <v>16017</v>
      </c>
      <c r="B528" s="262" t="s">
        <v>541</v>
      </c>
      <c r="C528" s="262" t="s">
        <v>549</v>
      </c>
      <c r="D528" s="262">
        <v>-116.597888</v>
      </c>
      <c r="E528" s="262">
        <v>48.29081</v>
      </c>
      <c r="M528" s="262">
        <v>9.3357101839999999</v>
      </c>
      <c r="N528" s="262">
        <v>9.3357101839999999</v>
      </c>
    </row>
    <row r="529" spans="1:14" x14ac:dyDescent="0.25">
      <c r="A529" s="262">
        <v>16019</v>
      </c>
      <c r="B529" s="262" t="s">
        <v>541</v>
      </c>
      <c r="C529" s="262" t="s">
        <v>550</v>
      </c>
      <c r="D529" s="262">
        <v>-111.634546</v>
      </c>
      <c r="E529" s="262">
        <v>43.387149999999998</v>
      </c>
      <c r="M529" s="262">
        <v>8.6042478300000003</v>
      </c>
      <c r="N529" s="262">
        <v>8.6042478300000003</v>
      </c>
    </row>
    <row r="530" spans="1:14" x14ac:dyDescent="0.25">
      <c r="A530" s="262">
        <v>16021</v>
      </c>
      <c r="B530" s="262" t="s">
        <v>541</v>
      </c>
      <c r="C530" s="262" t="s">
        <v>551</v>
      </c>
      <c r="D530" s="262">
        <v>-116.450216</v>
      </c>
      <c r="E530" s="262">
        <v>48.757579999999997</v>
      </c>
      <c r="M530" s="262">
        <v>9.4061002669999993</v>
      </c>
      <c r="N530" s="262">
        <v>9.4061002669999993</v>
      </c>
    </row>
    <row r="531" spans="1:14" x14ac:dyDescent="0.25">
      <c r="A531" s="262">
        <v>16023</v>
      </c>
      <c r="B531" s="262" t="s">
        <v>541</v>
      </c>
      <c r="C531" s="262" t="s">
        <v>258</v>
      </c>
      <c r="D531" s="262">
        <v>-113.16874</v>
      </c>
      <c r="E531" s="262">
        <v>43.721820000000001</v>
      </c>
      <c r="M531" s="262">
        <v>8.5926930559999999</v>
      </c>
      <c r="N531" s="262">
        <v>8.5926930559999999</v>
      </c>
    </row>
    <row r="532" spans="1:14" x14ac:dyDescent="0.25">
      <c r="A532" s="262">
        <v>16025</v>
      </c>
      <c r="B532" s="262" t="s">
        <v>541</v>
      </c>
      <c r="C532" s="262" t="s">
        <v>552</v>
      </c>
      <c r="D532" s="262">
        <v>-114.806881</v>
      </c>
      <c r="E532" s="262">
        <v>43.456119999999999</v>
      </c>
      <c r="M532" s="262">
        <v>9.6087952960000003</v>
      </c>
      <c r="N532" s="262">
        <v>9.6087952960000003</v>
      </c>
    </row>
    <row r="533" spans="1:14" x14ac:dyDescent="0.25">
      <c r="A533" s="262">
        <v>16027</v>
      </c>
      <c r="B533" s="262" t="s">
        <v>541</v>
      </c>
      <c r="C533" s="262" t="s">
        <v>553</v>
      </c>
      <c r="D533" s="262">
        <v>-116.706675</v>
      </c>
      <c r="E533" s="262">
        <v>43.61994</v>
      </c>
      <c r="M533" s="262">
        <v>11.0530765</v>
      </c>
      <c r="N533" s="262">
        <v>11.0530765</v>
      </c>
    </row>
    <row r="534" spans="1:14" x14ac:dyDescent="0.25">
      <c r="A534" s="262">
        <v>16029</v>
      </c>
      <c r="B534" s="262" t="s">
        <v>541</v>
      </c>
      <c r="C534" s="262" t="s">
        <v>554</v>
      </c>
      <c r="D534" s="262">
        <v>-111.56241799999999</v>
      </c>
      <c r="E534" s="262">
        <v>42.778649999999999</v>
      </c>
      <c r="M534" s="262">
        <v>8.8367305770000009</v>
      </c>
      <c r="N534" s="262">
        <v>8.8367305770000009</v>
      </c>
    </row>
    <row r="535" spans="1:14" x14ac:dyDescent="0.25">
      <c r="A535" s="262">
        <v>16031</v>
      </c>
      <c r="B535" s="262" t="s">
        <v>541</v>
      </c>
      <c r="C535" s="262" t="s">
        <v>555</v>
      </c>
      <c r="D535" s="262">
        <v>-113.61808499999999</v>
      </c>
      <c r="E535" s="262">
        <v>42.288870000000003</v>
      </c>
      <c r="M535" s="262">
        <v>8.9607189340000009</v>
      </c>
      <c r="N535" s="262">
        <v>8.9607189340000009</v>
      </c>
    </row>
    <row r="536" spans="1:14" x14ac:dyDescent="0.25">
      <c r="A536" s="262">
        <v>16033</v>
      </c>
      <c r="B536" s="262" t="s">
        <v>541</v>
      </c>
      <c r="C536" s="262" t="s">
        <v>205</v>
      </c>
      <c r="D536" s="262">
        <v>-112.349109</v>
      </c>
      <c r="E536" s="262">
        <v>44.286169999999998</v>
      </c>
      <c r="M536" s="262">
        <v>8.1595919610000003</v>
      </c>
      <c r="N536" s="262">
        <v>8.1595919610000003</v>
      </c>
    </row>
    <row r="537" spans="1:14" x14ac:dyDescent="0.25">
      <c r="A537" s="262">
        <v>16035</v>
      </c>
      <c r="B537" s="262" t="s">
        <v>541</v>
      </c>
      <c r="C537" s="262" t="s">
        <v>556</v>
      </c>
      <c r="D537" s="262">
        <v>-115.623796</v>
      </c>
      <c r="E537" s="262">
        <v>46.661999999999999</v>
      </c>
      <c r="M537" s="262">
        <v>7.7442276400000001</v>
      </c>
      <c r="N537" s="262">
        <v>7.7442276400000001</v>
      </c>
    </row>
    <row r="538" spans="1:14" x14ac:dyDescent="0.25">
      <c r="A538" s="262">
        <v>16037</v>
      </c>
      <c r="B538" s="262" t="s">
        <v>541</v>
      </c>
      <c r="C538" s="262" t="s">
        <v>326</v>
      </c>
      <c r="D538" s="262">
        <v>-114.27579900000001</v>
      </c>
      <c r="E538" s="262">
        <v>44.24098</v>
      </c>
      <c r="M538" s="262">
        <v>8.7188940870000007</v>
      </c>
      <c r="N538" s="262">
        <v>8.7188940870000007</v>
      </c>
    </row>
    <row r="539" spans="1:14" x14ac:dyDescent="0.25">
      <c r="A539" s="262">
        <v>16039</v>
      </c>
      <c r="B539" s="262" t="s">
        <v>541</v>
      </c>
      <c r="C539" s="262" t="s">
        <v>138</v>
      </c>
      <c r="D539" s="262">
        <v>-115.466396</v>
      </c>
      <c r="E539" s="262">
        <v>43.355139999999999</v>
      </c>
      <c r="M539" s="262">
        <v>10.46061856</v>
      </c>
      <c r="N539" s="262">
        <v>10.46061856</v>
      </c>
    </row>
    <row r="540" spans="1:14" x14ac:dyDescent="0.25">
      <c r="A540" s="262">
        <v>16041</v>
      </c>
      <c r="B540" s="262" t="s">
        <v>541</v>
      </c>
      <c r="C540" s="262" t="s">
        <v>142</v>
      </c>
      <c r="D540" s="262">
        <v>-111.819726</v>
      </c>
      <c r="E540" s="262">
        <v>42.180050000000001</v>
      </c>
      <c r="M540" s="262">
        <v>9.0061548909999996</v>
      </c>
      <c r="N540" s="262">
        <v>9.0061548909999996</v>
      </c>
    </row>
    <row r="541" spans="1:14" x14ac:dyDescent="0.25">
      <c r="A541" s="262">
        <v>16043</v>
      </c>
      <c r="B541" s="262" t="s">
        <v>541</v>
      </c>
      <c r="C541" s="262" t="s">
        <v>334</v>
      </c>
      <c r="D541" s="262">
        <v>-111.487364</v>
      </c>
      <c r="E541" s="262">
        <v>44.231409999999997</v>
      </c>
      <c r="M541" s="262">
        <v>8.2033556109999992</v>
      </c>
      <c r="N541" s="262">
        <v>8.2033556109999992</v>
      </c>
    </row>
    <row r="542" spans="1:14" x14ac:dyDescent="0.25">
      <c r="A542" s="262">
        <v>16045</v>
      </c>
      <c r="B542" s="262" t="s">
        <v>541</v>
      </c>
      <c r="C542" s="262" t="s">
        <v>557</v>
      </c>
      <c r="D542" s="262">
        <v>-116.381522</v>
      </c>
      <c r="E542" s="262">
        <v>44.064999999999998</v>
      </c>
      <c r="M542" s="262">
        <v>10.613286860000001</v>
      </c>
      <c r="N542" s="262">
        <v>10.613286860000001</v>
      </c>
    </row>
    <row r="543" spans="1:14" x14ac:dyDescent="0.25">
      <c r="A543" s="262">
        <v>16047</v>
      </c>
      <c r="B543" s="262" t="s">
        <v>541</v>
      </c>
      <c r="C543" s="262" t="s">
        <v>558</v>
      </c>
      <c r="D543" s="262">
        <v>-114.816474</v>
      </c>
      <c r="E543" s="262">
        <v>42.972099999999998</v>
      </c>
      <c r="M543" s="262">
        <v>9.5953004310000001</v>
      </c>
      <c r="N543" s="262">
        <v>9.5953004310000001</v>
      </c>
    </row>
    <row r="544" spans="1:14" x14ac:dyDescent="0.25">
      <c r="A544" s="262">
        <v>16049</v>
      </c>
      <c r="B544" s="262" t="s">
        <v>541</v>
      </c>
      <c r="C544" s="262" t="s">
        <v>559</v>
      </c>
      <c r="D544" s="262">
        <v>-115.46033199999999</v>
      </c>
      <c r="E544" s="262">
        <v>45.831719999999997</v>
      </c>
      <c r="M544" s="262">
        <v>7.8620398309999997</v>
      </c>
      <c r="N544" s="262">
        <v>7.8620398309999997</v>
      </c>
    </row>
    <row r="545" spans="1:14" x14ac:dyDescent="0.25">
      <c r="A545" s="262">
        <v>16051</v>
      </c>
      <c r="B545" s="262" t="s">
        <v>541</v>
      </c>
      <c r="C545" s="262" t="s">
        <v>149</v>
      </c>
      <c r="D545" s="262">
        <v>-112.313137</v>
      </c>
      <c r="E545" s="262">
        <v>43.820709999999998</v>
      </c>
      <c r="M545" s="262">
        <v>8.4500012170000005</v>
      </c>
      <c r="N545" s="262">
        <v>8.4500012170000005</v>
      </c>
    </row>
    <row r="546" spans="1:14" x14ac:dyDescent="0.25">
      <c r="A546" s="262">
        <v>16053</v>
      </c>
      <c r="B546" s="262" t="s">
        <v>541</v>
      </c>
      <c r="C546" s="262" t="s">
        <v>560</v>
      </c>
      <c r="D546" s="262">
        <v>-114.277653</v>
      </c>
      <c r="E546" s="262">
        <v>42.69218</v>
      </c>
      <c r="M546" s="262">
        <v>9.1305590809999995</v>
      </c>
      <c r="N546" s="262">
        <v>9.1305590809999995</v>
      </c>
    </row>
    <row r="547" spans="1:14" x14ac:dyDescent="0.25">
      <c r="A547" s="262">
        <v>16055</v>
      </c>
      <c r="B547" s="262" t="s">
        <v>541</v>
      </c>
      <c r="C547" s="262" t="s">
        <v>561</v>
      </c>
      <c r="D547" s="262">
        <v>-116.685074</v>
      </c>
      <c r="E547" s="262">
        <v>47.65907</v>
      </c>
      <c r="M547" s="262">
        <v>9.1994325450000005</v>
      </c>
      <c r="N547" s="262">
        <v>9.1994325450000005</v>
      </c>
    </row>
    <row r="548" spans="1:14" x14ac:dyDescent="0.25">
      <c r="A548" s="262">
        <v>16057</v>
      </c>
      <c r="B548" s="262" t="s">
        <v>541</v>
      </c>
      <c r="C548" s="262" t="s">
        <v>562</v>
      </c>
      <c r="D548" s="262">
        <v>-116.69539399999999</v>
      </c>
      <c r="E548" s="262">
        <v>46.805680000000002</v>
      </c>
      <c r="M548" s="262">
        <v>8.8946842010000005</v>
      </c>
      <c r="N548" s="262">
        <v>8.8946842010000005</v>
      </c>
    </row>
    <row r="549" spans="1:14" x14ac:dyDescent="0.25">
      <c r="A549" s="262">
        <v>16059</v>
      </c>
      <c r="B549" s="262" t="s">
        <v>541</v>
      </c>
      <c r="C549" s="262" t="s">
        <v>563</v>
      </c>
      <c r="D549" s="262">
        <v>-113.927661</v>
      </c>
      <c r="E549" s="262">
        <v>44.945309999999999</v>
      </c>
      <c r="M549" s="262">
        <v>7.8345381740000004</v>
      </c>
      <c r="N549" s="262">
        <v>7.8345381740000004</v>
      </c>
    </row>
    <row r="550" spans="1:14" x14ac:dyDescent="0.25">
      <c r="A550" s="262">
        <v>16061</v>
      </c>
      <c r="B550" s="262" t="s">
        <v>541</v>
      </c>
      <c r="C550" s="262" t="s">
        <v>564</v>
      </c>
      <c r="D550" s="262">
        <v>-116.413719</v>
      </c>
      <c r="E550" s="262">
        <v>46.229709999999997</v>
      </c>
      <c r="M550" s="262">
        <v>8.5845209160000007</v>
      </c>
      <c r="N550" s="262">
        <v>8.5845209160000007</v>
      </c>
    </row>
    <row r="551" spans="1:14" x14ac:dyDescent="0.25">
      <c r="A551" s="262">
        <v>16063</v>
      </c>
      <c r="B551" s="262" t="s">
        <v>541</v>
      </c>
      <c r="C551" s="262" t="s">
        <v>226</v>
      </c>
      <c r="D551" s="262">
        <v>-114.142976</v>
      </c>
      <c r="E551" s="262">
        <v>43.000329999999998</v>
      </c>
      <c r="M551" s="262">
        <v>9.1465108859999997</v>
      </c>
      <c r="N551" s="262">
        <v>9.1465108859999997</v>
      </c>
    </row>
    <row r="552" spans="1:14" x14ac:dyDescent="0.25">
      <c r="A552" s="262">
        <v>16065</v>
      </c>
      <c r="B552" s="262" t="s">
        <v>541</v>
      </c>
      <c r="C552" s="262" t="s">
        <v>157</v>
      </c>
      <c r="D552" s="262">
        <v>-111.659485</v>
      </c>
      <c r="E552" s="262">
        <v>43.778979999999997</v>
      </c>
      <c r="M552" s="262">
        <v>8.4268920279999993</v>
      </c>
      <c r="N552" s="262">
        <v>8.4268920279999993</v>
      </c>
    </row>
    <row r="553" spans="1:14" x14ac:dyDescent="0.25">
      <c r="A553" s="262">
        <v>16067</v>
      </c>
      <c r="B553" s="262" t="s">
        <v>541</v>
      </c>
      <c r="C553" s="262" t="s">
        <v>565</v>
      </c>
      <c r="D553" s="262">
        <v>-113.640916</v>
      </c>
      <c r="E553" s="262">
        <v>42.857399999999998</v>
      </c>
      <c r="M553" s="262">
        <v>8.9788546230000001</v>
      </c>
      <c r="N553" s="262">
        <v>8.9788546230000001</v>
      </c>
    </row>
    <row r="554" spans="1:14" x14ac:dyDescent="0.25">
      <c r="A554" s="262">
        <v>16069</v>
      </c>
      <c r="B554" s="262" t="s">
        <v>541</v>
      </c>
      <c r="C554" s="262" t="s">
        <v>566</v>
      </c>
      <c r="D554" s="262">
        <v>-116.733199</v>
      </c>
      <c r="E554" s="262">
        <v>46.31906</v>
      </c>
      <c r="M554" s="262">
        <v>8.8280005310000007</v>
      </c>
      <c r="N554" s="262">
        <v>8.8280005310000007</v>
      </c>
    </row>
    <row r="555" spans="1:14" x14ac:dyDescent="0.25">
      <c r="A555" s="262">
        <v>16071</v>
      </c>
      <c r="B555" s="262" t="s">
        <v>541</v>
      </c>
      <c r="C555" s="262" t="s">
        <v>567</v>
      </c>
      <c r="D555" s="262">
        <v>-112.550197</v>
      </c>
      <c r="E555" s="262">
        <v>42.197130000000001</v>
      </c>
      <c r="M555" s="262">
        <v>9.1364518669999999</v>
      </c>
      <c r="N555" s="262">
        <v>9.1364518669999999</v>
      </c>
    </row>
    <row r="556" spans="1:14" x14ac:dyDescent="0.25">
      <c r="A556" s="262">
        <v>16073</v>
      </c>
      <c r="B556" s="262" t="s">
        <v>541</v>
      </c>
      <c r="C556" s="262" t="s">
        <v>568</v>
      </c>
      <c r="D556" s="262">
        <v>-116.17704999999999</v>
      </c>
      <c r="E556" s="262">
        <v>42.588709999999999</v>
      </c>
      <c r="M556" s="262">
        <v>10.317684549999999</v>
      </c>
      <c r="N556" s="262">
        <v>10.317684549999999</v>
      </c>
    </row>
    <row r="557" spans="1:14" x14ac:dyDescent="0.25">
      <c r="A557" s="262">
        <v>16075</v>
      </c>
      <c r="B557" s="262" t="s">
        <v>541</v>
      </c>
      <c r="C557" s="262" t="s">
        <v>569</v>
      </c>
      <c r="D557" s="262">
        <v>-116.751845</v>
      </c>
      <c r="E557" s="262">
        <v>44.0032</v>
      </c>
      <c r="M557" s="262">
        <v>10.59846804</v>
      </c>
      <c r="N557" s="262">
        <v>10.59846804</v>
      </c>
    </row>
    <row r="558" spans="1:14" x14ac:dyDescent="0.25">
      <c r="A558" s="262">
        <v>16077</v>
      </c>
      <c r="B558" s="262" t="s">
        <v>541</v>
      </c>
      <c r="C558" s="262" t="s">
        <v>570</v>
      </c>
      <c r="D558" s="262">
        <v>-112.84191199999999</v>
      </c>
      <c r="E558" s="262">
        <v>42.693669999999997</v>
      </c>
      <c r="M558" s="262">
        <v>9.077724237</v>
      </c>
      <c r="N558" s="262">
        <v>9.077724237</v>
      </c>
    </row>
    <row r="559" spans="1:14" x14ac:dyDescent="0.25">
      <c r="A559" s="262">
        <v>16079</v>
      </c>
      <c r="B559" s="262" t="s">
        <v>541</v>
      </c>
      <c r="C559" s="262" t="s">
        <v>571</v>
      </c>
      <c r="D559" s="262">
        <v>-115.876257</v>
      </c>
      <c r="E559" s="262">
        <v>47.33896</v>
      </c>
      <c r="M559" s="262">
        <v>8.3363290859999992</v>
      </c>
      <c r="N559" s="262">
        <v>8.3363290859999992</v>
      </c>
    </row>
    <row r="560" spans="1:14" x14ac:dyDescent="0.25">
      <c r="A560" s="262">
        <v>16081</v>
      </c>
      <c r="B560" s="262" t="s">
        <v>541</v>
      </c>
      <c r="C560" s="262" t="s">
        <v>572</v>
      </c>
      <c r="D560" s="262">
        <v>-111.219807</v>
      </c>
      <c r="E560" s="262">
        <v>43.754130000000004</v>
      </c>
      <c r="M560" s="262">
        <v>8.4056616300000009</v>
      </c>
      <c r="N560" s="262">
        <v>8.4056616300000009</v>
      </c>
    </row>
    <row r="561" spans="1:14" x14ac:dyDescent="0.25">
      <c r="A561" s="262">
        <v>16083</v>
      </c>
      <c r="B561" s="262" t="s">
        <v>541</v>
      </c>
      <c r="C561" s="262" t="s">
        <v>573</v>
      </c>
      <c r="D561" s="262">
        <v>-114.688532</v>
      </c>
      <c r="E561" s="262">
        <v>42.366010000000003</v>
      </c>
      <c r="M561" s="262">
        <v>9.1047865899999998</v>
      </c>
      <c r="N561" s="262">
        <v>9.1047865899999998</v>
      </c>
    </row>
    <row r="562" spans="1:14" x14ac:dyDescent="0.25">
      <c r="A562" s="262">
        <v>16085</v>
      </c>
      <c r="B562" s="262" t="s">
        <v>541</v>
      </c>
      <c r="C562" s="262" t="s">
        <v>574</v>
      </c>
      <c r="D562" s="262">
        <v>-115.56129799999999</v>
      </c>
      <c r="E562" s="262">
        <v>44.76032</v>
      </c>
      <c r="M562" s="262">
        <v>9.1597574230000003</v>
      </c>
      <c r="N562" s="262">
        <v>9.1597574230000003</v>
      </c>
    </row>
    <row r="563" spans="1:14" x14ac:dyDescent="0.25">
      <c r="A563" s="262">
        <v>16087</v>
      </c>
      <c r="B563" s="262" t="s">
        <v>541</v>
      </c>
      <c r="C563" s="262" t="s">
        <v>177</v>
      </c>
      <c r="D563" s="262">
        <v>-116.77469000000001</v>
      </c>
      <c r="E563" s="262">
        <v>44.451230000000002</v>
      </c>
      <c r="M563" s="262">
        <v>10.03630948</v>
      </c>
      <c r="N563" s="262">
        <v>10.03630948</v>
      </c>
    </row>
    <row r="564" spans="1:14" x14ac:dyDescent="0.25">
      <c r="A564" s="262">
        <v>17001</v>
      </c>
      <c r="B564" s="262" t="s">
        <v>575</v>
      </c>
      <c r="C564" s="262" t="s">
        <v>312</v>
      </c>
      <c r="D564" s="262">
        <v>-91.1867527</v>
      </c>
      <c r="E564" s="262">
        <v>39.988370000000003</v>
      </c>
      <c r="M564" s="262">
        <v>12.77511372</v>
      </c>
      <c r="N564" s="262">
        <v>12.77511372</v>
      </c>
    </row>
    <row r="565" spans="1:14" x14ac:dyDescent="0.25">
      <c r="A565" s="262">
        <v>17003</v>
      </c>
      <c r="B565" s="262" t="s">
        <v>575</v>
      </c>
      <c r="C565" s="262" t="s">
        <v>576</v>
      </c>
      <c r="D565" s="262">
        <v>-89.341408400000006</v>
      </c>
      <c r="E565" s="262">
        <v>37.20664</v>
      </c>
      <c r="M565" s="262">
        <v>14.565234540000001</v>
      </c>
      <c r="N565" s="262">
        <v>14.565234540000001</v>
      </c>
    </row>
    <row r="566" spans="1:14" x14ac:dyDescent="0.25">
      <c r="A566" s="262">
        <v>17005</v>
      </c>
      <c r="B566" s="262" t="s">
        <v>575</v>
      </c>
      <c r="C566" s="262" t="s">
        <v>577</v>
      </c>
      <c r="D566" s="262">
        <v>-89.445813599999994</v>
      </c>
      <c r="E566" s="262">
        <v>38.88588</v>
      </c>
      <c r="M566" s="262">
        <v>13.48170509</v>
      </c>
      <c r="N566" s="262">
        <v>13.48170509</v>
      </c>
    </row>
    <row r="567" spans="1:14" x14ac:dyDescent="0.25">
      <c r="A567" s="262">
        <v>17007</v>
      </c>
      <c r="B567" s="262" t="s">
        <v>575</v>
      </c>
      <c r="C567" s="262" t="s">
        <v>201</v>
      </c>
      <c r="D567" s="262">
        <v>-88.820972299999994</v>
      </c>
      <c r="E567" s="262">
        <v>42.329819999999998</v>
      </c>
      <c r="M567" s="262">
        <v>10.901536180000001</v>
      </c>
      <c r="N567" s="262">
        <v>10.901536180000001</v>
      </c>
    </row>
    <row r="568" spans="1:14" x14ac:dyDescent="0.25">
      <c r="A568" s="262">
        <v>17009</v>
      </c>
      <c r="B568" s="262" t="s">
        <v>575</v>
      </c>
      <c r="C568" s="262" t="s">
        <v>578</v>
      </c>
      <c r="D568" s="262">
        <v>-90.752320900000001</v>
      </c>
      <c r="E568" s="262">
        <v>39.959539999999997</v>
      </c>
      <c r="M568" s="262">
        <v>12.788286579999999</v>
      </c>
      <c r="N568" s="262">
        <v>12.788286579999999</v>
      </c>
    </row>
    <row r="569" spans="1:14" x14ac:dyDescent="0.25">
      <c r="A569" s="262">
        <v>17011</v>
      </c>
      <c r="B569" s="262" t="s">
        <v>575</v>
      </c>
      <c r="C569" s="262" t="s">
        <v>579</v>
      </c>
      <c r="D569" s="262">
        <v>-89.519378099999997</v>
      </c>
      <c r="E569" s="262">
        <v>41.40849</v>
      </c>
      <c r="M569" s="262">
        <v>11.526119250000001</v>
      </c>
      <c r="N569" s="262">
        <v>11.526119250000001</v>
      </c>
    </row>
    <row r="570" spans="1:14" x14ac:dyDescent="0.25">
      <c r="A570" s="262">
        <v>17013</v>
      </c>
      <c r="B570" s="262" t="s">
        <v>575</v>
      </c>
      <c r="C570" s="262" t="s">
        <v>120</v>
      </c>
      <c r="D570" s="262">
        <v>-90.676383099999995</v>
      </c>
      <c r="E570" s="262">
        <v>39.162140000000001</v>
      </c>
      <c r="M570" s="262">
        <v>13.340064310000001</v>
      </c>
      <c r="N570" s="262">
        <v>13.340064310000001</v>
      </c>
    </row>
    <row r="571" spans="1:14" x14ac:dyDescent="0.25">
      <c r="A571" s="262">
        <v>17015</v>
      </c>
      <c r="B571" s="262" t="s">
        <v>575</v>
      </c>
      <c r="C571" s="262" t="s">
        <v>203</v>
      </c>
      <c r="D571" s="262">
        <v>-89.9327136</v>
      </c>
      <c r="E571" s="262">
        <v>42.075119999999998</v>
      </c>
      <c r="M571" s="262">
        <v>11.13530497</v>
      </c>
      <c r="N571" s="262">
        <v>11.13530497</v>
      </c>
    </row>
    <row r="572" spans="1:14" x14ac:dyDescent="0.25">
      <c r="A572" s="262">
        <v>17017</v>
      </c>
      <c r="B572" s="262" t="s">
        <v>575</v>
      </c>
      <c r="C572" s="262" t="s">
        <v>580</v>
      </c>
      <c r="D572" s="262">
        <v>-90.248891900000004</v>
      </c>
      <c r="E572" s="262">
        <v>39.968200000000003</v>
      </c>
      <c r="M572" s="262">
        <v>12.78145192</v>
      </c>
      <c r="N572" s="262">
        <v>12.78145192</v>
      </c>
    </row>
    <row r="573" spans="1:14" x14ac:dyDescent="0.25">
      <c r="A573" s="262">
        <v>17019</v>
      </c>
      <c r="B573" s="262" t="s">
        <v>575</v>
      </c>
      <c r="C573" s="262" t="s">
        <v>581</v>
      </c>
      <c r="D573" s="262">
        <v>-88.205422299999995</v>
      </c>
      <c r="E573" s="262">
        <v>40.130420000000001</v>
      </c>
      <c r="M573" s="262">
        <v>12.47811392</v>
      </c>
      <c r="N573" s="262">
        <v>12.47811392</v>
      </c>
    </row>
    <row r="574" spans="1:14" x14ac:dyDescent="0.25">
      <c r="A574" s="262">
        <v>17021</v>
      </c>
      <c r="B574" s="262" t="s">
        <v>575</v>
      </c>
      <c r="C574" s="262" t="s">
        <v>582</v>
      </c>
      <c r="D574" s="262">
        <v>-89.281791900000002</v>
      </c>
      <c r="E574" s="262">
        <v>39.545990000000003</v>
      </c>
      <c r="M574" s="262">
        <v>13.01004753</v>
      </c>
      <c r="N574" s="262">
        <v>13.01004753</v>
      </c>
    </row>
    <row r="575" spans="1:14" x14ac:dyDescent="0.25">
      <c r="A575" s="262">
        <v>17023</v>
      </c>
      <c r="B575" s="262" t="s">
        <v>575</v>
      </c>
      <c r="C575" s="262" t="s">
        <v>205</v>
      </c>
      <c r="D575" s="262">
        <v>-87.796096500000004</v>
      </c>
      <c r="E575" s="262">
        <v>39.332900000000002</v>
      </c>
      <c r="M575" s="262">
        <v>13.03566698</v>
      </c>
      <c r="N575" s="262">
        <v>13.03566698</v>
      </c>
    </row>
    <row r="576" spans="1:14" x14ac:dyDescent="0.25">
      <c r="A576" s="262">
        <v>17025</v>
      </c>
      <c r="B576" s="262" t="s">
        <v>575</v>
      </c>
      <c r="C576" s="262" t="s">
        <v>126</v>
      </c>
      <c r="D576" s="262">
        <v>-88.4955973</v>
      </c>
      <c r="E576" s="262">
        <v>38.748699999999999</v>
      </c>
      <c r="M576" s="262">
        <v>13.530049699999999</v>
      </c>
      <c r="N576" s="262">
        <v>13.530049699999999</v>
      </c>
    </row>
    <row r="577" spans="1:14" x14ac:dyDescent="0.25">
      <c r="A577" s="262">
        <v>17027</v>
      </c>
      <c r="B577" s="262" t="s">
        <v>575</v>
      </c>
      <c r="C577" s="262" t="s">
        <v>583</v>
      </c>
      <c r="D577" s="262">
        <v>-89.426826399999996</v>
      </c>
      <c r="E577" s="262">
        <v>38.600990000000003</v>
      </c>
      <c r="M577" s="262">
        <v>13.68091096</v>
      </c>
      <c r="N577" s="262">
        <v>13.68091096</v>
      </c>
    </row>
    <row r="578" spans="1:14" x14ac:dyDescent="0.25">
      <c r="A578" s="262">
        <v>17029</v>
      </c>
      <c r="B578" s="262" t="s">
        <v>575</v>
      </c>
      <c r="C578" s="262" t="s">
        <v>584</v>
      </c>
      <c r="D578" s="262">
        <v>-88.226802899999996</v>
      </c>
      <c r="E578" s="262">
        <v>39.519370000000002</v>
      </c>
      <c r="M578" s="262">
        <v>12.9410127</v>
      </c>
      <c r="N578" s="262">
        <v>12.9410127</v>
      </c>
    </row>
    <row r="579" spans="1:14" x14ac:dyDescent="0.25">
      <c r="A579" s="262">
        <v>17031</v>
      </c>
      <c r="B579" s="262" t="s">
        <v>575</v>
      </c>
      <c r="C579" s="262" t="s">
        <v>459</v>
      </c>
      <c r="D579" s="262">
        <v>-87.821180200000001</v>
      </c>
      <c r="E579" s="262">
        <v>41.842959999999998</v>
      </c>
      <c r="M579" s="262">
        <v>11.23756126</v>
      </c>
      <c r="N579" s="262">
        <v>11.23756126</v>
      </c>
    </row>
    <row r="580" spans="1:14" x14ac:dyDescent="0.25">
      <c r="A580" s="262">
        <v>17033</v>
      </c>
      <c r="B580" s="262" t="s">
        <v>575</v>
      </c>
      <c r="C580" s="262" t="s">
        <v>210</v>
      </c>
      <c r="D580" s="262">
        <v>-87.764002199999993</v>
      </c>
      <c r="E580" s="262">
        <v>39.002699999999997</v>
      </c>
      <c r="M580" s="262">
        <v>13.28965157</v>
      </c>
      <c r="N580" s="262">
        <v>13.28965157</v>
      </c>
    </row>
    <row r="581" spans="1:14" x14ac:dyDescent="0.25">
      <c r="A581" s="262">
        <v>17035</v>
      </c>
      <c r="B581" s="262" t="s">
        <v>575</v>
      </c>
      <c r="C581" s="262" t="s">
        <v>585</v>
      </c>
      <c r="D581" s="262">
        <v>-88.245883699999993</v>
      </c>
      <c r="E581" s="262">
        <v>39.274830000000001</v>
      </c>
      <c r="M581" s="262">
        <v>13.114603900000001</v>
      </c>
      <c r="N581" s="262">
        <v>13.114603900000001</v>
      </c>
    </row>
    <row r="582" spans="1:14" x14ac:dyDescent="0.25">
      <c r="A582" s="262">
        <v>17037</v>
      </c>
      <c r="B582" s="262" t="s">
        <v>575</v>
      </c>
      <c r="C582" s="262" t="s">
        <v>137</v>
      </c>
      <c r="D582" s="262">
        <v>-88.764125100000001</v>
      </c>
      <c r="E582" s="262">
        <v>41.898319999999998</v>
      </c>
      <c r="M582" s="262">
        <v>11.14975426</v>
      </c>
      <c r="N582" s="262">
        <v>11.14975426</v>
      </c>
    </row>
    <row r="583" spans="1:14" x14ac:dyDescent="0.25">
      <c r="A583" s="262">
        <v>17039</v>
      </c>
      <c r="B583" s="262" t="s">
        <v>575</v>
      </c>
      <c r="C583" s="262" t="s">
        <v>586</v>
      </c>
      <c r="D583" s="262">
        <v>-88.900481200000002</v>
      </c>
      <c r="E583" s="262">
        <v>40.172150000000002</v>
      </c>
      <c r="M583" s="262">
        <v>12.541738820000001</v>
      </c>
      <c r="N583" s="262">
        <v>12.541738820000001</v>
      </c>
    </row>
    <row r="584" spans="1:14" x14ac:dyDescent="0.25">
      <c r="A584" s="262">
        <v>17041</v>
      </c>
      <c r="B584" s="262" t="s">
        <v>575</v>
      </c>
      <c r="C584" s="262" t="s">
        <v>330</v>
      </c>
      <c r="D584" s="262">
        <v>-88.223141200000001</v>
      </c>
      <c r="E584" s="262">
        <v>39.76455</v>
      </c>
      <c r="M584" s="262">
        <v>12.75980803</v>
      </c>
      <c r="N584" s="262">
        <v>12.75980803</v>
      </c>
    </row>
    <row r="585" spans="1:14" x14ac:dyDescent="0.25">
      <c r="A585" s="262">
        <v>17043</v>
      </c>
      <c r="B585" s="262" t="s">
        <v>575</v>
      </c>
      <c r="C585" s="262" t="s">
        <v>587</v>
      </c>
      <c r="D585" s="262">
        <v>-88.095826000000002</v>
      </c>
      <c r="E585" s="262">
        <v>41.849290000000003</v>
      </c>
      <c r="M585" s="262">
        <v>11.207982680000001</v>
      </c>
      <c r="N585" s="262">
        <v>11.207982680000001</v>
      </c>
    </row>
    <row r="586" spans="1:14" x14ac:dyDescent="0.25">
      <c r="A586" s="262">
        <v>17045</v>
      </c>
      <c r="B586" s="262" t="s">
        <v>575</v>
      </c>
      <c r="C586" s="262" t="s">
        <v>588</v>
      </c>
      <c r="D586" s="262">
        <v>-87.747510899999995</v>
      </c>
      <c r="E586" s="262">
        <v>39.672559999999997</v>
      </c>
      <c r="M586" s="262">
        <v>12.77920531</v>
      </c>
      <c r="N586" s="262">
        <v>12.77920531</v>
      </c>
    </row>
    <row r="587" spans="1:14" x14ac:dyDescent="0.25">
      <c r="A587" s="262">
        <v>17047</v>
      </c>
      <c r="B587" s="262" t="s">
        <v>575</v>
      </c>
      <c r="C587" s="262" t="s">
        <v>589</v>
      </c>
      <c r="D587" s="262">
        <v>-88.054160699999997</v>
      </c>
      <c r="E587" s="262">
        <v>38.40746</v>
      </c>
      <c r="M587" s="262">
        <v>13.75206004</v>
      </c>
      <c r="N587" s="262">
        <v>13.75206004</v>
      </c>
    </row>
    <row r="588" spans="1:14" x14ac:dyDescent="0.25">
      <c r="A588" s="262">
        <v>17049</v>
      </c>
      <c r="B588" s="262" t="s">
        <v>575</v>
      </c>
      <c r="C588" s="262" t="s">
        <v>470</v>
      </c>
      <c r="D588" s="262">
        <v>-88.591768200000004</v>
      </c>
      <c r="E588" s="262">
        <v>39.059480000000001</v>
      </c>
      <c r="M588" s="262">
        <v>13.31972888</v>
      </c>
      <c r="N588" s="262">
        <v>13.31972888</v>
      </c>
    </row>
    <row r="589" spans="1:14" x14ac:dyDescent="0.25">
      <c r="A589" s="262">
        <v>17051</v>
      </c>
      <c r="B589" s="262" t="s">
        <v>575</v>
      </c>
      <c r="C589" s="262" t="s">
        <v>141</v>
      </c>
      <c r="D589" s="262">
        <v>-89.0352259</v>
      </c>
      <c r="E589" s="262">
        <v>39.000419999999998</v>
      </c>
      <c r="M589" s="262">
        <v>13.37682113</v>
      </c>
      <c r="N589" s="262">
        <v>13.37682113</v>
      </c>
    </row>
    <row r="590" spans="1:14" x14ac:dyDescent="0.25">
      <c r="A590" s="262">
        <v>17053</v>
      </c>
      <c r="B590" s="262" t="s">
        <v>575</v>
      </c>
      <c r="C590" s="262" t="s">
        <v>590</v>
      </c>
      <c r="D590" s="262">
        <v>-88.221101300000001</v>
      </c>
      <c r="E590" s="262">
        <v>40.587409999999998</v>
      </c>
      <c r="M590" s="262">
        <v>12.126237639999999</v>
      </c>
      <c r="N590" s="262">
        <v>12.126237639999999</v>
      </c>
    </row>
    <row r="591" spans="1:14" x14ac:dyDescent="0.25">
      <c r="A591" s="262">
        <v>17055</v>
      </c>
      <c r="B591" s="262" t="s">
        <v>575</v>
      </c>
      <c r="C591" s="262" t="s">
        <v>142</v>
      </c>
      <c r="D591" s="262">
        <v>-88.928090299999994</v>
      </c>
      <c r="E591" s="262">
        <v>37.989640000000001</v>
      </c>
      <c r="M591" s="262">
        <v>14.078541080000001</v>
      </c>
      <c r="N591" s="262">
        <v>14.078541080000001</v>
      </c>
    </row>
    <row r="592" spans="1:14" x14ac:dyDescent="0.25">
      <c r="A592" s="262">
        <v>17057</v>
      </c>
      <c r="B592" s="262" t="s">
        <v>575</v>
      </c>
      <c r="C592" s="262" t="s">
        <v>216</v>
      </c>
      <c r="D592" s="262">
        <v>-90.207644099999996</v>
      </c>
      <c r="E592" s="262">
        <v>40.47242</v>
      </c>
      <c r="M592" s="262">
        <v>12.41390947</v>
      </c>
      <c r="N592" s="262">
        <v>12.41390947</v>
      </c>
    </row>
    <row r="593" spans="1:14" x14ac:dyDescent="0.25">
      <c r="A593" s="262">
        <v>17059</v>
      </c>
      <c r="B593" s="262" t="s">
        <v>575</v>
      </c>
      <c r="C593" s="262" t="s">
        <v>591</v>
      </c>
      <c r="D593" s="262">
        <v>-88.233968300000001</v>
      </c>
      <c r="E593" s="262">
        <v>37.764740000000003</v>
      </c>
      <c r="M593" s="262">
        <v>14.18389007</v>
      </c>
      <c r="N593" s="262">
        <v>14.18389007</v>
      </c>
    </row>
    <row r="594" spans="1:14" x14ac:dyDescent="0.25">
      <c r="A594" s="262">
        <v>17061</v>
      </c>
      <c r="B594" s="262" t="s">
        <v>575</v>
      </c>
      <c r="C594" s="262" t="s">
        <v>144</v>
      </c>
      <c r="D594" s="262">
        <v>-90.398188700000006</v>
      </c>
      <c r="E594" s="262">
        <v>39.358400000000003</v>
      </c>
      <c r="M594" s="262">
        <v>13.197299149999999</v>
      </c>
      <c r="N594" s="262">
        <v>13.197299149999999</v>
      </c>
    </row>
    <row r="595" spans="1:14" x14ac:dyDescent="0.25">
      <c r="A595" s="262">
        <v>17063</v>
      </c>
      <c r="B595" s="262" t="s">
        <v>575</v>
      </c>
      <c r="C595" s="262" t="s">
        <v>592</v>
      </c>
      <c r="D595" s="262">
        <v>-88.424329499999999</v>
      </c>
      <c r="E595" s="262">
        <v>41.286110000000001</v>
      </c>
      <c r="M595" s="262">
        <v>11.6059351</v>
      </c>
      <c r="N595" s="262">
        <v>11.6059351</v>
      </c>
    </row>
    <row r="596" spans="1:14" x14ac:dyDescent="0.25">
      <c r="A596" s="262">
        <v>17065</v>
      </c>
      <c r="B596" s="262" t="s">
        <v>575</v>
      </c>
      <c r="C596" s="262" t="s">
        <v>400</v>
      </c>
      <c r="D596" s="262">
        <v>-88.544899000000001</v>
      </c>
      <c r="E596" s="262">
        <v>38.078389999999999</v>
      </c>
      <c r="M596" s="262">
        <v>13.993533810000001</v>
      </c>
      <c r="N596" s="262">
        <v>13.993533810000001</v>
      </c>
    </row>
    <row r="597" spans="1:14" x14ac:dyDescent="0.25">
      <c r="A597" s="262">
        <v>17067</v>
      </c>
      <c r="B597" s="262" t="s">
        <v>575</v>
      </c>
      <c r="C597" s="262" t="s">
        <v>484</v>
      </c>
      <c r="D597" s="262">
        <v>-91.160829500000006</v>
      </c>
      <c r="E597" s="262">
        <v>40.407600000000002</v>
      </c>
      <c r="M597" s="262">
        <v>12.46971207</v>
      </c>
      <c r="N597" s="262">
        <v>12.46971207</v>
      </c>
    </row>
    <row r="598" spans="1:14" x14ac:dyDescent="0.25">
      <c r="A598" s="262">
        <v>17069</v>
      </c>
      <c r="B598" s="262" t="s">
        <v>575</v>
      </c>
      <c r="C598" s="262" t="s">
        <v>593</v>
      </c>
      <c r="D598" s="262">
        <v>-88.265074900000002</v>
      </c>
      <c r="E598" s="262">
        <v>37.527970000000003</v>
      </c>
      <c r="M598" s="262">
        <v>14.332617340000001</v>
      </c>
      <c r="N598" s="262">
        <v>14.332617340000001</v>
      </c>
    </row>
    <row r="599" spans="1:14" x14ac:dyDescent="0.25">
      <c r="A599" s="262">
        <v>17071</v>
      </c>
      <c r="B599" s="262" t="s">
        <v>575</v>
      </c>
      <c r="C599" s="262" t="s">
        <v>594</v>
      </c>
      <c r="D599" s="262">
        <v>-90.930188700000002</v>
      </c>
      <c r="E599" s="262">
        <v>40.813809999999997</v>
      </c>
      <c r="M599" s="262">
        <v>12.16823473</v>
      </c>
      <c r="N599" s="262">
        <v>12.16823473</v>
      </c>
    </row>
    <row r="600" spans="1:14" x14ac:dyDescent="0.25">
      <c r="A600" s="262">
        <v>17073</v>
      </c>
      <c r="B600" s="262" t="s">
        <v>575</v>
      </c>
      <c r="C600" s="262" t="s">
        <v>146</v>
      </c>
      <c r="D600" s="262">
        <v>-90.123399800000001</v>
      </c>
      <c r="E600" s="262">
        <v>41.350990000000003</v>
      </c>
      <c r="M600" s="262">
        <v>11.692555580000001</v>
      </c>
      <c r="N600" s="262">
        <v>11.692555580000001</v>
      </c>
    </row>
    <row r="601" spans="1:14" x14ac:dyDescent="0.25">
      <c r="A601" s="262">
        <v>17075</v>
      </c>
      <c r="B601" s="262" t="s">
        <v>575</v>
      </c>
      <c r="C601" s="262" t="s">
        <v>595</v>
      </c>
      <c r="D601" s="262">
        <v>-87.826263400000002</v>
      </c>
      <c r="E601" s="262">
        <v>40.74727</v>
      </c>
      <c r="M601" s="262">
        <v>12.0003084</v>
      </c>
      <c r="N601" s="262">
        <v>12.0003084</v>
      </c>
    </row>
    <row r="602" spans="1:14" x14ac:dyDescent="0.25">
      <c r="A602" s="262">
        <v>17077</v>
      </c>
      <c r="B602" s="262" t="s">
        <v>575</v>
      </c>
      <c r="C602" s="262" t="s">
        <v>148</v>
      </c>
      <c r="D602" s="262">
        <v>-89.382968599999998</v>
      </c>
      <c r="E602" s="262">
        <v>37.78745</v>
      </c>
      <c r="M602" s="262">
        <v>14.21633544</v>
      </c>
      <c r="N602" s="262">
        <v>14.21633544</v>
      </c>
    </row>
    <row r="603" spans="1:14" x14ac:dyDescent="0.25">
      <c r="A603" s="262">
        <v>17079</v>
      </c>
      <c r="B603" s="262" t="s">
        <v>575</v>
      </c>
      <c r="C603" s="262" t="s">
        <v>490</v>
      </c>
      <c r="D603" s="262">
        <v>-88.160647400000002</v>
      </c>
      <c r="E603" s="262">
        <v>39.013030000000001</v>
      </c>
      <c r="M603" s="262">
        <v>13.309905130000001</v>
      </c>
      <c r="N603" s="262">
        <v>13.309905130000001</v>
      </c>
    </row>
    <row r="604" spans="1:14" x14ac:dyDescent="0.25">
      <c r="A604" s="262">
        <v>17081</v>
      </c>
      <c r="B604" s="262" t="s">
        <v>575</v>
      </c>
      <c r="C604" s="262" t="s">
        <v>149</v>
      </c>
      <c r="D604" s="262">
        <v>-88.926382799999999</v>
      </c>
      <c r="E604" s="262">
        <v>38.29401</v>
      </c>
      <c r="M604" s="262">
        <v>13.87801932</v>
      </c>
      <c r="N604" s="262">
        <v>13.87801932</v>
      </c>
    </row>
    <row r="605" spans="1:14" x14ac:dyDescent="0.25">
      <c r="A605" s="262">
        <v>17083</v>
      </c>
      <c r="B605" s="262" t="s">
        <v>575</v>
      </c>
      <c r="C605" s="262" t="s">
        <v>596</v>
      </c>
      <c r="D605" s="262">
        <v>-90.362751700000004</v>
      </c>
      <c r="E605" s="262">
        <v>39.085560000000001</v>
      </c>
      <c r="M605" s="262">
        <v>13.397378249999999</v>
      </c>
      <c r="N605" s="262">
        <v>13.397378249999999</v>
      </c>
    </row>
    <row r="606" spans="1:14" x14ac:dyDescent="0.25">
      <c r="A606" s="262">
        <v>17085</v>
      </c>
      <c r="B606" s="262" t="s">
        <v>575</v>
      </c>
      <c r="C606" s="262" t="s">
        <v>597</v>
      </c>
      <c r="D606" s="262">
        <v>-90.2080579</v>
      </c>
      <c r="E606" s="262">
        <v>42.36909</v>
      </c>
      <c r="M606" s="262">
        <v>10.979889030000001</v>
      </c>
      <c r="N606" s="262">
        <v>10.979889030000001</v>
      </c>
    </row>
    <row r="607" spans="1:14" x14ac:dyDescent="0.25">
      <c r="A607" s="262">
        <v>17087</v>
      </c>
      <c r="B607" s="262" t="s">
        <v>575</v>
      </c>
      <c r="C607" s="262" t="s">
        <v>224</v>
      </c>
      <c r="D607" s="262">
        <v>-88.883968800000005</v>
      </c>
      <c r="E607" s="262">
        <v>37.46866</v>
      </c>
      <c r="M607" s="262">
        <v>14.396085490000001</v>
      </c>
      <c r="N607" s="262">
        <v>14.396085490000001</v>
      </c>
    </row>
    <row r="608" spans="1:14" x14ac:dyDescent="0.25">
      <c r="A608" s="262">
        <v>17089</v>
      </c>
      <c r="B608" s="262" t="s">
        <v>575</v>
      </c>
      <c r="C608" s="262" t="s">
        <v>598</v>
      </c>
      <c r="D608" s="262">
        <v>-88.428758999999999</v>
      </c>
      <c r="E608" s="262">
        <v>41.942439999999998</v>
      </c>
      <c r="M608" s="262">
        <v>11.140920639999999</v>
      </c>
      <c r="N608" s="262">
        <v>11.140920639999999</v>
      </c>
    </row>
    <row r="609" spans="1:14" x14ac:dyDescent="0.25">
      <c r="A609" s="262">
        <v>17091</v>
      </c>
      <c r="B609" s="262" t="s">
        <v>575</v>
      </c>
      <c r="C609" s="262" t="s">
        <v>599</v>
      </c>
      <c r="D609" s="262">
        <v>-87.863741099999999</v>
      </c>
      <c r="E609" s="262">
        <v>41.138890000000004</v>
      </c>
      <c r="M609" s="262">
        <v>11.71789463</v>
      </c>
      <c r="N609" s="262">
        <v>11.71789463</v>
      </c>
    </row>
    <row r="610" spans="1:14" x14ac:dyDescent="0.25">
      <c r="A610" s="262">
        <v>17093</v>
      </c>
      <c r="B610" s="262" t="s">
        <v>575</v>
      </c>
      <c r="C610" s="262" t="s">
        <v>600</v>
      </c>
      <c r="D610" s="262">
        <v>-88.432041999999996</v>
      </c>
      <c r="E610" s="262">
        <v>41.594250000000002</v>
      </c>
      <c r="M610" s="262">
        <v>11.36772326</v>
      </c>
      <c r="N610" s="262">
        <v>11.36772326</v>
      </c>
    </row>
    <row r="611" spans="1:14" x14ac:dyDescent="0.25">
      <c r="A611" s="262">
        <v>17095</v>
      </c>
      <c r="B611" s="262" t="s">
        <v>575</v>
      </c>
      <c r="C611" s="262" t="s">
        <v>601</v>
      </c>
      <c r="D611" s="262">
        <v>-90.216241499999995</v>
      </c>
      <c r="E611" s="262">
        <v>40.928739999999998</v>
      </c>
      <c r="M611" s="262">
        <v>12.05164342</v>
      </c>
      <c r="N611" s="262">
        <v>12.05164342</v>
      </c>
    </row>
    <row r="612" spans="1:14" x14ac:dyDescent="0.25">
      <c r="A612" s="262">
        <v>17097</v>
      </c>
      <c r="B612" s="262" t="s">
        <v>575</v>
      </c>
      <c r="C612" s="262" t="s">
        <v>271</v>
      </c>
      <c r="D612" s="262">
        <v>-88.006749400000004</v>
      </c>
      <c r="E612" s="262">
        <v>42.331029999999998</v>
      </c>
      <c r="M612" s="262">
        <v>10.914984759999999</v>
      </c>
      <c r="N612" s="262">
        <v>10.914984759999999</v>
      </c>
    </row>
    <row r="613" spans="1:14" x14ac:dyDescent="0.25">
      <c r="A613" s="262">
        <v>17099</v>
      </c>
      <c r="B613" s="262" t="s">
        <v>575</v>
      </c>
      <c r="C613" s="262" t="s">
        <v>602</v>
      </c>
      <c r="D613" s="262">
        <v>-88.887084299999998</v>
      </c>
      <c r="E613" s="262">
        <v>41.344439999999999</v>
      </c>
      <c r="M613" s="262">
        <v>11.53064266</v>
      </c>
      <c r="N613" s="262">
        <v>11.53064266</v>
      </c>
    </row>
    <row r="614" spans="1:14" x14ac:dyDescent="0.25">
      <c r="A614" s="262">
        <v>17101</v>
      </c>
      <c r="B614" s="262" t="s">
        <v>575</v>
      </c>
      <c r="C614" s="262" t="s">
        <v>152</v>
      </c>
      <c r="D614" s="262">
        <v>-87.7338752</v>
      </c>
      <c r="E614" s="262">
        <v>38.7196</v>
      </c>
      <c r="M614" s="262">
        <v>13.50970714</v>
      </c>
      <c r="N614" s="262">
        <v>13.50970714</v>
      </c>
    </row>
    <row r="615" spans="1:14" x14ac:dyDescent="0.25">
      <c r="A615" s="262">
        <v>17103</v>
      </c>
      <c r="B615" s="262" t="s">
        <v>575</v>
      </c>
      <c r="C615" s="262" t="s">
        <v>153</v>
      </c>
      <c r="D615" s="262">
        <v>-89.296974399999996</v>
      </c>
      <c r="E615" s="262">
        <v>41.749499999999998</v>
      </c>
      <c r="M615" s="262">
        <v>11.25681327</v>
      </c>
      <c r="N615" s="262">
        <v>11.25681327</v>
      </c>
    </row>
    <row r="616" spans="1:14" x14ac:dyDescent="0.25">
      <c r="A616" s="262">
        <v>17105</v>
      </c>
      <c r="B616" s="262" t="s">
        <v>575</v>
      </c>
      <c r="C616" s="262" t="s">
        <v>603</v>
      </c>
      <c r="D616" s="262">
        <v>-88.559756500000006</v>
      </c>
      <c r="E616" s="262">
        <v>40.885930000000002</v>
      </c>
      <c r="M616" s="262">
        <v>11.92863006</v>
      </c>
      <c r="N616" s="262">
        <v>11.92863006</v>
      </c>
    </row>
    <row r="617" spans="1:14" x14ac:dyDescent="0.25">
      <c r="A617" s="262">
        <v>17107</v>
      </c>
      <c r="B617" s="262" t="s">
        <v>575</v>
      </c>
      <c r="C617" s="262" t="s">
        <v>228</v>
      </c>
      <c r="D617" s="262">
        <v>-89.363058899999999</v>
      </c>
      <c r="E617" s="262">
        <v>40.123080000000002</v>
      </c>
      <c r="M617" s="262">
        <v>12.64294164</v>
      </c>
      <c r="N617" s="262">
        <v>12.64294164</v>
      </c>
    </row>
    <row r="618" spans="1:14" x14ac:dyDescent="0.25">
      <c r="A618" s="262">
        <v>17109</v>
      </c>
      <c r="B618" s="262" t="s">
        <v>575</v>
      </c>
      <c r="C618" s="262" t="s">
        <v>604</v>
      </c>
      <c r="D618" s="262">
        <v>-90.677913599999997</v>
      </c>
      <c r="E618" s="262">
        <v>40.4497</v>
      </c>
      <c r="M618" s="262">
        <v>12.41682774</v>
      </c>
      <c r="N618" s="262">
        <v>12.41682774</v>
      </c>
    </row>
    <row r="619" spans="1:14" x14ac:dyDescent="0.25">
      <c r="A619" s="262">
        <v>17111</v>
      </c>
      <c r="B619" s="262" t="s">
        <v>575</v>
      </c>
      <c r="C619" s="262" t="s">
        <v>605</v>
      </c>
      <c r="D619" s="262">
        <v>-88.452873299999993</v>
      </c>
      <c r="E619" s="262">
        <v>42.330419999999997</v>
      </c>
      <c r="M619" s="262">
        <v>10.905517639999999</v>
      </c>
      <c r="N619" s="262">
        <v>10.905517639999999</v>
      </c>
    </row>
    <row r="620" spans="1:14" x14ac:dyDescent="0.25">
      <c r="A620" s="262">
        <v>17113</v>
      </c>
      <c r="B620" s="262" t="s">
        <v>575</v>
      </c>
      <c r="C620" s="262" t="s">
        <v>606</v>
      </c>
      <c r="D620" s="262">
        <v>-88.8501428</v>
      </c>
      <c r="E620" s="262">
        <v>40.484850000000002</v>
      </c>
      <c r="M620" s="262">
        <v>12.288472479999999</v>
      </c>
      <c r="N620" s="262">
        <v>12.288472479999999</v>
      </c>
    </row>
    <row r="621" spans="1:14" x14ac:dyDescent="0.25">
      <c r="A621" s="262">
        <v>17115</v>
      </c>
      <c r="B621" s="262" t="s">
        <v>575</v>
      </c>
      <c r="C621" s="262" t="s">
        <v>156</v>
      </c>
      <c r="D621" s="262">
        <v>-88.962847400000001</v>
      </c>
      <c r="E621" s="262">
        <v>39.858969999999999</v>
      </c>
      <c r="M621" s="262">
        <v>12.781301579999999</v>
      </c>
      <c r="N621" s="262">
        <v>12.781301579999999</v>
      </c>
    </row>
    <row r="622" spans="1:14" x14ac:dyDescent="0.25">
      <c r="A622" s="262">
        <v>17117</v>
      </c>
      <c r="B622" s="262" t="s">
        <v>575</v>
      </c>
      <c r="C622" s="262" t="s">
        <v>607</v>
      </c>
      <c r="D622" s="262">
        <v>-89.925792099999995</v>
      </c>
      <c r="E622" s="262">
        <v>39.266219999999997</v>
      </c>
      <c r="M622" s="262">
        <v>13.24958706</v>
      </c>
      <c r="N622" s="262">
        <v>13.24958706</v>
      </c>
    </row>
    <row r="623" spans="1:14" x14ac:dyDescent="0.25">
      <c r="A623" s="262">
        <v>17119</v>
      </c>
      <c r="B623" s="262" t="s">
        <v>575</v>
      </c>
      <c r="C623" s="262" t="s">
        <v>157</v>
      </c>
      <c r="D623" s="262">
        <v>-89.905709900000005</v>
      </c>
      <c r="E623" s="262">
        <v>38.831130000000002</v>
      </c>
      <c r="M623" s="262">
        <v>13.56476236</v>
      </c>
      <c r="N623" s="262">
        <v>13.56476236</v>
      </c>
    </row>
    <row r="624" spans="1:14" x14ac:dyDescent="0.25">
      <c r="A624" s="262">
        <v>17121</v>
      </c>
      <c r="B624" s="262" t="s">
        <v>575</v>
      </c>
      <c r="C624" s="262" t="s">
        <v>159</v>
      </c>
      <c r="D624" s="262">
        <v>-88.924593299999998</v>
      </c>
      <c r="E624" s="262">
        <v>38.649039999999999</v>
      </c>
      <c r="M624" s="262">
        <v>13.62341597</v>
      </c>
      <c r="N624" s="262">
        <v>13.62341597</v>
      </c>
    </row>
    <row r="625" spans="1:14" x14ac:dyDescent="0.25">
      <c r="A625" s="262">
        <v>17123</v>
      </c>
      <c r="B625" s="262" t="s">
        <v>575</v>
      </c>
      <c r="C625" s="262" t="s">
        <v>160</v>
      </c>
      <c r="D625" s="262">
        <v>-89.341650900000005</v>
      </c>
      <c r="E625" s="262">
        <v>41.033000000000001</v>
      </c>
      <c r="M625" s="262">
        <v>11.8356335</v>
      </c>
      <c r="N625" s="262">
        <v>11.8356335</v>
      </c>
    </row>
    <row r="626" spans="1:14" x14ac:dyDescent="0.25">
      <c r="A626" s="262">
        <v>17125</v>
      </c>
      <c r="B626" s="262" t="s">
        <v>575</v>
      </c>
      <c r="C626" s="262" t="s">
        <v>608</v>
      </c>
      <c r="D626" s="262">
        <v>-89.916196400000004</v>
      </c>
      <c r="E626" s="262">
        <v>40.237020000000001</v>
      </c>
      <c r="M626" s="262">
        <v>12.58163019</v>
      </c>
      <c r="N626" s="262">
        <v>12.58163019</v>
      </c>
    </row>
    <row r="627" spans="1:14" x14ac:dyDescent="0.25">
      <c r="A627" s="262">
        <v>17127</v>
      </c>
      <c r="B627" s="262" t="s">
        <v>575</v>
      </c>
      <c r="C627" s="262" t="s">
        <v>609</v>
      </c>
      <c r="D627" s="262">
        <v>-88.715590300000002</v>
      </c>
      <c r="E627" s="262">
        <v>37.231520000000003</v>
      </c>
      <c r="M627" s="262">
        <v>14.52898016</v>
      </c>
      <c r="N627" s="262">
        <v>14.52898016</v>
      </c>
    </row>
    <row r="628" spans="1:14" x14ac:dyDescent="0.25">
      <c r="A628" s="262">
        <v>17129</v>
      </c>
      <c r="B628" s="262" t="s">
        <v>575</v>
      </c>
      <c r="C628" s="262" t="s">
        <v>610</v>
      </c>
      <c r="D628" s="262">
        <v>-89.798534599999996</v>
      </c>
      <c r="E628" s="262">
        <v>40.02711</v>
      </c>
      <c r="M628" s="262">
        <v>12.72765178</v>
      </c>
      <c r="N628" s="262">
        <v>12.72765178</v>
      </c>
    </row>
    <row r="629" spans="1:14" x14ac:dyDescent="0.25">
      <c r="A629" s="262">
        <v>17131</v>
      </c>
      <c r="B629" s="262" t="s">
        <v>575</v>
      </c>
      <c r="C629" s="262" t="s">
        <v>611</v>
      </c>
      <c r="D629" s="262">
        <v>-90.7352262</v>
      </c>
      <c r="E629" s="262">
        <v>41.202710000000003</v>
      </c>
      <c r="M629" s="262">
        <v>11.86769492</v>
      </c>
      <c r="N629" s="262">
        <v>11.86769492</v>
      </c>
    </row>
    <row r="630" spans="1:14" x14ac:dyDescent="0.25">
      <c r="A630" s="262">
        <v>17133</v>
      </c>
      <c r="B630" s="262" t="s">
        <v>575</v>
      </c>
      <c r="C630" s="262" t="s">
        <v>162</v>
      </c>
      <c r="D630" s="262">
        <v>-90.188124299999998</v>
      </c>
      <c r="E630" s="262">
        <v>38.275060000000003</v>
      </c>
      <c r="M630" s="262">
        <v>13.95101534</v>
      </c>
      <c r="N630" s="262">
        <v>13.95101534</v>
      </c>
    </row>
    <row r="631" spans="1:14" x14ac:dyDescent="0.25">
      <c r="A631" s="262">
        <v>17135</v>
      </c>
      <c r="B631" s="262" t="s">
        <v>575</v>
      </c>
      <c r="C631" s="262" t="s">
        <v>163</v>
      </c>
      <c r="D631" s="262">
        <v>-89.480248099999997</v>
      </c>
      <c r="E631" s="262">
        <v>39.231009999999998</v>
      </c>
      <c r="M631" s="262">
        <v>13.23682019</v>
      </c>
      <c r="N631" s="262">
        <v>13.23682019</v>
      </c>
    </row>
    <row r="632" spans="1:14" x14ac:dyDescent="0.25">
      <c r="A632" s="262">
        <v>17137</v>
      </c>
      <c r="B632" s="262" t="s">
        <v>575</v>
      </c>
      <c r="C632" s="262" t="s">
        <v>164</v>
      </c>
      <c r="D632" s="262">
        <v>-90.199963800000006</v>
      </c>
      <c r="E632" s="262">
        <v>39.711689999999997</v>
      </c>
      <c r="M632" s="262">
        <v>12.95623986</v>
      </c>
      <c r="N632" s="262">
        <v>12.95623986</v>
      </c>
    </row>
    <row r="633" spans="1:14" x14ac:dyDescent="0.25">
      <c r="A633" s="262">
        <v>17139</v>
      </c>
      <c r="B633" s="262" t="s">
        <v>575</v>
      </c>
      <c r="C633" s="262" t="s">
        <v>612</v>
      </c>
      <c r="D633" s="262">
        <v>-88.624048999999999</v>
      </c>
      <c r="E633" s="262">
        <v>39.638359999999999</v>
      </c>
      <c r="M633" s="262">
        <v>12.89893987</v>
      </c>
      <c r="N633" s="262">
        <v>12.89893987</v>
      </c>
    </row>
    <row r="634" spans="1:14" x14ac:dyDescent="0.25">
      <c r="A634" s="262">
        <v>17141</v>
      </c>
      <c r="B634" s="262" t="s">
        <v>575</v>
      </c>
      <c r="C634" s="262" t="s">
        <v>613</v>
      </c>
      <c r="D634" s="262">
        <v>-89.321189200000006</v>
      </c>
      <c r="E634" s="262">
        <v>42.046080000000003</v>
      </c>
      <c r="M634" s="262">
        <v>11.083886359999999</v>
      </c>
      <c r="N634" s="262">
        <v>11.083886359999999</v>
      </c>
    </row>
    <row r="635" spans="1:14" x14ac:dyDescent="0.25">
      <c r="A635" s="262">
        <v>17143</v>
      </c>
      <c r="B635" s="262" t="s">
        <v>575</v>
      </c>
      <c r="C635" s="262" t="s">
        <v>614</v>
      </c>
      <c r="D635" s="262">
        <v>-89.762393700000004</v>
      </c>
      <c r="E635" s="262">
        <v>40.786050000000003</v>
      </c>
      <c r="M635" s="262">
        <v>12.121416350000001</v>
      </c>
      <c r="N635" s="262">
        <v>12.121416350000001</v>
      </c>
    </row>
    <row r="636" spans="1:14" x14ac:dyDescent="0.25">
      <c r="A636" s="262">
        <v>17145</v>
      </c>
      <c r="B636" s="262" t="s">
        <v>575</v>
      </c>
      <c r="C636" s="262" t="s">
        <v>165</v>
      </c>
      <c r="D636" s="262">
        <v>-89.367749500000002</v>
      </c>
      <c r="E636" s="262">
        <v>38.086260000000003</v>
      </c>
      <c r="M636" s="262">
        <v>14.03029445</v>
      </c>
      <c r="N636" s="262">
        <v>14.03029445</v>
      </c>
    </row>
    <row r="637" spans="1:14" x14ac:dyDescent="0.25">
      <c r="A637" s="262">
        <v>17147</v>
      </c>
      <c r="B637" s="262" t="s">
        <v>575</v>
      </c>
      <c r="C637" s="262" t="s">
        <v>615</v>
      </c>
      <c r="D637" s="262">
        <v>-88.595564800000005</v>
      </c>
      <c r="E637" s="262">
        <v>40.008339999999997</v>
      </c>
      <c r="M637" s="262">
        <v>12.626049099999999</v>
      </c>
      <c r="N637" s="262">
        <v>12.626049099999999</v>
      </c>
    </row>
    <row r="638" spans="1:14" x14ac:dyDescent="0.25">
      <c r="A638" s="262">
        <v>17149</v>
      </c>
      <c r="B638" s="262" t="s">
        <v>575</v>
      </c>
      <c r="C638" s="262" t="s">
        <v>167</v>
      </c>
      <c r="D638" s="262">
        <v>-90.892810400000002</v>
      </c>
      <c r="E638" s="262">
        <v>39.61871</v>
      </c>
      <c r="M638" s="262">
        <v>13.03082285</v>
      </c>
      <c r="N638" s="262">
        <v>13.03082285</v>
      </c>
    </row>
    <row r="639" spans="1:14" x14ac:dyDescent="0.25">
      <c r="A639" s="262">
        <v>17151</v>
      </c>
      <c r="B639" s="262" t="s">
        <v>575</v>
      </c>
      <c r="C639" s="262" t="s">
        <v>238</v>
      </c>
      <c r="D639" s="262">
        <v>-88.5615509</v>
      </c>
      <c r="E639" s="262">
        <v>37.425220000000003</v>
      </c>
      <c r="M639" s="262">
        <v>14.40965534</v>
      </c>
      <c r="N639" s="262">
        <v>14.40965534</v>
      </c>
    </row>
    <row r="640" spans="1:14" x14ac:dyDescent="0.25">
      <c r="A640" s="262">
        <v>17153</v>
      </c>
      <c r="B640" s="262" t="s">
        <v>575</v>
      </c>
      <c r="C640" s="262" t="s">
        <v>240</v>
      </c>
      <c r="D640" s="262">
        <v>-89.1320446</v>
      </c>
      <c r="E640" s="262">
        <v>37.2333</v>
      </c>
      <c r="M640" s="262">
        <v>14.539117559999999</v>
      </c>
      <c r="N640" s="262">
        <v>14.539117559999999</v>
      </c>
    </row>
    <row r="641" spans="1:14" x14ac:dyDescent="0.25">
      <c r="A641" s="262">
        <v>17155</v>
      </c>
      <c r="B641" s="262" t="s">
        <v>575</v>
      </c>
      <c r="C641" s="262" t="s">
        <v>421</v>
      </c>
      <c r="D641" s="262">
        <v>-89.2899046</v>
      </c>
      <c r="E641" s="262">
        <v>41.205150000000003</v>
      </c>
      <c r="M641" s="262">
        <v>11.67112008</v>
      </c>
      <c r="N641" s="262">
        <v>11.67112008</v>
      </c>
    </row>
    <row r="642" spans="1:14" x14ac:dyDescent="0.25">
      <c r="A642" s="262">
        <v>17157</v>
      </c>
      <c r="B642" s="262" t="s">
        <v>575</v>
      </c>
      <c r="C642" s="262" t="s">
        <v>168</v>
      </c>
      <c r="D642" s="262">
        <v>-89.823852200000005</v>
      </c>
      <c r="E642" s="262">
        <v>38.050420000000003</v>
      </c>
      <c r="M642" s="262">
        <v>14.06809617</v>
      </c>
      <c r="N642" s="262">
        <v>14.06809617</v>
      </c>
    </row>
    <row r="643" spans="1:14" x14ac:dyDescent="0.25">
      <c r="A643" s="262">
        <v>17159</v>
      </c>
      <c r="B643" s="262" t="s">
        <v>575</v>
      </c>
      <c r="C643" s="262" t="s">
        <v>616</v>
      </c>
      <c r="D643" s="262">
        <v>-88.092039</v>
      </c>
      <c r="E643" s="262">
        <v>38.712209999999999</v>
      </c>
      <c r="M643" s="262">
        <v>13.537601670000001</v>
      </c>
      <c r="N643" s="262">
        <v>13.537601670000001</v>
      </c>
    </row>
    <row r="644" spans="1:14" x14ac:dyDescent="0.25">
      <c r="A644" s="262">
        <v>17161</v>
      </c>
      <c r="B644" s="262" t="s">
        <v>575</v>
      </c>
      <c r="C644" s="262" t="s">
        <v>617</v>
      </c>
      <c r="D644" s="262">
        <v>-90.565277300000005</v>
      </c>
      <c r="E644" s="262">
        <v>41.470140000000001</v>
      </c>
      <c r="M644" s="262">
        <v>11.648820300000001</v>
      </c>
      <c r="N644" s="262">
        <v>11.648820300000001</v>
      </c>
    </row>
    <row r="645" spans="1:14" x14ac:dyDescent="0.25">
      <c r="A645" s="262">
        <v>17163</v>
      </c>
      <c r="B645" s="262" t="s">
        <v>575</v>
      </c>
      <c r="C645" s="262" t="s">
        <v>170</v>
      </c>
      <c r="D645" s="262">
        <v>-89.931631499999995</v>
      </c>
      <c r="E645" s="262">
        <v>38.464930000000003</v>
      </c>
      <c r="M645" s="262">
        <v>13.819030700000001</v>
      </c>
      <c r="N645" s="262">
        <v>13.819030700000001</v>
      </c>
    </row>
    <row r="646" spans="1:14" x14ac:dyDescent="0.25">
      <c r="A646" s="262">
        <v>17165</v>
      </c>
      <c r="B646" s="262" t="s">
        <v>575</v>
      </c>
      <c r="C646" s="262" t="s">
        <v>242</v>
      </c>
      <c r="D646" s="262">
        <v>-88.544711800000002</v>
      </c>
      <c r="E646" s="262">
        <v>37.754899999999999</v>
      </c>
      <c r="M646" s="262">
        <v>14.20484257</v>
      </c>
      <c r="N646" s="262">
        <v>14.20484257</v>
      </c>
    </row>
    <row r="647" spans="1:14" x14ac:dyDescent="0.25">
      <c r="A647" s="262">
        <v>17167</v>
      </c>
      <c r="B647" s="262" t="s">
        <v>575</v>
      </c>
      <c r="C647" s="262" t="s">
        <v>618</v>
      </c>
      <c r="D647" s="262">
        <v>-89.657802099999998</v>
      </c>
      <c r="E647" s="262">
        <v>39.758800000000001</v>
      </c>
      <c r="M647" s="262">
        <v>12.890157970000001</v>
      </c>
      <c r="N647" s="262">
        <v>12.890157970000001</v>
      </c>
    </row>
    <row r="648" spans="1:14" x14ac:dyDescent="0.25">
      <c r="A648" s="262">
        <v>17169</v>
      </c>
      <c r="B648" s="262" t="s">
        <v>575</v>
      </c>
      <c r="C648" s="262" t="s">
        <v>619</v>
      </c>
      <c r="D648" s="262">
        <v>-90.611874900000004</v>
      </c>
      <c r="E648" s="262">
        <v>40.155430000000003</v>
      </c>
      <c r="M648" s="262">
        <v>12.63934514</v>
      </c>
      <c r="N648" s="262">
        <v>12.63934514</v>
      </c>
    </row>
    <row r="649" spans="1:14" x14ac:dyDescent="0.25">
      <c r="A649" s="262">
        <v>17171</v>
      </c>
      <c r="B649" s="262" t="s">
        <v>575</v>
      </c>
      <c r="C649" s="262" t="s">
        <v>243</v>
      </c>
      <c r="D649" s="262">
        <v>-90.482804299999998</v>
      </c>
      <c r="E649" s="262">
        <v>39.643639999999998</v>
      </c>
      <c r="M649" s="262">
        <v>12.99816496</v>
      </c>
      <c r="N649" s="262">
        <v>12.99816496</v>
      </c>
    </row>
    <row r="650" spans="1:14" x14ac:dyDescent="0.25">
      <c r="A650" s="262">
        <v>17173</v>
      </c>
      <c r="B650" s="262" t="s">
        <v>575</v>
      </c>
      <c r="C650" s="262" t="s">
        <v>171</v>
      </c>
      <c r="D650" s="262">
        <v>-88.810328699999999</v>
      </c>
      <c r="E650" s="262">
        <v>39.389310000000002</v>
      </c>
      <c r="M650" s="262">
        <v>13.102488599999999</v>
      </c>
      <c r="N650" s="262">
        <v>13.102488599999999</v>
      </c>
    </row>
    <row r="651" spans="1:14" x14ac:dyDescent="0.25">
      <c r="A651" s="262">
        <v>17175</v>
      </c>
      <c r="B651" s="262" t="s">
        <v>575</v>
      </c>
      <c r="C651" s="262" t="s">
        <v>620</v>
      </c>
      <c r="D651" s="262">
        <v>-89.796808299999995</v>
      </c>
      <c r="E651" s="262">
        <v>41.09328</v>
      </c>
      <c r="M651" s="262">
        <v>11.840263419999999</v>
      </c>
      <c r="N651" s="262">
        <v>11.840263419999999</v>
      </c>
    </row>
    <row r="652" spans="1:14" x14ac:dyDescent="0.25">
      <c r="A652" s="262">
        <v>17177</v>
      </c>
      <c r="B652" s="262" t="s">
        <v>575</v>
      </c>
      <c r="C652" s="262" t="s">
        <v>621</v>
      </c>
      <c r="D652" s="262">
        <v>-89.655597700000001</v>
      </c>
      <c r="E652" s="262">
        <v>42.354199999999999</v>
      </c>
      <c r="M652" s="262">
        <v>10.931206749999999</v>
      </c>
      <c r="N652" s="262">
        <v>10.931206749999999</v>
      </c>
    </row>
    <row r="653" spans="1:14" x14ac:dyDescent="0.25">
      <c r="A653" s="262">
        <v>17179</v>
      </c>
      <c r="B653" s="262" t="s">
        <v>575</v>
      </c>
      <c r="C653" s="262" t="s">
        <v>622</v>
      </c>
      <c r="D653" s="262">
        <v>-89.5130968</v>
      </c>
      <c r="E653" s="262">
        <v>40.508209999999998</v>
      </c>
      <c r="M653" s="262">
        <v>12.36822094</v>
      </c>
      <c r="N653" s="262">
        <v>12.36822094</v>
      </c>
    </row>
    <row r="654" spans="1:14" x14ac:dyDescent="0.25">
      <c r="A654" s="262">
        <v>17181</v>
      </c>
      <c r="B654" s="262" t="s">
        <v>575</v>
      </c>
      <c r="C654" s="262" t="s">
        <v>249</v>
      </c>
      <c r="D654" s="262">
        <v>-89.258027600000005</v>
      </c>
      <c r="E654" s="262">
        <v>37.476700000000001</v>
      </c>
      <c r="M654" s="262">
        <v>14.39838905</v>
      </c>
      <c r="N654" s="262">
        <v>14.39838905</v>
      </c>
    </row>
    <row r="655" spans="1:14" x14ac:dyDescent="0.25">
      <c r="A655" s="262">
        <v>17183</v>
      </c>
      <c r="B655" s="262" t="s">
        <v>575</v>
      </c>
      <c r="C655" s="262" t="s">
        <v>623</v>
      </c>
      <c r="D655" s="262">
        <v>-87.734700799999999</v>
      </c>
      <c r="E655" s="262">
        <v>40.173400000000001</v>
      </c>
      <c r="M655" s="262">
        <v>12.412067779999999</v>
      </c>
      <c r="N655" s="262">
        <v>12.412067779999999</v>
      </c>
    </row>
    <row r="656" spans="1:14" x14ac:dyDescent="0.25">
      <c r="A656" s="262">
        <v>17185</v>
      </c>
      <c r="B656" s="262" t="s">
        <v>575</v>
      </c>
      <c r="C656" s="262" t="s">
        <v>624</v>
      </c>
      <c r="D656" s="262">
        <v>-87.844637300000002</v>
      </c>
      <c r="E656" s="262">
        <v>38.448900000000002</v>
      </c>
      <c r="M656" s="262">
        <v>13.71289472</v>
      </c>
      <c r="N656" s="262">
        <v>13.71289472</v>
      </c>
    </row>
    <row r="657" spans="1:14" x14ac:dyDescent="0.25">
      <c r="A657" s="262">
        <v>17187</v>
      </c>
      <c r="B657" s="262" t="s">
        <v>575</v>
      </c>
      <c r="C657" s="262" t="s">
        <v>533</v>
      </c>
      <c r="D657" s="262">
        <v>-90.620732200000006</v>
      </c>
      <c r="E657" s="262">
        <v>40.843969999999999</v>
      </c>
      <c r="M657" s="262">
        <v>12.134462210000001</v>
      </c>
      <c r="N657" s="262">
        <v>12.134462210000001</v>
      </c>
    </row>
    <row r="658" spans="1:14" x14ac:dyDescent="0.25">
      <c r="A658" s="262">
        <v>17189</v>
      </c>
      <c r="B658" s="262" t="s">
        <v>575</v>
      </c>
      <c r="C658" s="262" t="s">
        <v>177</v>
      </c>
      <c r="D658" s="262">
        <v>-89.412253199999995</v>
      </c>
      <c r="E658" s="262">
        <v>38.350380000000001</v>
      </c>
      <c r="M658" s="262">
        <v>13.860349599999999</v>
      </c>
      <c r="N658" s="262">
        <v>13.860349599999999</v>
      </c>
    </row>
    <row r="659" spans="1:14" x14ac:dyDescent="0.25">
      <c r="A659" s="262">
        <v>17191</v>
      </c>
      <c r="B659" s="262" t="s">
        <v>575</v>
      </c>
      <c r="C659" s="262" t="s">
        <v>534</v>
      </c>
      <c r="D659" s="262">
        <v>-88.431856499999995</v>
      </c>
      <c r="E659" s="262">
        <v>38.422229999999999</v>
      </c>
      <c r="M659" s="262">
        <v>13.75239272</v>
      </c>
      <c r="N659" s="262">
        <v>13.75239272</v>
      </c>
    </row>
    <row r="660" spans="1:14" x14ac:dyDescent="0.25">
      <c r="A660" s="262">
        <v>17193</v>
      </c>
      <c r="B660" s="262" t="s">
        <v>575</v>
      </c>
      <c r="C660" s="262" t="s">
        <v>251</v>
      </c>
      <c r="D660" s="262">
        <v>-88.186473899999996</v>
      </c>
      <c r="E660" s="262">
        <v>38.08569</v>
      </c>
      <c r="M660" s="262">
        <v>13.97507137</v>
      </c>
      <c r="N660" s="262">
        <v>13.97507137</v>
      </c>
    </row>
    <row r="661" spans="1:14" x14ac:dyDescent="0.25">
      <c r="A661" s="262">
        <v>17195</v>
      </c>
      <c r="B661" s="262" t="s">
        <v>575</v>
      </c>
      <c r="C661" s="262" t="s">
        <v>625</v>
      </c>
      <c r="D661" s="262">
        <v>-89.916390100000001</v>
      </c>
      <c r="E661" s="262">
        <v>41.761049999999997</v>
      </c>
      <c r="M661" s="262">
        <v>11.343264469999999</v>
      </c>
      <c r="N661" s="262">
        <v>11.343264469999999</v>
      </c>
    </row>
    <row r="662" spans="1:14" x14ac:dyDescent="0.25">
      <c r="A662" s="262">
        <v>17197</v>
      </c>
      <c r="B662" s="262" t="s">
        <v>575</v>
      </c>
      <c r="C662" s="262" t="s">
        <v>626</v>
      </c>
      <c r="D662" s="262">
        <v>-87.983913200000003</v>
      </c>
      <c r="E662" s="262">
        <v>41.443010000000001</v>
      </c>
      <c r="M662" s="262">
        <v>11.492041349999999</v>
      </c>
      <c r="N662" s="262">
        <v>11.492041349999999</v>
      </c>
    </row>
    <row r="663" spans="1:14" x14ac:dyDescent="0.25">
      <c r="A663" s="262">
        <v>17199</v>
      </c>
      <c r="B663" s="262" t="s">
        <v>575</v>
      </c>
      <c r="C663" s="262" t="s">
        <v>627</v>
      </c>
      <c r="D663" s="262">
        <v>-88.930354800000003</v>
      </c>
      <c r="E663" s="262">
        <v>37.733899999999998</v>
      </c>
      <c r="M663" s="262">
        <v>14.236821239999999</v>
      </c>
      <c r="N663" s="262">
        <v>14.236821239999999</v>
      </c>
    </row>
    <row r="664" spans="1:14" x14ac:dyDescent="0.25">
      <c r="A664" s="262">
        <v>17201</v>
      </c>
      <c r="B664" s="262" t="s">
        <v>575</v>
      </c>
      <c r="C664" s="262" t="s">
        <v>628</v>
      </c>
      <c r="D664" s="262">
        <v>-89.159102799999999</v>
      </c>
      <c r="E664" s="262">
        <v>42.339530000000003</v>
      </c>
      <c r="M664" s="262">
        <v>10.90236127</v>
      </c>
      <c r="N664" s="262">
        <v>10.90236127</v>
      </c>
    </row>
    <row r="665" spans="1:14" x14ac:dyDescent="0.25">
      <c r="A665" s="262">
        <v>17203</v>
      </c>
      <c r="B665" s="262" t="s">
        <v>575</v>
      </c>
      <c r="C665" s="262" t="s">
        <v>629</v>
      </c>
      <c r="D665" s="262">
        <v>-89.208521500000003</v>
      </c>
      <c r="E665" s="262">
        <v>40.786610000000003</v>
      </c>
      <c r="M665" s="262">
        <v>12.057744639999999</v>
      </c>
      <c r="N665" s="262">
        <v>12.057744639999999</v>
      </c>
    </row>
    <row r="666" spans="1:14" x14ac:dyDescent="0.25">
      <c r="A666" s="262">
        <v>18001</v>
      </c>
      <c r="B666" s="262" t="s">
        <v>630</v>
      </c>
      <c r="C666" s="262" t="s">
        <v>312</v>
      </c>
      <c r="D666" s="262">
        <v>-84.951332399999998</v>
      </c>
      <c r="E666" s="262">
        <v>40.743870000000001</v>
      </c>
      <c r="M666" s="262">
        <v>11.817166029999999</v>
      </c>
      <c r="N666" s="262">
        <v>11.817166029999999</v>
      </c>
    </row>
    <row r="667" spans="1:14" x14ac:dyDescent="0.25">
      <c r="A667" s="262">
        <v>18003</v>
      </c>
      <c r="B667" s="262" t="s">
        <v>630</v>
      </c>
      <c r="C667" s="262" t="s">
        <v>631</v>
      </c>
      <c r="D667" s="262">
        <v>-85.076317700000004</v>
      </c>
      <c r="E667" s="262">
        <v>41.096780000000003</v>
      </c>
      <c r="M667" s="262">
        <v>11.57188262</v>
      </c>
      <c r="N667" s="262">
        <v>11.57188262</v>
      </c>
    </row>
    <row r="668" spans="1:14" x14ac:dyDescent="0.25">
      <c r="A668" s="262">
        <v>18005</v>
      </c>
      <c r="B668" s="262" t="s">
        <v>630</v>
      </c>
      <c r="C668" s="262" t="s">
        <v>632</v>
      </c>
      <c r="D668" s="262">
        <v>-85.895424599999998</v>
      </c>
      <c r="E668" s="262">
        <v>39.205199999999998</v>
      </c>
      <c r="M668" s="262">
        <v>12.94645811</v>
      </c>
      <c r="N668" s="262">
        <v>12.94645811</v>
      </c>
    </row>
    <row r="669" spans="1:14" x14ac:dyDescent="0.25">
      <c r="A669" s="262">
        <v>18007</v>
      </c>
      <c r="B669" s="262" t="s">
        <v>630</v>
      </c>
      <c r="C669" s="262" t="s">
        <v>200</v>
      </c>
      <c r="D669" s="262">
        <v>-87.308775699999998</v>
      </c>
      <c r="E669" s="262">
        <v>40.602370000000001</v>
      </c>
      <c r="M669" s="262">
        <v>12.056981479999999</v>
      </c>
      <c r="N669" s="262">
        <v>12.056981479999999</v>
      </c>
    </row>
    <row r="670" spans="1:14" x14ac:dyDescent="0.25">
      <c r="A670" s="262">
        <v>18009</v>
      </c>
      <c r="B670" s="262" t="s">
        <v>630</v>
      </c>
      <c r="C670" s="262" t="s">
        <v>633</v>
      </c>
      <c r="D670" s="262">
        <v>-85.337776099999999</v>
      </c>
      <c r="E670" s="262">
        <v>40.470500000000001</v>
      </c>
      <c r="M670" s="262">
        <v>12.01824386</v>
      </c>
      <c r="N670" s="262">
        <v>12.01824386</v>
      </c>
    </row>
    <row r="671" spans="1:14" x14ac:dyDescent="0.25">
      <c r="A671" s="262">
        <v>18011</v>
      </c>
      <c r="B671" s="262" t="s">
        <v>630</v>
      </c>
      <c r="C671" s="262" t="s">
        <v>201</v>
      </c>
      <c r="D671" s="262">
        <v>-86.461134700000002</v>
      </c>
      <c r="E671" s="262">
        <v>40.047409999999999</v>
      </c>
      <c r="M671" s="262">
        <v>12.378435809999999</v>
      </c>
      <c r="N671" s="262">
        <v>12.378435809999999</v>
      </c>
    </row>
    <row r="672" spans="1:14" x14ac:dyDescent="0.25">
      <c r="A672" s="262">
        <v>18013</v>
      </c>
      <c r="B672" s="262" t="s">
        <v>630</v>
      </c>
      <c r="C672" s="262" t="s">
        <v>578</v>
      </c>
      <c r="D672" s="262">
        <v>-86.216714300000007</v>
      </c>
      <c r="E672" s="262">
        <v>39.195360000000001</v>
      </c>
      <c r="M672" s="262">
        <v>12.966816659999999</v>
      </c>
      <c r="N672" s="262">
        <v>12.966816659999999</v>
      </c>
    </row>
    <row r="673" spans="1:14" x14ac:dyDescent="0.25">
      <c r="A673" s="262">
        <v>18015</v>
      </c>
      <c r="B673" s="262" t="s">
        <v>630</v>
      </c>
      <c r="C673" s="262" t="s">
        <v>203</v>
      </c>
      <c r="D673" s="262">
        <v>-86.553092100000001</v>
      </c>
      <c r="E673" s="262">
        <v>40.579009999999997</v>
      </c>
      <c r="M673" s="262">
        <v>12.01348806</v>
      </c>
      <c r="N673" s="262">
        <v>12.01348806</v>
      </c>
    </row>
    <row r="674" spans="1:14" x14ac:dyDescent="0.25">
      <c r="A674" s="262">
        <v>18017</v>
      </c>
      <c r="B674" s="262" t="s">
        <v>630</v>
      </c>
      <c r="C674" s="262" t="s">
        <v>580</v>
      </c>
      <c r="D674" s="262">
        <v>-86.348953800000004</v>
      </c>
      <c r="E674" s="262">
        <v>40.760939999999998</v>
      </c>
      <c r="M674" s="262">
        <v>11.890702109999999</v>
      </c>
      <c r="N674" s="262">
        <v>11.890702109999999</v>
      </c>
    </row>
    <row r="675" spans="1:14" x14ac:dyDescent="0.25">
      <c r="A675" s="262">
        <v>18019</v>
      </c>
      <c r="B675" s="262" t="s">
        <v>630</v>
      </c>
      <c r="C675" s="262" t="s">
        <v>205</v>
      </c>
      <c r="D675" s="262">
        <v>-85.7127835</v>
      </c>
      <c r="E675" s="262">
        <v>38.482050000000001</v>
      </c>
      <c r="M675" s="262">
        <v>13.520051860000001</v>
      </c>
      <c r="N675" s="262">
        <v>13.520051860000001</v>
      </c>
    </row>
    <row r="676" spans="1:14" x14ac:dyDescent="0.25">
      <c r="A676" s="262">
        <v>18021</v>
      </c>
      <c r="B676" s="262" t="s">
        <v>630</v>
      </c>
      <c r="C676" s="262" t="s">
        <v>126</v>
      </c>
      <c r="D676" s="262">
        <v>-87.117544800000005</v>
      </c>
      <c r="E676" s="262">
        <v>39.392319999999998</v>
      </c>
      <c r="M676" s="262">
        <v>12.93032812</v>
      </c>
      <c r="N676" s="262">
        <v>12.93032812</v>
      </c>
    </row>
    <row r="677" spans="1:14" x14ac:dyDescent="0.25">
      <c r="A677" s="262">
        <v>18023</v>
      </c>
      <c r="B677" s="262" t="s">
        <v>630</v>
      </c>
      <c r="C677" s="262" t="s">
        <v>583</v>
      </c>
      <c r="D677" s="262">
        <v>-86.468616900000001</v>
      </c>
      <c r="E677" s="262">
        <v>40.297220000000003</v>
      </c>
      <c r="M677" s="262">
        <v>12.194051269999999</v>
      </c>
      <c r="N677" s="262">
        <v>12.194051269999999</v>
      </c>
    </row>
    <row r="678" spans="1:14" x14ac:dyDescent="0.25">
      <c r="A678" s="262">
        <v>18025</v>
      </c>
      <c r="B678" s="262" t="s">
        <v>630</v>
      </c>
      <c r="C678" s="262" t="s">
        <v>210</v>
      </c>
      <c r="D678" s="262">
        <v>-86.454110600000007</v>
      </c>
      <c r="E678" s="262">
        <v>38.298780000000001</v>
      </c>
      <c r="M678" s="262">
        <v>13.69955854</v>
      </c>
      <c r="N678" s="262">
        <v>13.69955854</v>
      </c>
    </row>
    <row r="679" spans="1:14" x14ac:dyDescent="0.25">
      <c r="A679" s="262">
        <v>18027</v>
      </c>
      <c r="B679" s="262" t="s">
        <v>630</v>
      </c>
      <c r="C679" s="262" t="s">
        <v>634</v>
      </c>
      <c r="D679" s="262">
        <v>-87.070644700000003</v>
      </c>
      <c r="E679" s="262">
        <v>38.705359999999999</v>
      </c>
      <c r="M679" s="262">
        <v>13.46485204</v>
      </c>
      <c r="N679" s="262">
        <v>13.46485204</v>
      </c>
    </row>
    <row r="680" spans="1:14" x14ac:dyDescent="0.25">
      <c r="A680" s="262">
        <v>18029</v>
      </c>
      <c r="B680" s="262" t="s">
        <v>630</v>
      </c>
      <c r="C680" s="262" t="s">
        <v>635</v>
      </c>
      <c r="D680" s="262">
        <v>-84.983522399999998</v>
      </c>
      <c r="E680" s="262">
        <v>39.146619999999999</v>
      </c>
      <c r="M680" s="262">
        <v>12.954726580000001</v>
      </c>
      <c r="N680" s="262">
        <v>12.954726580000001</v>
      </c>
    </row>
    <row r="681" spans="1:14" x14ac:dyDescent="0.25">
      <c r="A681" s="262">
        <v>18031</v>
      </c>
      <c r="B681" s="262" t="s">
        <v>630</v>
      </c>
      <c r="C681" s="262" t="s">
        <v>464</v>
      </c>
      <c r="D681" s="262">
        <v>-85.506421700000004</v>
      </c>
      <c r="E681" s="262">
        <v>39.304220000000001</v>
      </c>
      <c r="M681" s="262">
        <v>12.86845866</v>
      </c>
      <c r="N681" s="262">
        <v>12.86845866</v>
      </c>
    </row>
    <row r="682" spans="1:14" x14ac:dyDescent="0.25">
      <c r="A682" s="262">
        <v>18033</v>
      </c>
      <c r="B682" s="262" t="s">
        <v>630</v>
      </c>
      <c r="C682" s="262" t="s">
        <v>137</v>
      </c>
      <c r="D682" s="262">
        <v>-85.004170999999999</v>
      </c>
      <c r="E682" s="262">
        <v>41.40972</v>
      </c>
      <c r="M682" s="262">
        <v>11.33596622</v>
      </c>
      <c r="N682" s="262">
        <v>11.33596622</v>
      </c>
    </row>
    <row r="683" spans="1:14" x14ac:dyDescent="0.25">
      <c r="A683" s="262">
        <v>18035</v>
      </c>
      <c r="B683" s="262" t="s">
        <v>630</v>
      </c>
      <c r="C683" s="262" t="s">
        <v>636</v>
      </c>
      <c r="D683" s="262">
        <v>-85.410234099999997</v>
      </c>
      <c r="E683" s="262">
        <v>40.225929999999998</v>
      </c>
      <c r="M683" s="262">
        <v>12.17731283</v>
      </c>
      <c r="N683" s="262">
        <v>12.17731283</v>
      </c>
    </row>
    <row r="684" spans="1:14" x14ac:dyDescent="0.25">
      <c r="A684" s="262">
        <v>18037</v>
      </c>
      <c r="B684" s="262" t="s">
        <v>630</v>
      </c>
      <c r="C684" s="262" t="s">
        <v>637</v>
      </c>
      <c r="D684" s="262">
        <v>-86.882250600000006</v>
      </c>
      <c r="E684" s="262">
        <v>38.36289</v>
      </c>
      <c r="M684" s="262">
        <v>13.69040626</v>
      </c>
      <c r="N684" s="262">
        <v>13.69040626</v>
      </c>
    </row>
    <row r="685" spans="1:14" x14ac:dyDescent="0.25">
      <c r="A685" s="262">
        <v>18039</v>
      </c>
      <c r="B685" s="262" t="s">
        <v>630</v>
      </c>
      <c r="C685" s="262" t="s">
        <v>638</v>
      </c>
      <c r="D685" s="262">
        <v>-85.861710299999999</v>
      </c>
      <c r="E685" s="262">
        <v>41.600059999999999</v>
      </c>
      <c r="M685" s="262">
        <v>11.268832870000001</v>
      </c>
      <c r="N685" s="262">
        <v>11.268832870000001</v>
      </c>
    </row>
    <row r="686" spans="1:14" x14ac:dyDescent="0.25">
      <c r="A686" s="262">
        <v>18041</v>
      </c>
      <c r="B686" s="262" t="s">
        <v>630</v>
      </c>
      <c r="C686" s="262" t="s">
        <v>141</v>
      </c>
      <c r="D686" s="262">
        <v>-85.182766299999997</v>
      </c>
      <c r="E686" s="262">
        <v>39.63353</v>
      </c>
      <c r="M686" s="262">
        <v>12.59464872</v>
      </c>
      <c r="N686" s="262">
        <v>12.59464872</v>
      </c>
    </row>
    <row r="687" spans="1:14" x14ac:dyDescent="0.25">
      <c r="A687" s="262">
        <v>18043</v>
      </c>
      <c r="B687" s="262" t="s">
        <v>630</v>
      </c>
      <c r="C687" s="262" t="s">
        <v>474</v>
      </c>
      <c r="D687" s="262">
        <v>-85.903784999999999</v>
      </c>
      <c r="E687" s="262">
        <v>38.320390000000003</v>
      </c>
      <c r="M687" s="262">
        <v>13.64495514</v>
      </c>
      <c r="N687" s="262">
        <v>13.64495514</v>
      </c>
    </row>
    <row r="688" spans="1:14" x14ac:dyDescent="0.25">
      <c r="A688" s="262">
        <v>18045</v>
      </c>
      <c r="B688" s="262" t="s">
        <v>630</v>
      </c>
      <c r="C688" s="262" t="s">
        <v>639</v>
      </c>
      <c r="D688" s="262">
        <v>-87.238839799999994</v>
      </c>
      <c r="E688" s="262">
        <v>40.125619999999998</v>
      </c>
      <c r="M688" s="262">
        <v>12.39909857</v>
      </c>
      <c r="N688" s="262">
        <v>12.39909857</v>
      </c>
    </row>
    <row r="689" spans="1:14" x14ac:dyDescent="0.25">
      <c r="A689" s="262">
        <v>18047</v>
      </c>
      <c r="B689" s="262" t="s">
        <v>630</v>
      </c>
      <c r="C689" s="262" t="s">
        <v>142</v>
      </c>
      <c r="D689" s="262">
        <v>-85.062341200000006</v>
      </c>
      <c r="E689" s="262">
        <v>39.414180000000002</v>
      </c>
      <c r="M689" s="262">
        <v>12.75379991</v>
      </c>
      <c r="N689" s="262">
        <v>12.75379991</v>
      </c>
    </row>
    <row r="690" spans="1:14" x14ac:dyDescent="0.25">
      <c r="A690" s="262">
        <v>18049</v>
      </c>
      <c r="B690" s="262" t="s">
        <v>630</v>
      </c>
      <c r="C690" s="262" t="s">
        <v>216</v>
      </c>
      <c r="D690" s="262">
        <v>-86.266770899999997</v>
      </c>
      <c r="E690" s="262">
        <v>41.048839999999998</v>
      </c>
      <c r="M690" s="262">
        <v>11.67781619</v>
      </c>
      <c r="N690" s="262">
        <v>11.67781619</v>
      </c>
    </row>
    <row r="691" spans="1:14" x14ac:dyDescent="0.25">
      <c r="A691" s="262">
        <v>18051</v>
      </c>
      <c r="B691" s="262" t="s">
        <v>630</v>
      </c>
      <c r="C691" s="262" t="s">
        <v>640</v>
      </c>
      <c r="D691" s="262">
        <v>-87.584040099999996</v>
      </c>
      <c r="E691" s="262">
        <v>38.31561</v>
      </c>
      <c r="M691" s="262">
        <v>13.792131380000001</v>
      </c>
      <c r="N691" s="262">
        <v>13.792131380000001</v>
      </c>
    </row>
    <row r="692" spans="1:14" x14ac:dyDescent="0.25">
      <c r="A692" s="262">
        <v>18053</v>
      </c>
      <c r="B692" s="262" t="s">
        <v>630</v>
      </c>
      <c r="C692" s="262" t="s">
        <v>218</v>
      </c>
      <c r="D692" s="262">
        <v>-85.660888200000002</v>
      </c>
      <c r="E692" s="262">
        <v>40.514249999999997</v>
      </c>
      <c r="M692" s="262">
        <v>12.00130791</v>
      </c>
      <c r="N692" s="262">
        <v>12.00130791</v>
      </c>
    </row>
    <row r="693" spans="1:14" x14ac:dyDescent="0.25">
      <c r="A693" s="262">
        <v>18055</v>
      </c>
      <c r="B693" s="262" t="s">
        <v>630</v>
      </c>
      <c r="C693" s="262" t="s">
        <v>144</v>
      </c>
      <c r="D693" s="262">
        <v>-86.955758700000004</v>
      </c>
      <c r="E693" s="262">
        <v>39.038960000000003</v>
      </c>
      <c r="M693" s="262">
        <v>13.185790620000001</v>
      </c>
      <c r="N693" s="262">
        <v>13.185790620000001</v>
      </c>
    </row>
    <row r="694" spans="1:14" x14ac:dyDescent="0.25">
      <c r="A694" s="262">
        <v>18057</v>
      </c>
      <c r="B694" s="262" t="s">
        <v>630</v>
      </c>
      <c r="C694" s="262" t="s">
        <v>400</v>
      </c>
      <c r="D694" s="262">
        <v>-86.053599700000007</v>
      </c>
      <c r="E694" s="262">
        <v>40.06588</v>
      </c>
      <c r="M694" s="262">
        <v>12.33572075</v>
      </c>
      <c r="N694" s="262">
        <v>12.33572075</v>
      </c>
    </row>
    <row r="695" spans="1:14" x14ac:dyDescent="0.25">
      <c r="A695" s="262">
        <v>18059</v>
      </c>
      <c r="B695" s="262" t="s">
        <v>630</v>
      </c>
      <c r="C695" s="262" t="s">
        <v>484</v>
      </c>
      <c r="D695" s="262">
        <v>-85.777373699999998</v>
      </c>
      <c r="E695" s="262">
        <v>39.811520000000002</v>
      </c>
      <c r="M695" s="262">
        <v>12.487056689999999</v>
      </c>
      <c r="N695" s="262">
        <v>12.487056689999999</v>
      </c>
    </row>
    <row r="696" spans="1:14" x14ac:dyDescent="0.25">
      <c r="A696" s="262">
        <v>18061</v>
      </c>
      <c r="B696" s="262" t="s">
        <v>630</v>
      </c>
      <c r="C696" s="262" t="s">
        <v>641</v>
      </c>
      <c r="D696" s="262">
        <v>-86.112863300000001</v>
      </c>
      <c r="E696" s="262">
        <v>38.202150000000003</v>
      </c>
      <c r="M696" s="262">
        <v>13.7339515</v>
      </c>
      <c r="N696" s="262">
        <v>13.7339515</v>
      </c>
    </row>
    <row r="697" spans="1:14" x14ac:dyDescent="0.25">
      <c r="A697" s="262">
        <v>18063</v>
      </c>
      <c r="B697" s="262" t="s">
        <v>630</v>
      </c>
      <c r="C697" s="262" t="s">
        <v>642</v>
      </c>
      <c r="D697" s="262">
        <v>-86.498701600000004</v>
      </c>
      <c r="E697" s="262">
        <v>39.767569999999999</v>
      </c>
      <c r="M697" s="262">
        <v>12.577472520000001</v>
      </c>
      <c r="N697" s="262">
        <v>12.577472520000001</v>
      </c>
    </row>
    <row r="698" spans="1:14" x14ac:dyDescent="0.25">
      <c r="A698" s="262">
        <v>18065</v>
      </c>
      <c r="B698" s="262" t="s">
        <v>630</v>
      </c>
      <c r="C698" s="262" t="s">
        <v>146</v>
      </c>
      <c r="D698" s="262">
        <v>-85.408510199999995</v>
      </c>
      <c r="E698" s="262">
        <v>39.926250000000003</v>
      </c>
      <c r="M698" s="262">
        <v>12.3872765</v>
      </c>
      <c r="N698" s="262">
        <v>12.3872765</v>
      </c>
    </row>
    <row r="699" spans="1:14" x14ac:dyDescent="0.25">
      <c r="A699" s="262">
        <v>18067</v>
      </c>
      <c r="B699" s="262" t="s">
        <v>630</v>
      </c>
      <c r="C699" s="262" t="s">
        <v>221</v>
      </c>
      <c r="D699" s="262">
        <v>-86.116732400000004</v>
      </c>
      <c r="E699" s="262">
        <v>40.479340000000001</v>
      </c>
      <c r="M699" s="262">
        <v>12.061365479999999</v>
      </c>
      <c r="N699" s="262">
        <v>12.061365479999999</v>
      </c>
    </row>
    <row r="700" spans="1:14" x14ac:dyDescent="0.25">
      <c r="A700" s="262">
        <v>18069</v>
      </c>
      <c r="B700" s="262" t="s">
        <v>630</v>
      </c>
      <c r="C700" s="262" t="s">
        <v>643</v>
      </c>
      <c r="D700" s="262">
        <v>-85.500057400000003</v>
      </c>
      <c r="E700" s="262">
        <v>40.833770000000001</v>
      </c>
      <c r="M700" s="262">
        <v>11.78656715</v>
      </c>
      <c r="N700" s="262">
        <v>11.78656715</v>
      </c>
    </row>
    <row r="701" spans="1:14" x14ac:dyDescent="0.25">
      <c r="A701" s="262">
        <v>18071</v>
      </c>
      <c r="B701" s="262" t="s">
        <v>630</v>
      </c>
      <c r="C701" s="262" t="s">
        <v>148</v>
      </c>
      <c r="D701" s="262">
        <v>-86.031246999999993</v>
      </c>
      <c r="E701" s="262">
        <v>38.909689999999998</v>
      </c>
      <c r="M701" s="262">
        <v>13.19487114</v>
      </c>
      <c r="N701" s="262">
        <v>13.19487114</v>
      </c>
    </row>
    <row r="702" spans="1:14" x14ac:dyDescent="0.25">
      <c r="A702" s="262">
        <v>18073</v>
      </c>
      <c r="B702" s="262" t="s">
        <v>630</v>
      </c>
      <c r="C702" s="262" t="s">
        <v>490</v>
      </c>
      <c r="D702" s="262">
        <v>-87.1098681</v>
      </c>
      <c r="E702" s="262">
        <v>41.022440000000003</v>
      </c>
      <c r="M702" s="262">
        <v>11.758575329999999</v>
      </c>
      <c r="N702" s="262">
        <v>11.758575329999999</v>
      </c>
    </row>
    <row r="703" spans="1:14" x14ac:dyDescent="0.25">
      <c r="A703" s="262">
        <v>18075</v>
      </c>
      <c r="B703" s="262" t="s">
        <v>630</v>
      </c>
      <c r="C703" s="262" t="s">
        <v>644</v>
      </c>
      <c r="D703" s="262">
        <v>-85.016581200000005</v>
      </c>
      <c r="E703" s="262">
        <v>40.437570000000001</v>
      </c>
      <c r="M703" s="262">
        <v>12.03285326</v>
      </c>
      <c r="N703" s="262">
        <v>12.03285326</v>
      </c>
    </row>
    <row r="704" spans="1:14" x14ac:dyDescent="0.25">
      <c r="A704" s="262">
        <v>18077</v>
      </c>
      <c r="B704" s="262" t="s">
        <v>630</v>
      </c>
      <c r="C704" s="262" t="s">
        <v>149</v>
      </c>
      <c r="D704" s="262">
        <v>-85.4364487</v>
      </c>
      <c r="E704" s="262">
        <v>38.789400000000001</v>
      </c>
      <c r="M704" s="262">
        <v>13.2647186</v>
      </c>
      <c r="N704" s="262">
        <v>13.2647186</v>
      </c>
    </row>
    <row r="705" spans="1:14" x14ac:dyDescent="0.25">
      <c r="A705" s="262">
        <v>18079</v>
      </c>
      <c r="B705" s="262" t="s">
        <v>630</v>
      </c>
      <c r="C705" s="262" t="s">
        <v>645</v>
      </c>
      <c r="D705" s="262">
        <v>-85.632007400000006</v>
      </c>
      <c r="E705" s="262">
        <v>38.996290000000002</v>
      </c>
      <c r="M705" s="262">
        <v>13.11178099</v>
      </c>
      <c r="N705" s="262">
        <v>13.11178099</v>
      </c>
    </row>
    <row r="706" spans="1:14" x14ac:dyDescent="0.25">
      <c r="A706" s="262">
        <v>18081</v>
      </c>
      <c r="B706" s="262" t="s">
        <v>630</v>
      </c>
      <c r="C706" s="262" t="s">
        <v>224</v>
      </c>
      <c r="D706" s="262">
        <v>-86.096864100000005</v>
      </c>
      <c r="E706" s="262">
        <v>39.484070000000003</v>
      </c>
      <c r="M706" s="262">
        <v>12.717936959999999</v>
      </c>
      <c r="N706" s="262">
        <v>12.717936959999999</v>
      </c>
    </row>
    <row r="707" spans="1:14" x14ac:dyDescent="0.25">
      <c r="A707" s="262">
        <v>18083</v>
      </c>
      <c r="B707" s="262" t="s">
        <v>630</v>
      </c>
      <c r="C707" s="262" t="s">
        <v>601</v>
      </c>
      <c r="D707" s="262">
        <v>-87.419167900000005</v>
      </c>
      <c r="E707" s="262">
        <v>38.697220000000002</v>
      </c>
      <c r="M707" s="262">
        <v>13.50389571</v>
      </c>
      <c r="N707" s="262">
        <v>13.50389571</v>
      </c>
    </row>
    <row r="708" spans="1:14" x14ac:dyDescent="0.25">
      <c r="A708" s="262">
        <v>18085</v>
      </c>
      <c r="B708" s="262" t="s">
        <v>630</v>
      </c>
      <c r="C708" s="262" t="s">
        <v>646</v>
      </c>
      <c r="D708" s="262">
        <v>-85.868392499999999</v>
      </c>
      <c r="E708" s="262">
        <v>41.240490000000001</v>
      </c>
      <c r="M708" s="262">
        <v>11.508588659999999</v>
      </c>
      <c r="N708" s="262">
        <v>11.508588659999999</v>
      </c>
    </row>
    <row r="709" spans="1:14" x14ac:dyDescent="0.25">
      <c r="A709" s="262">
        <v>18087</v>
      </c>
      <c r="B709" s="262" t="s">
        <v>630</v>
      </c>
      <c r="C709" s="262" t="s">
        <v>647</v>
      </c>
      <c r="D709" s="262">
        <v>-85.436079000000007</v>
      </c>
      <c r="E709" s="262">
        <v>41.659779999999998</v>
      </c>
      <c r="M709" s="262">
        <v>11.176476839999999</v>
      </c>
      <c r="N709" s="262">
        <v>11.176476839999999</v>
      </c>
    </row>
    <row r="710" spans="1:14" x14ac:dyDescent="0.25">
      <c r="A710" s="262">
        <v>18089</v>
      </c>
      <c r="B710" s="262" t="s">
        <v>630</v>
      </c>
      <c r="C710" s="262" t="s">
        <v>271</v>
      </c>
      <c r="D710" s="262">
        <v>-87.383265300000005</v>
      </c>
      <c r="E710" s="262">
        <v>41.422820000000002</v>
      </c>
      <c r="M710" s="262">
        <v>11.50735963</v>
      </c>
      <c r="N710" s="262">
        <v>11.50735963</v>
      </c>
    </row>
    <row r="711" spans="1:14" x14ac:dyDescent="0.25">
      <c r="A711" s="262">
        <v>18091</v>
      </c>
      <c r="B711" s="262" t="s">
        <v>630</v>
      </c>
      <c r="C711" s="262" t="s">
        <v>648</v>
      </c>
      <c r="D711" s="262">
        <v>-86.732441600000001</v>
      </c>
      <c r="E711" s="262">
        <v>41.551990000000004</v>
      </c>
      <c r="M711" s="262">
        <v>11.38257456</v>
      </c>
      <c r="N711" s="262">
        <v>11.38257456</v>
      </c>
    </row>
    <row r="712" spans="1:14" x14ac:dyDescent="0.25">
      <c r="A712" s="262">
        <v>18093</v>
      </c>
      <c r="B712" s="262" t="s">
        <v>630</v>
      </c>
      <c r="C712" s="262" t="s">
        <v>152</v>
      </c>
      <c r="D712" s="262">
        <v>-86.472284200000004</v>
      </c>
      <c r="E712" s="262">
        <v>38.839959999999998</v>
      </c>
      <c r="M712" s="262">
        <v>13.279414210000001</v>
      </c>
      <c r="N712" s="262">
        <v>13.279414210000001</v>
      </c>
    </row>
    <row r="713" spans="1:14" x14ac:dyDescent="0.25">
      <c r="A713" s="262">
        <v>18095</v>
      </c>
      <c r="B713" s="262" t="s">
        <v>630</v>
      </c>
      <c r="C713" s="262" t="s">
        <v>157</v>
      </c>
      <c r="D713" s="262">
        <v>-85.729234000000005</v>
      </c>
      <c r="E713" s="262">
        <v>40.151409999999998</v>
      </c>
      <c r="M713" s="262">
        <v>12.24760874</v>
      </c>
      <c r="N713" s="262">
        <v>12.24760874</v>
      </c>
    </row>
    <row r="714" spans="1:14" x14ac:dyDescent="0.25">
      <c r="A714" s="262">
        <v>18097</v>
      </c>
      <c r="B714" s="262" t="s">
        <v>630</v>
      </c>
      <c r="C714" s="262" t="s">
        <v>159</v>
      </c>
      <c r="D714" s="262">
        <v>-86.133875099999997</v>
      </c>
      <c r="E714" s="262">
        <v>39.775820000000003</v>
      </c>
      <c r="M714" s="262">
        <v>12.523095850000001</v>
      </c>
      <c r="N714" s="262">
        <v>12.523095850000001</v>
      </c>
    </row>
    <row r="715" spans="1:14" x14ac:dyDescent="0.25">
      <c r="A715" s="262">
        <v>18099</v>
      </c>
      <c r="B715" s="262" t="s">
        <v>630</v>
      </c>
      <c r="C715" s="262" t="s">
        <v>160</v>
      </c>
      <c r="D715" s="262">
        <v>-86.257748899999996</v>
      </c>
      <c r="E715" s="262">
        <v>41.325209999999998</v>
      </c>
      <c r="M715" s="262">
        <v>11.479892960000001</v>
      </c>
      <c r="N715" s="262">
        <v>11.479892960000001</v>
      </c>
    </row>
    <row r="716" spans="1:14" x14ac:dyDescent="0.25">
      <c r="A716" s="262">
        <v>18101</v>
      </c>
      <c r="B716" s="262" t="s">
        <v>630</v>
      </c>
      <c r="C716" s="262" t="s">
        <v>412</v>
      </c>
      <c r="D716" s="262">
        <v>-86.7946563</v>
      </c>
      <c r="E716" s="262">
        <v>38.708509999999997</v>
      </c>
      <c r="M716" s="262">
        <v>13.4193286</v>
      </c>
      <c r="N716" s="262">
        <v>13.4193286</v>
      </c>
    </row>
    <row r="717" spans="1:14" x14ac:dyDescent="0.25">
      <c r="A717" s="262">
        <v>18103</v>
      </c>
      <c r="B717" s="262" t="s">
        <v>630</v>
      </c>
      <c r="C717" s="262" t="s">
        <v>649</v>
      </c>
      <c r="D717" s="262">
        <v>-86.047802300000001</v>
      </c>
      <c r="E717" s="262">
        <v>40.77234</v>
      </c>
      <c r="M717" s="262">
        <v>11.85831627</v>
      </c>
      <c r="N717" s="262">
        <v>11.85831627</v>
      </c>
    </row>
    <row r="718" spans="1:14" x14ac:dyDescent="0.25">
      <c r="A718" s="262">
        <v>18105</v>
      </c>
      <c r="B718" s="262" t="s">
        <v>630</v>
      </c>
      <c r="C718" s="262" t="s">
        <v>162</v>
      </c>
      <c r="D718" s="262">
        <v>-86.512394499999999</v>
      </c>
      <c r="E718" s="262">
        <v>39.159709999999997</v>
      </c>
      <c r="M718" s="262">
        <v>13.025286749999999</v>
      </c>
      <c r="N718" s="262">
        <v>13.025286749999999</v>
      </c>
    </row>
    <row r="719" spans="1:14" x14ac:dyDescent="0.25">
      <c r="A719" s="262">
        <v>18107</v>
      </c>
      <c r="B719" s="262" t="s">
        <v>630</v>
      </c>
      <c r="C719" s="262" t="s">
        <v>163</v>
      </c>
      <c r="D719" s="262">
        <v>-86.882047799999995</v>
      </c>
      <c r="E719" s="262">
        <v>40.04081</v>
      </c>
      <c r="M719" s="262">
        <v>12.44026865</v>
      </c>
      <c r="N719" s="262">
        <v>12.44026865</v>
      </c>
    </row>
    <row r="720" spans="1:14" x14ac:dyDescent="0.25">
      <c r="A720" s="262">
        <v>18109</v>
      </c>
      <c r="B720" s="262" t="s">
        <v>630</v>
      </c>
      <c r="C720" s="262" t="s">
        <v>164</v>
      </c>
      <c r="D720" s="262">
        <v>-86.435695300000006</v>
      </c>
      <c r="E720" s="262">
        <v>39.48115</v>
      </c>
      <c r="M720" s="262">
        <v>12.761489579999999</v>
      </c>
      <c r="N720" s="262">
        <v>12.761489579999999</v>
      </c>
    </row>
    <row r="721" spans="1:14" x14ac:dyDescent="0.25">
      <c r="A721" s="262">
        <v>18111</v>
      </c>
      <c r="B721" s="262" t="s">
        <v>630</v>
      </c>
      <c r="C721" s="262" t="s">
        <v>233</v>
      </c>
      <c r="D721" s="262">
        <v>-87.396908699999997</v>
      </c>
      <c r="E721" s="262">
        <v>40.952579999999998</v>
      </c>
      <c r="M721" s="262">
        <v>11.821681890000001</v>
      </c>
      <c r="N721" s="262">
        <v>11.821681890000001</v>
      </c>
    </row>
    <row r="722" spans="1:14" x14ac:dyDescent="0.25">
      <c r="A722" s="262">
        <v>18113</v>
      </c>
      <c r="B722" s="262" t="s">
        <v>630</v>
      </c>
      <c r="C722" s="262" t="s">
        <v>650</v>
      </c>
      <c r="D722" s="262">
        <v>-85.432534500000003</v>
      </c>
      <c r="E722" s="262">
        <v>41.412750000000003</v>
      </c>
      <c r="M722" s="262">
        <v>11.35853153</v>
      </c>
      <c r="N722" s="262">
        <v>11.35853153</v>
      </c>
    </row>
    <row r="723" spans="1:14" x14ac:dyDescent="0.25">
      <c r="A723" s="262">
        <v>18115</v>
      </c>
      <c r="B723" s="262" t="s">
        <v>630</v>
      </c>
      <c r="C723" s="262" t="s">
        <v>651</v>
      </c>
      <c r="D723" s="262">
        <v>-84.977690100000004</v>
      </c>
      <c r="E723" s="262">
        <v>38.950740000000003</v>
      </c>
      <c r="M723" s="262">
        <v>13.09325177</v>
      </c>
      <c r="N723" s="262">
        <v>13.09325177</v>
      </c>
    </row>
    <row r="724" spans="1:14" x14ac:dyDescent="0.25">
      <c r="A724" s="262">
        <v>18117</v>
      </c>
      <c r="B724" s="262" t="s">
        <v>630</v>
      </c>
      <c r="C724" s="262" t="s">
        <v>283</v>
      </c>
      <c r="D724" s="262">
        <v>-86.490018800000001</v>
      </c>
      <c r="E724" s="262">
        <v>38.542479999999998</v>
      </c>
      <c r="M724" s="262">
        <v>13.519283039999999</v>
      </c>
      <c r="N724" s="262">
        <v>13.519283039999999</v>
      </c>
    </row>
    <row r="725" spans="1:14" x14ac:dyDescent="0.25">
      <c r="A725" s="262">
        <v>18119</v>
      </c>
      <c r="B725" s="262" t="s">
        <v>630</v>
      </c>
      <c r="C725" s="262" t="s">
        <v>652</v>
      </c>
      <c r="D725" s="262">
        <v>-86.828548699999999</v>
      </c>
      <c r="E725" s="262">
        <v>39.316940000000002</v>
      </c>
      <c r="M725" s="262">
        <v>12.93874357</v>
      </c>
      <c r="N725" s="262">
        <v>12.93874357</v>
      </c>
    </row>
    <row r="726" spans="1:14" x14ac:dyDescent="0.25">
      <c r="A726" s="262">
        <v>18121</v>
      </c>
      <c r="B726" s="262" t="s">
        <v>630</v>
      </c>
      <c r="C726" s="262" t="s">
        <v>653</v>
      </c>
      <c r="D726" s="262">
        <v>-87.203403499999993</v>
      </c>
      <c r="E726" s="262">
        <v>39.770769999999999</v>
      </c>
      <c r="M726" s="262">
        <v>12.663834570000001</v>
      </c>
      <c r="N726" s="262">
        <v>12.663834570000001</v>
      </c>
    </row>
    <row r="727" spans="1:14" x14ac:dyDescent="0.25">
      <c r="A727" s="262">
        <v>18123</v>
      </c>
      <c r="B727" s="262" t="s">
        <v>630</v>
      </c>
      <c r="C727" s="262" t="s">
        <v>165</v>
      </c>
      <c r="D727" s="262">
        <v>-86.637171499999994</v>
      </c>
      <c r="E727" s="262">
        <v>38.086570000000002</v>
      </c>
      <c r="M727" s="262">
        <v>13.87022346</v>
      </c>
      <c r="N727" s="262">
        <v>13.87022346</v>
      </c>
    </row>
    <row r="728" spans="1:14" x14ac:dyDescent="0.25">
      <c r="A728" s="262">
        <v>18125</v>
      </c>
      <c r="B728" s="262" t="s">
        <v>630</v>
      </c>
      <c r="C728" s="262" t="s">
        <v>167</v>
      </c>
      <c r="D728" s="262">
        <v>-87.238124299999996</v>
      </c>
      <c r="E728" s="262">
        <v>38.400770000000001</v>
      </c>
      <c r="M728" s="262">
        <v>13.6987269</v>
      </c>
      <c r="N728" s="262">
        <v>13.6987269</v>
      </c>
    </row>
    <row r="729" spans="1:14" x14ac:dyDescent="0.25">
      <c r="A729" s="262">
        <v>18127</v>
      </c>
      <c r="B729" s="262" t="s">
        <v>630</v>
      </c>
      <c r="C729" s="262" t="s">
        <v>654</v>
      </c>
      <c r="D729" s="262">
        <v>-87.063726000000003</v>
      </c>
      <c r="E729" s="262">
        <v>41.463030000000003</v>
      </c>
      <c r="M729" s="262">
        <v>11.46122587</v>
      </c>
      <c r="N729" s="262">
        <v>11.46122587</v>
      </c>
    </row>
    <row r="730" spans="1:14" x14ac:dyDescent="0.25">
      <c r="A730" s="262">
        <v>18129</v>
      </c>
      <c r="B730" s="262" t="s">
        <v>630</v>
      </c>
      <c r="C730" s="262" t="s">
        <v>655</v>
      </c>
      <c r="D730" s="262">
        <v>-87.873180599999998</v>
      </c>
      <c r="E730" s="262">
        <v>38.02534</v>
      </c>
      <c r="M730" s="262">
        <v>13.991879490000001</v>
      </c>
      <c r="N730" s="262">
        <v>13.991879490000001</v>
      </c>
    </row>
    <row r="731" spans="1:14" x14ac:dyDescent="0.25">
      <c r="A731" s="262">
        <v>18131</v>
      </c>
      <c r="B731" s="262" t="s">
        <v>630</v>
      </c>
      <c r="C731" s="262" t="s">
        <v>240</v>
      </c>
      <c r="D731" s="262">
        <v>-86.690151499999999</v>
      </c>
      <c r="E731" s="262">
        <v>41.0381</v>
      </c>
      <c r="M731" s="262">
        <v>11.725531889999999</v>
      </c>
      <c r="N731" s="262">
        <v>11.725531889999999</v>
      </c>
    </row>
    <row r="732" spans="1:14" x14ac:dyDescent="0.25">
      <c r="A732" s="262">
        <v>18133</v>
      </c>
      <c r="B732" s="262" t="s">
        <v>630</v>
      </c>
      <c r="C732" s="262" t="s">
        <v>421</v>
      </c>
      <c r="D732" s="262">
        <v>-86.838835599999996</v>
      </c>
      <c r="E732" s="262">
        <v>39.665649999999999</v>
      </c>
      <c r="M732" s="262">
        <v>12.68828182</v>
      </c>
      <c r="N732" s="262">
        <v>12.68828182</v>
      </c>
    </row>
    <row r="733" spans="1:14" x14ac:dyDescent="0.25">
      <c r="A733" s="262">
        <v>18135</v>
      </c>
      <c r="B733" s="262" t="s">
        <v>630</v>
      </c>
      <c r="C733" s="262" t="s">
        <v>168</v>
      </c>
      <c r="D733" s="262">
        <v>-85.0228757</v>
      </c>
      <c r="E733" s="262">
        <v>40.161630000000002</v>
      </c>
      <c r="M733" s="262">
        <v>12.219961319999999</v>
      </c>
      <c r="N733" s="262">
        <v>12.219961319999999</v>
      </c>
    </row>
    <row r="734" spans="1:14" x14ac:dyDescent="0.25">
      <c r="A734" s="262">
        <v>18137</v>
      </c>
      <c r="B734" s="262" t="s">
        <v>630</v>
      </c>
      <c r="C734" s="262" t="s">
        <v>656</v>
      </c>
      <c r="D734" s="262">
        <v>-85.275372599999997</v>
      </c>
      <c r="E734" s="262">
        <v>39.10107</v>
      </c>
      <c r="M734" s="262">
        <v>13.016214659999999</v>
      </c>
      <c r="N734" s="262">
        <v>13.016214659999999</v>
      </c>
    </row>
    <row r="735" spans="1:14" x14ac:dyDescent="0.25">
      <c r="A735" s="262">
        <v>18139</v>
      </c>
      <c r="B735" s="262" t="s">
        <v>630</v>
      </c>
      <c r="C735" s="262" t="s">
        <v>657</v>
      </c>
      <c r="D735" s="262">
        <v>-85.463778199999993</v>
      </c>
      <c r="E735" s="262">
        <v>39.615780000000001</v>
      </c>
      <c r="M735" s="262">
        <v>12.625012480000001</v>
      </c>
      <c r="N735" s="262">
        <v>12.625012480000001</v>
      </c>
    </row>
    <row r="736" spans="1:14" x14ac:dyDescent="0.25">
      <c r="A736" s="262">
        <v>18141</v>
      </c>
      <c r="B736" s="262" t="s">
        <v>630</v>
      </c>
      <c r="C736" s="262" t="s">
        <v>658</v>
      </c>
      <c r="D736" s="262">
        <v>-86.286891699999998</v>
      </c>
      <c r="E736" s="262">
        <v>41.621099999999998</v>
      </c>
      <c r="M736" s="262">
        <v>11.29814835</v>
      </c>
      <c r="N736" s="262">
        <v>11.29814835</v>
      </c>
    </row>
    <row r="737" spans="1:14" x14ac:dyDescent="0.25">
      <c r="A737" s="262">
        <v>18143</v>
      </c>
      <c r="B737" s="262" t="s">
        <v>630</v>
      </c>
      <c r="C737" s="262" t="s">
        <v>243</v>
      </c>
      <c r="D737" s="262">
        <v>-85.742454300000006</v>
      </c>
      <c r="E737" s="262">
        <v>38.690080000000002</v>
      </c>
      <c r="M737" s="262">
        <v>13.36190942</v>
      </c>
      <c r="N737" s="262">
        <v>13.36190942</v>
      </c>
    </row>
    <row r="738" spans="1:14" x14ac:dyDescent="0.25">
      <c r="A738" s="262">
        <v>18145</v>
      </c>
      <c r="B738" s="262" t="s">
        <v>630</v>
      </c>
      <c r="C738" s="262" t="s">
        <v>171</v>
      </c>
      <c r="D738" s="262">
        <v>-85.791113899999999</v>
      </c>
      <c r="E738" s="262">
        <v>39.518900000000002</v>
      </c>
      <c r="M738" s="262">
        <v>12.7019793</v>
      </c>
      <c r="N738" s="262">
        <v>12.7019793</v>
      </c>
    </row>
    <row r="739" spans="1:14" x14ac:dyDescent="0.25">
      <c r="A739" s="262">
        <v>18147</v>
      </c>
      <c r="B739" s="262" t="s">
        <v>630</v>
      </c>
      <c r="C739" s="262" t="s">
        <v>659</v>
      </c>
      <c r="D739" s="262">
        <v>-87.012392199999994</v>
      </c>
      <c r="E739" s="262">
        <v>38.014499999999998</v>
      </c>
      <c r="M739" s="262">
        <v>13.95306723</v>
      </c>
      <c r="N739" s="262">
        <v>13.95306723</v>
      </c>
    </row>
    <row r="740" spans="1:14" x14ac:dyDescent="0.25">
      <c r="A740" s="262">
        <v>18149</v>
      </c>
      <c r="B740" s="262" t="s">
        <v>630</v>
      </c>
      <c r="C740" s="262" t="s">
        <v>660</v>
      </c>
      <c r="D740" s="262">
        <v>-86.642797299999998</v>
      </c>
      <c r="E740" s="262">
        <v>41.279679999999999</v>
      </c>
      <c r="M740" s="262">
        <v>11.555103730000001</v>
      </c>
      <c r="N740" s="262">
        <v>11.555103730000001</v>
      </c>
    </row>
    <row r="741" spans="1:14" x14ac:dyDescent="0.25">
      <c r="A741" s="262">
        <v>18151</v>
      </c>
      <c r="B741" s="262" t="s">
        <v>630</v>
      </c>
      <c r="C741" s="262" t="s">
        <v>661</v>
      </c>
      <c r="D741" s="262">
        <v>-85.004423200000005</v>
      </c>
      <c r="E741" s="262">
        <v>41.659570000000002</v>
      </c>
      <c r="M741" s="262">
        <v>11.145470100000001</v>
      </c>
      <c r="N741" s="262">
        <v>11.145470100000001</v>
      </c>
    </row>
    <row r="742" spans="1:14" x14ac:dyDescent="0.25">
      <c r="A742" s="262">
        <v>18153</v>
      </c>
      <c r="B742" s="262" t="s">
        <v>630</v>
      </c>
      <c r="C742" s="262" t="s">
        <v>662</v>
      </c>
      <c r="D742" s="262">
        <v>-87.418526700000001</v>
      </c>
      <c r="E742" s="262">
        <v>39.096339999999998</v>
      </c>
      <c r="M742" s="262">
        <v>13.19983012</v>
      </c>
      <c r="N742" s="262">
        <v>13.19983012</v>
      </c>
    </row>
    <row r="743" spans="1:14" x14ac:dyDescent="0.25">
      <c r="A743" s="262">
        <v>18155</v>
      </c>
      <c r="B743" s="262" t="s">
        <v>630</v>
      </c>
      <c r="C743" s="262" t="s">
        <v>663</v>
      </c>
      <c r="D743" s="262">
        <v>-85.034279799999993</v>
      </c>
      <c r="E743" s="262">
        <v>38.827550000000002</v>
      </c>
      <c r="M743" s="262">
        <v>13.1878654</v>
      </c>
      <c r="N743" s="262">
        <v>13.1878654</v>
      </c>
    </row>
    <row r="744" spans="1:14" x14ac:dyDescent="0.25">
      <c r="A744" s="262">
        <v>18157</v>
      </c>
      <c r="B744" s="262" t="s">
        <v>630</v>
      </c>
      <c r="C744" s="262" t="s">
        <v>664</v>
      </c>
      <c r="D744" s="262">
        <v>-86.885805099999999</v>
      </c>
      <c r="E744" s="262">
        <v>40.386780000000002</v>
      </c>
      <c r="M744" s="262">
        <v>12.195258770000001</v>
      </c>
      <c r="N744" s="262">
        <v>12.195258770000001</v>
      </c>
    </row>
    <row r="745" spans="1:14" x14ac:dyDescent="0.25">
      <c r="A745" s="262">
        <v>18159</v>
      </c>
      <c r="B745" s="262" t="s">
        <v>630</v>
      </c>
      <c r="C745" s="262" t="s">
        <v>665</v>
      </c>
      <c r="D745" s="262">
        <v>-86.052787199999997</v>
      </c>
      <c r="E745" s="262">
        <v>40.307699999999997</v>
      </c>
      <c r="M745" s="262">
        <v>12.17774882</v>
      </c>
      <c r="N745" s="262">
        <v>12.17774882</v>
      </c>
    </row>
    <row r="746" spans="1:14" x14ac:dyDescent="0.25">
      <c r="A746" s="262">
        <v>18161</v>
      </c>
      <c r="B746" s="262" t="s">
        <v>630</v>
      </c>
      <c r="C746" s="262" t="s">
        <v>249</v>
      </c>
      <c r="D746" s="262">
        <v>-84.933625699999993</v>
      </c>
      <c r="E746" s="262">
        <v>39.630890000000001</v>
      </c>
      <c r="M746" s="262">
        <v>12.57482504</v>
      </c>
      <c r="N746" s="262">
        <v>12.57482504</v>
      </c>
    </row>
    <row r="747" spans="1:14" x14ac:dyDescent="0.25">
      <c r="A747" s="262">
        <v>18163</v>
      </c>
      <c r="B747" s="262" t="s">
        <v>630</v>
      </c>
      <c r="C747" s="262" t="s">
        <v>666</v>
      </c>
      <c r="D747" s="262">
        <v>-87.590295299999994</v>
      </c>
      <c r="E747" s="262">
        <v>38.025289999999998</v>
      </c>
      <c r="M747" s="262">
        <v>13.985034669999999</v>
      </c>
      <c r="N747" s="262">
        <v>13.985034669999999</v>
      </c>
    </row>
    <row r="748" spans="1:14" x14ac:dyDescent="0.25">
      <c r="A748" s="262">
        <v>18165</v>
      </c>
      <c r="B748" s="262" t="s">
        <v>630</v>
      </c>
      <c r="C748" s="262" t="s">
        <v>667</v>
      </c>
      <c r="D748" s="262">
        <v>-87.463652600000003</v>
      </c>
      <c r="E748" s="262">
        <v>39.853729999999999</v>
      </c>
      <c r="M748" s="262">
        <v>12.629873720000001</v>
      </c>
      <c r="N748" s="262">
        <v>12.629873720000001</v>
      </c>
    </row>
    <row r="749" spans="1:14" x14ac:dyDescent="0.25">
      <c r="A749" s="262">
        <v>18167</v>
      </c>
      <c r="B749" s="262" t="s">
        <v>630</v>
      </c>
      <c r="C749" s="262" t="s">
        <v>668</v>
      </c>
      <c r="D749" s="262">
        <v>-87.392201799999995</v>
      </c>
      <c r="E749" s="262">
        <v>39.433540000000001</v>
      </c>
      <c r="M749" s="262">
        <v>12.94775684</v>
      </c>
      <c r="N749" s="262">
        <v>12.94775684</v>
      </c>
    </row>
    <row r="750" spans="1:14" x14ac:dyDescent="0.25">
      <c r="A750" s="262">
        <v>18169</v>
      </c>
      <c r="B750" s="262" t="s">
        <v>630</v>
      </c>
      <c r="C750" s="262" t="s">
        <v>624</v>
      </c>
      <c r="D750" s="262">
        <v>-85.793582499999999</v>
      </c>
      <c r="E750" s="262">
        <v>40.842350000000003</v>
      </c>
      <c r="M750" s="262">
        <v>11.788754409999999</v>
      </c>
      <c r="N750" s="262">
        <v>11.788754409999999</v>
      </c>
    </row>
    <row r="751" spans="1:14" x14ac:dyDescent="0.25">
      <c r="A751" s="262">
        <v>18171</v>
      </c>
      <c r="B751" s="262" t="s">
        <v>630</v>
      </c>
      <c r="C751" s="262" t="s">
        <v>533</v>
      </c>
      <c r="D751" s="262">
        <v>-87.357124200000001</v>
      </c>
      <c r="E751" s="262">
        <v>40.348799999999997</v>
      </c>
      <c r="M751" s="262">
        <v>12.24225594</v>
      </c>
      <c r="N751" s="262">
        <v>12.24225594</v>
      </c>
    </row>
    <row r="752" spans="1:14" x14ac:dyDescent="0.25">
      <c r="A752" s="262">
        <v>18173</v>
      </c>
      <c r="B752" s="262" t="s">
        <v>630</v>
      </c>
      <c r="C752" s="262" t="s">
        <v>669</v>
      </c>
      <c r="D752" s="262">
        <v>-87.278270199999994</v>
      </c>
      <c r="E752" s="262">
        <v>38.09348</v>
      </c>
      <c r="M752" s="262">
        <v>13.922384259999999</v>
      </c>
      <c r="N752" s="262">
        <v>13.922384259999999</v>
      </c>
    </row>
    <row r="753" spans="1:14" x14ac:dyDescent="0.25">
      <c r="A753" s="262">
        <v>18175</v>
      </c>
      <c r="B753" s="262" t="s">
        <v>630</v>
      </c>
      <c r="C753" s="262" t="s">
        <v>177</v>
      </c>
      <c r="D753" s="262">
        <v>-86.100017399999999</v>
      </c>
      <c r="E753" s="262">
        <v>38.603580000000001</v>
      </c>
      <c r="M753" s="262">
        <v>13.433420659999999</v>
      </c>
      <c r="N753" s="262">
        <v>13.433420659999999</v>
      </c>
    </row>
    <row r="754" spans="1:14" x14ac:dyDescent="0.25">
      <c r="A754" s="262">
        <v>18177</v>
      </c>
      <c r="B754" s="262" t="s">
        <v>630</v>
      </c>
      <c r="C754" s="262" t="s">
        <v>534</v>
      </c>
      <c r="D754" s="262">
        <v>-85.019868700000004</v>
      </c>
      <c r="E754" s="262">
        <v>39.867939999999997</v>
      </c>
      <c r="M754" s="262">
        <v>12.423086189999999</v>
      </c>
      <c r="N754" s="262">
        <v>12.423086189999999</v>
      </c>
    </row>
    <row r="755" spans="1:14" x14ac:dyDescent="0.25">
      <c r="A755" s="262">
        <v>18179</v>
      </c>
      <c r="B755" s="262" t="s">
        <v>630</v>
      </c>
      <c r="C755" s="262" t="s">
        <v>670</v>
      </c>
      <c r="D755" s="262">
        <v>-85.240274499999998</v>
      </c>
      <c r="E755" s="262">
        <v>40.728619999999999</v>
      </c>
      <c r="M755" s="262">
        <v>11.851404860000001</v>
      </c>
      <c r="N755" s="262">
        <v>11.851404860000001</v>
      </c>
    </row>
    <row r="756" spans="1:14" x14ac:dyDescent="0.25">
      <c r="A756" s="262">
        <v>18181</v>
      </c>
      <c r="B756" s="262" t="s">
        <v>630</v>
      </c>
      <c r="C756" s="262" t="s">
        <v>251</v>
      </c>
      <c r="D756" s="262">
        <v>-86.861948999999996</v>
      </c>
      <c r="E756" s="262">
        <v>40.743830000000003</v>
      </c>
      <c r="M756" s="262">
        <v>11.940623990000001</v>
      </c>
      <c r="N756" s="262">
        <v>11.940623990000001</v>
      </c>
    </row>
    <row r="757" spans="1:14" x14ac:dyDescent="0.25">
      <c r="A757" s="262">
        <v>18183</v>
      </c>
      <c r="B757" s="262" t="s">
        <v>630</v>
      </c>
      <c r="C757" s="262" t="s">
        <v>671</v>
      </c>
      <c r="D757" s="262">
        <v>-85.517931300000001</v>
      </c>
      <c r="E757" s="262">
        <v>41.15052</v>
      </c>
      <c r="M757" s="262">
        <v>11.560097389999999</v>
      </c>
      <c r="N757" s="262">
        <v>11.560097389999999</v>
      </c>
    </row>
    <row r="758" spans="1:14" x14ac:dyDescent="0.25">
      <c r="A758" s="262">
        <v>19001</v>
      </c>
      <c r="B758" s="262" t="s">
        <v>672</v>
      </c>
      <c r="C758" s="262" t="s">
        <v>673</v>
      </c>
      <c r="D758" s="262">
        <v>-94.477874799999995</v>
      </c>
      <c r="E758" s="262">
        <v>41.333179999999999</v>
      </c>
      <c r="M758" s="262">
        <v>11.908125399999999</v>
      </c>
      <c r="N758" s="262">
        <v>11.908125399999999</v>
      </c>
    </row>
    <row r="759" spans="1:14" x14ac:dyDescent="0.25">
      <c r="A759" s="262">
        <v>19003</v>
      </c>
      <c r="B759" s="262" t="s">
        <v>672</v>
      </c>
      <c r="C759" s="262" t="s">
        <v>312</v>
      </c>
      <c r="D759" s="262">
        <v>-94.709090000000003</v>
      </c>
      <c r="E759" s="262">
        <v>41.031660000000002</v>
      </c>
      <c r="M759" s="262">
        <v>12.1221982</v>
      </c>
      <c r="N759" s="262">
        <v>12.1221982</v>
      </c>
    </row>
    <row r="760" spans="1:14" x14ac:dyDescent="0.25">
      <c r="A760" s="262">
        <v>19005</v>
      </c>
      <c r="B760" s="262" t="s">
        <v>672</v>
      </c>
      <c r="C760" s="262" t="s">
        <v>674</v>
      </c>
      <c r="D760" s="262">
        <v>-91.370668300000006</v>
      </c>
      <c r="E760" s="262">
        <v>43.290430000000001</v>
      </c>
      <c r="M760" s="262">
        <v>10.37349354</v>
      </c>
      <c r="N760" s="262">
        <v>10.37349354</v>
      </c>
    </row>
    <row r="761" spans="1:14" x14ac:dyDescent="0.25">
      <c r="A761" s="262">
        <v>19007</v>
      </c>
      <c r="B761" s="262" t="s">
        <v>672</v>
      </c>
      <c r="C761" s="262" t="s">
        <v>675</v>
      </c>
      <c r="D761" s="262">
        <v>-92.866437000000005</v>
      </c>
      <c r="E761" s="262">
        <v>40.75479</v>
      </c>
      <c r="M761" s="262">
        <v>12.24321978</v>
      </c>
      <c r="N761" s="262">
        <v>12.24321978</v>
      </c>
    </row>
    <row r="762" spans="1:14" x14ac:dyDescent="0.25">
      <c r="A762" s="262">
        <v>19009</v>
      </c>
      <c r="B762" s="262" t="s">
        <v>672</v>
      </c>
      <c r="C762" s="262" t="s">
        <v>676</v>
      </c>
      <c r="D762" s="262">
        <v>-94.9168789</v>
      </c>
      <c r="E762" s="262">
        <v>41.684199999999997</v>
      </c>
      <c r="M762" s="262">
        <v>11.715276039999999</v>
      </c>
      <c r="N762" s="262">
        <v>11.715276039999999</v>
      </c>
    </row>
    <row r="763" spans="1:14" x14ac:dyDescent="0.25">
      <c r="A763" s="262">
        <v>19011</v>
      </c>
      <c r="B763" s="262" t="s">
        <v>672</v>
      </c>
      <c r="C763" s="262" t="s">
        <v>200</v>
      </c>
      <c r="D763" s="262">
        <v>-92.052832699999996</v>
      </c>
      <c r="E763" s="262">
        <v>42.087060000000001</v>
      </c>
      <c r="M763" s="262">
        <v>11.2830005</v>
      </c>
      <c r="N763" s="262">
        <v>11.2830005</v>
      </c>
    </row>
    <row r="764" spans="1:14" x14ac:dyDescent="0.25">
      <c r="A764" s="262">
        <v>19013</v>
      </c>
      <c r="B764" s="262" t="s">
        <v>672</v>
      </c>
      <c r="C764" s="262" t="s">
        <v>677</v>
      </c>
      <c r="D764" s="262">
        <v>-92.304301300000006</v>
      </c>
      <c r="E764" s="262">
        <v>42.474060000000001</v>
      </c>
      <c r="M764" s="262">
        <v>10.97575162</v>
      </c>
      <c r="N764" s="262">
        <v>10.97575162</v>
      </c>
    </row>
    <row r="765" spans="1:14" x14ac:dyDescent="0.25">
      <c r="A765" s="262">
        <v>19015</v>
      </c>
      <c r="B765" s="262" t="s">
        <v>672</v>
      </c>
      <c r="C765" s="262" t="s">
        <v>201</v>
      </c>
      <c r="D765" s="262">
        <v>-93.934286200000003</v>
      </c>
      <c r="E765" s="262">
        <v>42.035769999999999</v>
      </c>
      <c r="M765" s="262">
        <v>11.37081785</v>
      </c>
      <c r="N765" s="262">
        <v>11.37081785</v>
      </c>
    </row>
    <row r="766" spans="1:14" x14ac:dyDescent="0.25">
      <c r="A766" s="262">
        <v>19017</v>
      </c>
      <c r="B766" s="262" t="s">
        <v>672</v>
      </c>
      <c r="C766" s="262" t="s">
        <v>678</v>
      </c>
      <c r="D766" s="262">
        <v>-92.314960499999998</v>
      </c>
      <c r="E766" s="262">
        <v>42.777030000000003</v>
      </c>
      <c r="M766" s="262">
        <v>10.690437429999999</v>
      </c>
      <c r="N766" s="262">
        <v>10.690437429999999</v>
      </c>
    </row>
    <row r="767" spans="1:14" x14ac:dyDescent="0.25">
      <c r="A767" s="262">
        <v>19019</v>
      </c>
      <c r="B767" s="262" t="s">
        <v>672</v>
      </c>
      <c r="C767" s="262" t="s">
        <v>679</v>
      </c>
      <c r="D767" s="262">
        <v>-91.830571899999995</v>
      </c>
      <c r="E767" s="262">
        <v>42.473550000000003</v>
      </c>
      <c r="M767" s="262">
        <v>10.9778833</v>
      </c>
      <c r="N767" s="262">
        <v>10.9778833</v>
      </c>
    </row>
    <row r="768" spans="1:14" x14ac:dyDescent="0.25">
      <c r="A768" s="262">
        <v>19021</v>
      </c>
      <c r="B768" s="262" t="s">
        <v>672</v>
      </c>
      <c r="C768" s="262" t="s">
        <v>680</v>
      </c>
      <c r="D768" s="262">
        <v>-95.158415899999994</v>
      </c>
      <c r="E768" s="262">
        <v>42.739789999999999</v>
      </c>
      <c r="M768" s="262">
        <v>11.017799439999999</v>
      </c>
      <c r="N768" s="262">
        <v>11.017799439999999</v>
      </c>
    </row>
    <row r="769" spans="1:14" x14ac:dyDescent="0.25">
      <c r="A769" s="262">
        <v>19023</v>
      </c>
      <c r="B769" s="262" t="s">
        <v>672</v>
      </c>
      <c r="C769" s="262" t="s">
        <v>119</v>
      </c>
      <c r="D769" s="262">
        <v>-92.787651100000005</v>
      </c>
      <c r="E769" s="262">
        <v>42.736919999999998</v>
      </c>
      <c r="M769" s="262">
        <v>10.743287799999999</v>
      </c>
      <c r="N769" s="262">
        <v>10.743287799999999</v>
      </c>
    </row>
    <row r="770" spans="1:14" x14ac:dyDescent="0.25">
      <c r="A770" s="262">
        <v>19025</v>
      </c>
      <c r="B770" s="262" t="s">
        <v>672</v>
      </c>
      <c r="C770" s="262" t="s">
        <v>120</v>
      </c>
      <c r="D770" s="262">
        <v>-94.647707600000004</v>
      </c>
      <c r="E770" s="262">
        <v>42.384059999999998</v>
      </c>
      <c r="M770" s="262">
        <v>11.20223575</v>
      </c>
      <c r="N770" s="262">
        <v>11.20223575</v>
      </c>
    </row>
    <row r="771" spans="1:14" x14ac:dyDescent="0.25">
      <c r="A771" s="262">
        <v>19027</v>
      </c>
      <c r="B771" s="262" t="s">
        <v>672</v>
      </c>
      <c r="C771" s="262" t="s">
        <v>203</v>
      </c>
      <c r="D771" s="262">
        <v>-94.867558200000005</v>
      </c>
      <c r="E771" s="262">
        <v>42.036149999999999</v>
      </c>
      <c r="M771" s="262">
        <v>11.469953970000001</v>
      </c>
      <c r="N771" s="262">
        <v>11.469953970000001</v>
      </c>
    </row>
    <row r="772" spans="1:14" x14ac:dyDescent="0.25">
      <c r="A772" s="262">
        <v>19029</v>
      </c>
      <c r="B772" s="262" t="s">
        <v>672</v>
      </c>
      <c r="C772" s="262" t="s">
        <v>580</v>
      </c>
      <c r="D772" s="262">
        <v>-94.938295800000006</v>
      </c>
      <c r="E772" s="262">
        <v>41.331380000000003</v>
      </c>
      <c r="M772" s="262">
        <v>11.948082189999999</v>
      </c>
      <c r="N772" s="262">
        <v>11.948082189999999</v>
      </c>
    </row>
    <row r="773" spans="1:14" x14ac:dyDescent="0.25">
      <c r="A773" s="262">
        <v>19031</v>
      </c>
      <c r="B773" s="262" t="s">
        <v>672</v>
      </c>
      <c r="C773" s="262" t="s">
        <v>681</v>
      </c>
      <c r="D773" s="262">
        <v>-91.114293200000006</v>
      </c>
      <c r="E773" s="262">
        <v>41.779040000000002</v>
      </c>
      <c r="M773" s="262">
        <v>11.47237906</v>
      </c>
      <c r="N773" s="262">
        <v>11.47237906</v>
      </c>
    </row>
    <row r="774" spans="1:14" x14ac:dyDescent="0.25">
      <c r="A774" s="262">
        <v>19033</v>
      </c>
      <c r="B774" s="262" t="s">
        <v>672</v>
      </c>
      <c r="C774" s="262" t="s">
        <v>682</v>
      </c>
      <c r="D774" s="262">
        <v>-93.261767199999994</v>
      </c>
      <c r="E774" s="262">
        <v>43.086779999999997</v>
      </c>
      <c r="M774" s="262">
        <v>10.51357001</v>
      </c>
      <c r="N774" s="262">
        <v>10.51357001</v>
      </c>
    </row>
    <row r="775" spans="1:14" x14ac:dyDescent="0.25">
      <c r="A775" s="262">
        <v>19035</v>
      </c>
      <c r="B775" s="262" t="s">
        <v>672</v>
      </c>
      <c r="C775" s="262" t="s">
        <v>122</v>
      </c>
      <c r="D775" s="262">
        <v>-95.627119899999997</v>
      </c>
      <c r="E775" s="262">
        <v>42.736199999999997</v>
      </c>
      <c r="M775" s="262">
        <v>11.063741220000001</v>
      </c>
      <c r="N775" s="262">
        <v>11.063741220000001</v>
      </c>
    </row>
    <row r="776" spans="1:14" x14ac:dyDescent="0.25">
      <c r="A776" s="262">
        <v>19037</v>
      </c>
      <c r="B776" s="262" t="s">
        <v>672</v>
      </c>
      <c r="C776" s="262" t="s">
        <v>683</v>
      </c>
      <c r="D776" s="262">
        <v>-92.315688100000003</v>
      </c>
      <c r="E776" s="262">
        <v>43.065289999999997</v>
      </c>
      <c r="M776" s="262">
        <v>10.400874399999999</v>
      </c>
      <c r="N776" s="262">
        <v>10.400874399999999</v>
      </c>
    </row>
    <row r="777" spans="1:14" x14ac:dyDescent="0.25">
      <c r="A777" s="262">
        <v>19039</v>
      </c>
      <c r="B777" s="262" t="s">
        <v>672</v>
      </c>
      <c r="C777" s="262" t="s">
        <v>125</v>
      </c>
      <c r="D777" s="262">
        <v>-93.790381400000001</v>
      </c>
      <c r="E777" s="262">
        <v>41.033810000000003</v>
      </c>
      <c r="M777" s="262">
        <v>12.069035599999999</v>
      </c>
      <c r="N777" s="262">
        <v>12.069035599999999</v>
      </c>
    </row>
    <row r="778" spans="1:14" x14ac:dyDescent="0.25">
      <c r="A778" s="262">
        <v>19041</v>
      </c>
      <c r="B778" s="262" t="s">
        <v>672</v>
      </c>
      <c r="C778" s="262" t="s">
        <v>126</v>
      </c>
      <c r="D778" s="262">
        <v>-95.158912299999997</v>
      </c>
      <c r="E778" s="262">
        <v>43.09037</v>
      </c>
      <c r="M778" s="262">
        <v>10.783573130000001</v>
      </c>
      <c r="N778" s="262">
        <v>10.783573130000001</v>
      </c>
    </row>
    <row r="779" spans="1:14" x14ac:dyDescent="0.25">
      <c r="A779" s="262">
        <v>19043</v>
      </c>
      <c r="B779" s="262" t="s">
        <v>672</v>
      </c>
      <c r="C779" s="262" t="s">
        <v>455</v>
      </c>
      <c r="D779" s="262">
        <v>-91.329961400000002</v>
      </c>
      <c r="E779" s="262">
        <v>42.846130000000002</v>
      </c>
      <c r="M779" s="262">
        <v>10.686271380000001</v>
      </c>
      <c r="N779" s="262">
        <v>10.686271380000001</v>
      </c>
    </row>
    <row r="780" spans="1:14" x14ac:dyDescent="0.25">
      <c r="A780" s="262">
        <v>19045</v>
      </c>
      <c r="B780" s="262" t="s">
        <v>672</v>
      </c>
      <c r="C780" s="262" t="s">
        <v>583</v>
      </c>
      <c r="D780" s="262">
        <v>-90.5214304</v>
      </c>
      <c r="E780" s="262">
        <v>41.907130000000002</v>
      </c>
      <c r="M780" s="262">
        <v>11.321766780000001</v>
      </c>
      <c r="N780" s="262">
        <v>11.321766780000001</v>
      </c>
    </row>
    <row r="781" spans="1:14" x14ac:dyDescent="0.25">
      <c r="A781" s="262">
        <v>19047</v>
      </c>
      <c r="B781" s="262" t="s">
        <v>672</v>
      </c>
      <c r="C781" s="262" t="s">
        <v>210</v>
      </c>
      <c r="D781" s="262">
        <v>-95.388877899999997</v>
      </c>
      <c r="E781" s="262">
        <v>42.032179999999997</v>
      </c>
      <c r="M781" s="262">
        <v>11.5328836</v>
      </c>
      <c r="N781" s="262">
        <v>11.5328836</v>
      </c>
    </row>
    <row r="782" spans="1:14" x14ac:dyDescent="0.25">
      <c r="A782" s="262">
        <v>19049</v>
      </c>
      <c r="B782" s="262" t="s">
        <v>672</v>
      </c>
      <c r="C782" s="262" t="s">
        <v>136</v>
      </c>
      <c r="D782" s="262">
        <v>-94.047815600000007</v>
      </c>
      <c r="E782" s="262">
        <v>41.687809999999999</v>
      </c>
      <c r="M782" s="262">
        <v>11.62673549</v>
      </c>
      <c r="N782" s="262">
        <v>11.62673549</v>
      </c>
    </row>
    <row r="783" spans="1:14" x14ac:dyDescent="0.25">
      <c r="A783" s="262">
        <v>19051</v>
      </c>
      <c r="B783" s="262" t="s">
        <v>672</v>
      </c>
      <c r="C783" s="262" t="s">
        <v>684</v>
      </c>
      <c r="D783" s="262">
        <v>-92.402353199999993</v>
      </c>
      <c r="E783" s="262">
        <v>40.756979999999999</v>
      </c>
      <c r="M783" s="262">
        <v>12.241561819999999</v>
      </c>
      <c r="N783" s="262">
        <v>12.241561819999999</v>
      </c>
    </row>
    <row r="784" spans="1:14" x14ac:dyDescent="0.25">
      <c r="A784" s="262">
        <v>19053</v>
      </c>
      <c r="B784" s="262" t="s">
        <v>672</v>
      </c>
      <c r="C784" s="262" t="s">
        <v>464</v>
      </c>
      <c r="D784" s="262">
        <v>-93.791758400000006</v>
      </c>
      <c r="E784" s="262">
        <v>40.751950000000001</v>
      </c>
      <c r="M784" s="262">
        <v>12.262973280000001</v>
      </c>
      <c r="N784" s="262">
        <v>12.262973280000001</v>
      </c>
    </row>
    <row r="785" spans="1:14" x14ac:dyDescent="0.25">
      <c r="A785" s="262">
        <v>19055</v>
      </c>
      <c r="B785" s="262" t="s">
        <v>672</v>
      </c>
      <c r="C785" s="262" t="s">
        <v>636</v>
      </c>
      <c r="D785" s="262">
        <v>-91.355660400000005</v>
      </c>
      <c r="E785" s="262">
        <v>42.474040000000002</v>
      </c>
      <c r="M785" s="262">
        <v>10.964876029999999</v>
      </c>
      <c r="N785" s="262">
        <v>10.964876029999999</v>
      </c>
    </row>
    <row r="786" spans="1:14" x14ac:dyDescent="0.25">
      <c r="A786" s="262">
        <v>19057</v>
      </c>
      <c r="B786" s="262" t="s">
        <v>672</v>
      </c>
      <c r="C786" s="262" t="s">
        <v>685</v>
      </c>
      <c r="D786" s="262">
        <v>-91.172928099999993</v>
      </c>
      <c r="E786" s="262">
        <v>40.934100000000001</v>
      </c>
      <c r="M786" s="262">
        <v>12.082127890000001</v>
      </c>
      <c r="N786" s="262">
        <v>12.082127890000001</v>
      </c>
    </row>
    <row r="787" spans="1:14" x14ac:dyDescent="0.25">
      <c r="A787" s="262">
        <v>19059</v>
      </c>
      <c r="B787" s="262" t="s">
        <v>672</v>
      </c>
      <c r="C787" s="262" t="s">
        <v>686</v>
      </c>
      <c r="D787" s="262">
        <v>-95.1553945</v>
      </c>
      <c r="E787" s="262">
        <v>43.384610000000002</v>
      </c>
      <c r="M787" s="262">
        <v>10.594056760000001</v>
      </c>
      <c r="N787" s="262">
        <v>10.594056760000001</v>
      </c>
    </row>
    <row r="788" spans="1:14" x14ac:dyDescent="0.25">
      <c r="A788" s="262">
        <v>19061</v>
      </c>
      <c r="B788" s="262" t="s">
        <v>672</v>
      </c>
      <c r="C788" s="262" t="s">
        <v>687</v>
      </c>
      <c r="D788" s="262">
        <v>-90.875182699999996</v>
      </c>
      <c r="E788" s="262">
        <v>42.469830000000002</v>
      </c>
      <c r="M788" s="262">
        <v>10.95963559</v>
      </c>
      <c r="N788" s="262">
        <v>10.95963559</v>
      </c>
    </row>
    <row r="789" spans="1:14" x14ac:dyDescent="0.25">
      <c r="A789" s="262">
        <v>19063</v>
      </c>
      <c r="B789" s="262" t="s">
        <v>672</v>
      </c>
      <c r="C789" s="262" t="s">
        <v>688</v>
      </c>
      <c r="D789" s="262">
        <v>-94.685574599999995</v>
      </c>
      <c r="E789" s="262">
        <v>43.384120000000003</v>
      </c>
      <c r="M789" s="262">
        <v>10.546132890000001</v>
      </c>
      <c r="N789" s="262">
        <v>10.546132890000001</v>
      </c>
    </row>
    <row r="790" spans="1:14" x14ac:dyDescent="0.25">
      <c r="A790" s="262">
        <v>19065</v>
      </c>
      <c r="B790" s="262" t="s">
        <v>672</v>
      </c>
      <c r="C790" s="262" t="s">
        <v>141</v>
      </c>
      <c r="D790" s="262">
        <v>-91.838831600000006</v>
      </c>
      <c r="E790" s="262">
        <v>42.865450000000003</v>
      </c>
      <c r="M790" s="262">
        <v>10.62338877</v>
      </c>
      <c r="N790" s="262">
        <v>10.62338877</v>
      </c>
    </row>
    <row r="791" spans="1:14" x14ac:dyDescent="0.25">
      <c r="A791" s="262">
        <v>19067</v>
      </c>
      <c r="B791" s="262" t="s">
        <v>672</v>
      </c>
      <c r="C791" s="262" t="s">
        <v>474</v>
      </c>
      <c r="D791" s="262">
        <v>-92.789080600000005</v>
      </c>
      <c r="E791" s="262">
        <v>43.06606</v>
      </c>
      <c r="M791" s="262">
        <v>10.43433196</v>
      </c>
      <c r="N791" s="262">
        <v>10.43433196</v>
      </c>
    </row>
    <row r="792" spans="1:14" x14ac:dyDescent="0.25">
      <c r="A792" s="262">
        <v>19069</v>
      </c>
      <c r="B792" s="262" t="s">
        <v>672</v>
      </c>
      <c r="C792" s="262" t="s">
        <v>142</v>
      </c>
      <c r="D792" s="262">
        <v>-93.261625800000004</v>
      </c>
      <c r="E792" s="262">
        <v>42.736919999999998</v>
      </c>
      <c r="M792" s="262">
        <v>10.78388792</v>
      </c>
      <c r="N792" s="262">
        <v>10.78388792</v>
      </c>
    </row>
    <row r="793" spans="1:14" x14ac:dyDescent="0.25">
      <c r="A793" s="262">
        <v>19071</v>
      </c>
      <c r="B793" s="262" t="s">
        <v>672</v>
      </c>
      <c r="C793" s="262" t="s">
        <v>334</v>
      </c>
      <c r="D793" s="262">
        <v>-95.608867700000005</v>
      </c>
      <c r="E793" s="262">
        <v>40.759430000000002</v>
      </c>
      <c r="M793" s="262">
        <v>12.34402551</v>
      </c>
      <c r="N793" s="262">
        <v>12.34402551</v>
      </c>
    </row>
    <row r="794" spans="1:14" x14ac:dyDescent="0.25">
      <c r="A794" s="262">
        <v>19073</v>
      </c>
      <c r="B794" s="262" t="s">
        <v>672</v>
      </c>
      <c r="C794" s="262" t="s">
        <v>144</v>
      </c>
      <c r="D794" s="262">
        <v>-94.400524099999998</v>
      </c>
      <c r="E794" s="262">
        <v>42.037909999999997</v>
      </c>
      <c r="M794" s="262">
        <v>11.41630876</v>
      </c>
      <c r="N794" s="262">
        <v>11.41630876</v>
      </c>
    </row>
    <row r="795" spans="1:14" x14ac:dyDescent="0.25">
      <c r="A795" s="262">
        <v>19075</v>
      </c>
      <c r="B795" s="262" t="s">
        <v>672</v>
      </c>
      <c r="C795" s="262" t="s">
        <v>592</v>
      </c>
      <c r="D795" s="262">
        <v>-92.785618200000002</v>
      </c>
      <c r="E795" s="262">
        <v>42.408990000000003</v>
      </c>
      <c r="M795" s="262">
        <v>11.030350840000001</v>
      </c>
      <c r="N795" s="262">
        <v>11.030350840000001</v>
      </c>
    </row>
    <row r="796" spans="1:14" x14ac:dyDescent="0.25">
      <c r="A796" s="262">
        <v>19077</v>
      </c>
      <c r="B796" s="262" t="s">
        <v>672</v>
      </c>
      <c r="C796" s="262" t="s">
        <v>689</v>
      </c>
      <c r="D796" s="262">
        <v>-94.510001399999993</v>
      </c>
      <c r="E796" s="262">
        <v>41.685690000000001</v>
      </c>
      <c r="M796" s="262">
        <v>11.670741939999999</v>
      </c>
      <c r="N796" s="262">
        <v>11.670741939999999</v>
      </c>
    </row>
    <row r="797" spans="1:14" x14ac:dyDescent="0.25">
      <c r="A797" s="262">
        <v>19079</v>
      </c>
      <c r="B797" s="262" t="s">
        <v>672</v>
      </c>
      <c r="C797" s="262" t="s">
        <v>400</v>
      </c>
      <c r="D797" s="262">
        <v>-93.707568899999998</v>
      </c>
      <c r="E797" s="262">
        <v>42.384779999999999</v>
      </c>
      <c r="M797" s="262">
        <v>11.09497234</v>
      </c>
      <c r="N797" s="262">
        <v>11.09497234</v>
      </c>
    </row>
    <row r="798" spans="1:14" x14ac:dyDescent="0.25">
      <c r="A798" s="262">
        <v>19081</v>
      </c>
      <c r="B798" s="262" t="s">
        <v>672</v>
      </c>
      <c r="C798" s="262" t="s">
        <v>484</v>
      </c>
      <c r="D798" s="262">
        <v>-93.733804899999996</v>
      </c>
      <c r="E798" s="262">
        <v>43.087519999999998</v>
      </c>
      <c r="M798" s="262">
        <v>10.59727395</v>
      </c>
      <c r="N798" s="262">
        <v>10.59727395</v>
      </c>
    </row>
    <row r="799" spans="1:14" x14ac:dyDescent="0.25">
      <c r="A799" s="262">
        <v>19083</v>
      </c>
      <c r="B799" s="262" t="s">
        <v>672</v>
      </c>
      <c r="C799" s="262" t="s">
        <v>593</v>
      </c>
      <c r="D799" s="262">
        <v>-93.239437699999996</v>
      </c>
      <c r="E799" s="262">
        <v>42.387149999999998</v>
      </c>
      <c r="M799" s="262">
        <v>11.054481389999999</v>
      </c>
      <c r="N799" s="262">
        <v>11.054481389999999</v>
      </c>
    </row>
    <row r="800" spans="1:14" x14ac:dyDescent="0.25">
      <c r="A800" s="262">
        <v>19085</v>
      </c>
      <c r="B800" s="262" t="s">
        <v>672</v>
      </c>
      <c r="C800" s="262" t="s">
        <v>641</v>
      </c>
      <c r="D800" s="262">
        <v>-95.815220999999994</v>
      </c>
      <c r="E800" s="262">
        <v>41.682479999999998</v>
      </c>
      <c r="M800" s="262">
        <v>11.814511250000001</v>
      </c>
      <c r="N800" s="262">
        <v>11.814511250000001</v>
      </c>
    </row>
    <row r="801" spans="1:14" x14ac:dyDescent="0.25">
      <c r="A801" s="262">
        <v>19087</v>
      </c>
      <c r="B801" s="262" t="s">
        <v>672</v>
      </c>
      <c r="C801" s="262" t="s">
        <v>146</v>
      </c>
      <c r="D801" s="262">
        <v>-91.528731699999994</v>
      </c>
      <c r="E801" s="262">
        <v>40.997779999999999</v>
      </c>
      <c r="M801" s="262">
        <v>12.03639132</v>
      </c>
      <c r="N801" s="262">
        <v>12.03639132</v>
      </c>
    </row>
    <row r="802" spans="1:14" x14ac:dyDescent="0.25">
      <c r="A802" s="262">
        <v>19089</v>
      </c>
      <c r="B802" s="262" t="s">
        <v>672</v>
      </c>
      <c r="C802" s="262" t="s">
        <v>221</v>
      </c>
      <c r="D802" s="262">
        <v>-92.316031499999994</v>
      </c>
      <c r="E802" s="262">
        <v>43.362870000000001</v>
      </c>
      <c r="M802" s="262">
        <v>10.110270480000001</v>
      </c>
      <c r="N802" s="262">
        <v>10.110270480000001</v>
      </c>
    </row>
    <row r="803" spans="1:14" x14ac:dyDescent="0.25">
      <c r="A803" s="262">
        <v>19091</v>
      </c>
      <c r="B803" s="262" t="s">
        <v>672</v>
      </c>
      <c r="C803" s="262" t="s">
        <v>266</v>
      </c>
      <c r="D803" s="262">
        <v>-94.205722800000004</v>
      </c>
      <c r="E803" s="262">
        <v>42.779890000000002</v>
      </c>
      <c r="M803" s="262">
        <v>10.87154359</v>
      </c>
      <c r="N803" s="262">
        <v>10.87154359</v>
      </c>
    </row>
    <row r="804" spans="1:14" x14ac:dyDescent="0.25">
      <c r="A804" s="262">
        <v>19093</v>
      </c>
      <c r="B804" s="262" t="s">
        <v>672</v>
      </c>
      <c r="C804" s="262" t="s">
        <v>690</v>
      </c>
      <c r="D804" s="262">
        <v>-95.520453000000003</v>
      </c>
      <c r="E804" s="262">
        <v>42.384520000000002</v>
      </c>
      <c r="M804" s="262">
        <v>11.30171726</v>
      </c>
      <c r="N804" s="262">
        <v>11.30171726</v>
      </c>
    </row>
    <row r="805" spans="1:14" x14ac:dyDescent="0.25">
      <c r="A805" s="262">
        <v>19095</v>
      </c>
      <c r="B805" s="262" t="s">
        <v>672</v>
      </c>
      <c r="C805" s="262" t="s">
        <v>691</v>
      </c>
      <c r="D805" s="262">
        <v>-92.051415599999999</v>
      </c>
      <c r="E805" s="262">
        <v>41.695689999999999</v>
      </c>
      <c r="M805" s="262">
        <v>11.562711090000001</v>
      </c>
      <c r="N805" s="262">
        <v>11.562711090000001</v>
      </c>
    </row>
    <row r="806" spans="1:14" x14ac:dyDescent="0.25">
      <c r="A806" s="262">
        <v>19097</v>
      </c>
      <c r="B806" s="262" t="s">
        <v>672</v>
      </c>
      <c r="C806" s="262" t="s">
        <v>148</v>
      </c>
      <c r="D806" s="262">
        <v>-90.559217599999997</v>
      </c>
      <c r="E806" s="262">
        <v>42.17539</v>
      </c>
      <c r="M806" s="262">
        <v>11.136592889999999</v>
      </c>
      <c r="N806" s="262">
        <v>11.136592889999999</v>
      </c>
    </row>
    <row r="807" spans="1:14" x14ac:dyDescent="0.25">
      <c r="A807" s="262">
        <v>19099</v>
      </c>
      <c r="B807" s="262" t="s">
        <v>672</v>
      </c>
      <c r="C807" s="262" t="s">
        <v>490</v>
      </c>
      <c r="D807" s="262">
        <v>-93.051147</v>
      </c>
      <c r="E807" s="262">
        <v>41.689360000000001</v>
      </c>
      <c r="M807" s="262">
        <v>11.573288610000001</v>
      </c>
      <c r="N807" s="262">
        <v>11.573288610000001</v>
      </c>
    </row>
    <row r="808" spans="1:14" x14ac:dyDescent="0.25">
      <c r="A808" s="262">
        <v>19101</v>
      </c>
      <c r="B808" s="262" t="s">
        <v>672</v>
      </c>
      <c r="C808" s="262" t="s">
        <v>149</v>
      </c>
      <c r="D808" s="262">
        <v>-91.934520899999995</v>
      </c>
      <c r="E808" s="262">
        <v>41.037089999999999</v>
      </c>
      <c r="M808" s="262">
        <v>12.02981312</v>
      </c>
      <c r="N808" s="262">
        <v>12.02981312</v>
      </c>
    </row>
    <row r="809" spans="1:14" x14ac:dyDescent="0.25">
      <c r="A809" s="262">
        <v>19103</v>
      </c>
      <c r="B809" s="262" t="s">
        <v>672</v>
      </c>
      <c r="C809" s="262" t="s">
        <v>224</v>
      </c>
      <c r="D809" s="262">
        <v>-91.574762000000007</v>
      </c>
      <c r="E809" s="262">
        <v>41.679630000000003</v>
      </c>
      <c r="M809" s="262">
        <v>11.55513092</v>
      </c>
      <c r="N809" s="262">
        <v>11.55513092</v>
      </c>
    </row>
    <row r="810" spans="1:14" x14ac:dyDescent="0.25">
      <c r="A810" s="262">
        <v>19105</v>
      </c>
      <c r="B810" s="262" t="s">
        <v>672</v>
      </c>
      <c r="C810" s="262" t="s">
        <v>493</v>
      </c>
      <c r="D810" s="262">
        <v>-91.113875800000002</v>
      </c>
      <c r="E810" s="262">
        <v>42.127330000000001</v>
      </c>
      <c r="M810" s="262">
        <v>11.21737444</v>
      </c>
      <c r="N810" s="262">
        <v>11.21737444</v>
      </c>
    </row>
    <row r="811" spans="1:14" x14ac:dyDescent="0.25">
      <c r="A811" s="262">
        <v>19107</v>
      </c>
      <c r="B811" s="262" t="s">
        <v>672</v>
      </c>
      <c r="C811" s="262" t="s">
        <v>692</v>
      </c>
      <c r="D811" s="262">
        <v>-92.166718799999998</v>
      </c>
      <c r="E811" s="262">
        <v>41.345759999999999</v>
      </c>
      <c r="M811" s="262">
        <v>11.81347852</v>
      </c>
      <c r="N811" s="262">
        <v>11.81347852</v>
      </c>
    </row>
    <row r="812" spans="1:14" x14ac:dyDescent="0.25">
      <c r="A812" s="262">
        <v>19109</v>
      </c>
      <c r="B812" s="262" t="s">
        <v>672</v>
      </c>
      <c r="C812" s="262" t="s">
        <v>693</v>
      </c>
      <c r="D812" s="262">
        <v>-94.209564299999997</v>
      </c>
      <c r="E812" s="262">
        <v>43.21266</v>
      </c>
      <c r="M812" s="262">
        <v>10.59206019</v>
      </c>
      <c r="N812" s="262">
        <v>10.59206019</v>
      </c>
    </row>
    <row r="813" spans="1:14" x14ac:dyDescent="0.25">
      <c r="A813" s="262">
        <v>19111</v>
      </c>
      <c r="B813" s="262" t="s">
        <v>672</v>
      </c>
      <c r="C813" s="262" t="s">
        <v>153</v>
      </c>
      <c r="D813" s="262">
        <v>-91.463915400000005</v>
      </c>
      <c r="E813" s="262">
        <v>40.659480000000002</v>
      </c>
      <c r="M813" s="262">
        <v>12.28665618</v>
      </c>
      <c r="N813" s="262">
        <v>12.28665618</v>
      </c>
    </row>
    <row r="814" spans="1:14" x14ac:dyDescent="0.25">
      <c r="A814" s="262">
        <v>19113</v>
      </c>
      <c r="B814" s="262" t="s">
        <v>672</v>
      </c>
      <c r="C814" s="262" t="s">
        <v>694</v>
      </c>
      <c r="D814" s="262">
        <v>-91.587303199999994</v>
      </c>
      <c r="E814" s="262">
        <v>42.08661</v>
      </c>
      <c r="M814" s="262">
        <v>11.25906202</v>
      </c>
      <c r="N814" s="262">
        <v>11.25906202</v>
      </c>
    </row>
    <row r="815" spans="1:14" x14ac:dyDescent="0.25">
      <c r="A815" s="262">
        <v>19115</v>
      </c>
      <c r="B815" s="262" t="s">
        <v>672</v>
      </c>
      <c r="C815" s="262" t="s">
        <v>695</v>
      </c>
      <c r="D815" s="262">
        <v>-91.248410199999995</v>
      </c>
      <c r="E815" s="262">
        <v>41.230530000000002</v>
      </c>
      <c r="M815" s="262">
        <v>11.869266270000001</v>
      </c>
      <c r="N815" s="262">
        <v>11.869266270000001</v>
      </c>
    </row>
    <row r="816" spans="1:14" x14ac:dyDescent="0.25">
      <c r="A816" s="262">
        <v>19117</v>
      </c>
      <c r="B816" s="262" t="s">
        <v>672</v>
      </c>
      <c r="C816" s="262" t="s">
        <v>696</v>
      </c>
      <c r="D816" s="262">
        <v>-93.3339833</v>
      </c>
      <c r="E816" s="262">
        <v>41.033099999999997</v>
      </c>
      <c r="M816" s="262">
        <v>12.05164712</v>
      </c>
      <c r="N816" s="262">
        <v>12.05164712</v>
      </c>
    </row>
    <row r="817" spans="1:14" x14ac:dyDescent="0.25">
      <c r="A817" s="262">
        <v>19119</v>
      </c>
      <c r="B817" s="262" t="s">
        <v>672</v>
      </c>
      <c r="C817" s="262" t="s">
        <v>697</v>
      </c>
      <c r="D817" s="262">
        <v>-96.206919999999997</v>
      </c>
      <c r="E817" s="262">
        <v>43.380890000000001</v>
      </c>
      <c r="M817" s="262">
        <v>10.6391203</v>
      </c>
      <c r="N817" s="262">
        <v>10.6391203</v>
      </c>
    </row>
    <row r="818" spans="1:14" x14ac:dyDescent="0.25">
      <c r="A818" s="262">
        <v>19121</v>
      </c>
      <c r="B818" s="262" t="s">
        <v>672</v>
      </c>
      <c r="C818" s="262" t="s">
        <v>157</v>
      </c>
      <c r="D818" s="262">
        <v>-94.025113200000007</v>
      </c>
      <c r="E818" s="262">
        <v>41.334690000000002</v>
      </c>
      <c r="M818" s="262">
        <v>11.873418969999999</v>
      </c>
      <c r="N818" s="262">
        <v>11.873418969999999</v>
      </c>
    </row>
    <row r="819" spans="1:14" x14ac:dyDescent="0.25">
      <c r="A819" s="262">
        <v>19123</v>
      </c>
      <c r="B819" s="262" t="s">
        <v>672</v>
      </c>
      <c r="C819" s="262" t="s">
        <v>698</v>
      </c>
      <c r="D819" s="262">
        <v>-92.631377400000005</v>
      </c>
      <c r="E819" s="262">
        <v>41.342480000000002</v>
      </c>
      <c r="M819" s="262">
        <v>11.82446086</v>
      </c>
      <c r="N819" s="262">
        <v>11.82446086</v>
      </c>
    </row>
    <row r="820" spans="1:14" x14ac:dyDescent="0.25">
      <c r="A820" s="262">
        <v>19125</v>
      </c>
      <c r="B820" s="262" t="s">
        <v>672</v>
      </c>
      <c r="C820" s="262" t="s">
        <v>159</v>
      </c>
      <c r="D820" s="262">
        <v>-93.096375699999996</v>
      </c>
      <c r="E820" s="262">
        <v>41.338230000000003</v>
      </c>
      <c r="M820" s="262">
        <v>11.831841600000001</v>
      </c>
      <c r="N820" s="262">
        <v>11.831841600000001</v>
      </c>
    </row>
    <row r="821" spans="1:14" x14ac:dyDescent="0.25">
      <c r="A821" s="262">
        <v>19127</v>
      </c>
      <c r="B821" s="262" t="s">
        <v>672</v>
      </c>
      <c r="C821" s="262" t="s">
        <v>160</v>
      </c>
      <c r="D821" s="262">
        <v>-92.996776199999999</v>
      </c>
      <c r="E821" s="262">
        <v>42.041499999999999</v>
      </c>
      <c r="M821" s="262">
        <v>11.315251140000001</v>
      </c>
      <c r="N821" s="262">
        <v>11.315251140000001</v>
      </c>
    </row>
    <row r="822" spans="1:14" x14ac:dyDescent="0.25">
      <c r="A822" s="262">
        <v>19129</v>
      </c>
      <c r="B822" s="262" t="s">
        <v>672</v>
      </c>
      <c r="C822" s="262" t="s">
        <v>699</v>
      </c>
      <c r="D822" s="262">
        <v>-95.616871000000003</v>
      </c>
      <c r="E822" s="262">
        <v>41.034999999999997</v>
      </c>
      <c r="M822" s="262">
        <v>12.19404684</v>
      </c>
      <c r="N822" s="262">
        <v>12.19404684</v>
      </c>
    </row>
    <row r="823" spans="1:14" x14ac:dyDescent="0.25">
      <c r="A823" s="262">
        <v>19131</v>
      </c>
      <c r="B823" s="262" t="s">
        <v>672</v>
      </c>
      <c r="C823" s="262" t="s">
        <v>501</v>
      </c>
      <c r="D823" s="262">
        <v>-92.789080600000005</v>
      </c>
      <c r="E823" s="262">
        <v>43.367469999999997</v>
      </c>
      <c r="M823" s="262">
        <v>10.189623989999999</v>
      </c>
      <c r="N823" s="262">
        <v>10.189623989999999</v>
      </c>
    </row>
    <row r="824" spans="1:14" x14ac:dyDescent="0.25">
      <c r="A824" s="262">
        <v>19133</v>
      </c>
      <c r="B824" s="262" t="s">
        <v>672</v>
      </c>
      <c r="C824" s="262" t="s">
        <v>700</v>
      </c>
      <c r="D824" s="262">
        <v>-95.961235200000004</v>
      </c>
      <c r="E824" s="262">
        <v>42.046680000000002</v>
      </c>
      <c r="M824" s="262">
        <v>11.58520466</v>
      </c>
      <c r="N824" s="262">
        <v>11.58520466</v>
      </c>
    </row>
    <row r="825" spans="1:14" x14ac:dyDescent="0.25">
      <c r="A825" s="262">
        <v>19135</v>
      </c>
      <c r="B825" s="262" t="s">
        <v>672</v>
      </c>
      <c r="C825" s="262" t="s">
        <v>162</v>
      </c>
      <c r="D825" s="262">
        <v>-92.869294100000005</v>
      </c>
      <c r="E825" s="262">
        <v>41.034970000000001</v>
      </c>
      <c r="M825" s="262">
        <v>12.047557149999999</v>
      </c>
      <c r="N825" s="262">
        <v>12.047557149999999</v>
      </c>
    </row>
    <row r="826" spans="1:14" x14ac:dyDescent="0.25">
      <c r="A826" s="262">
        <v>19137</v>
      </c>
      <c r="B826" s="262" t="s">
        <v>672</v>
      </c>
      <c r="C826" s="262" t="s">
        <v>163</v>
      </c>
      <c r="D826" s="262">
        <v>-95.158488000000006</v>
      </c>
      <c r="E826" s="262">
        <v>41.028770000000002</v>
      </c>
      <c r="M826" s="262">
        <v>12.15510265</v>
      </c>
      <c r="N826" s="262">
        <v>12.15510265</v>
      </c>
    </row>
    <row r="827" spans="1:14" x14ac:dyDescent="0.25">
      <c r="A827" s="262">
        <v>19139</v>
      </c>
      <c r="B827" s="262" t="s">
        <v>672</v>
      </c>
      <c r="C827" s="262" t="s">
        <v>701</v>
      </c>
      <c r="D827" s="262">
        <v>-91.094268900000003</v>
      </c>
      <c r="E827" s="262">
        <v>41.493189999999998</v>
      </c>
      <c r="M827" s="262">
        <v>11.678434859999999</v>
      </c>
      <c r="N827" s="262">
        <v>11.678434859999999</v>
      </c>
    </row>
    <row r="828" spans="1:14" x14ac:dyDescent="0.25">
      <c r="A828" s="262">
        <v>19141</v>
      </c>
      <c r="B828" s="262" t="s">
        <v>672</v>
      </c>
      <c r="C828" s="262" t="s">
        <v>702</v>
      </c>
      <c r="D828" s="262">
        <v>-95.627288399999998</v>
      </c>
      <c r="E828" s="262">
        <v>43.08858</v>
      </c>
      <c r="M828" s="262">
        <v>10.81884889</v>
      </c>
      <c r="N828" s="262">
        <v>10.81884889</v>
      </c>
    </row>
    <row r="829" spans="1:14" x14ac:dyDescent="0.25">
      <c r="A829" s="262">
        <v>19143</v>
      </c>
      <c r="B829" s="262" t="s">
        <v>672</v>
      </c>
      <c r="C829" s="262" t="s">
        <v>417</v>
      </c>
      <c r="D829" s="262">
        <v>-95.626651800000005</v>
      </c>
      <c r="E829" s="262">
        <v>43.384360000000001</v>
      </c>
      <c r="M829" s="262">
        <v>10.62660558</v>
      </c>
      <c r="N829" s="262">
        <v>10.62660558</v>
      </c>
    </row>
    <row r="830" spans="1:14" x14ac:dyDescent="0.25">
      <c r="A830" s="262">
        <v>19145</v>
      </c>
      <c r="B830" s="262" t="s">
        <v>672</v>
      </c>
      <c r="C830" s="262" t="s">
        <v>703</v>
      </c>
      <c r="D830" s="262">
        <v>-95.151385700000006</v>
      </c>
      <c r="E830" s="262">
        <v>40.751559999999998</v>
      </c>
      <c r="M830" s="262">
        <v>12.31970813</v>
      </c>
      <c r="N830" s="262">
        <v>12.31970813</v>
      </c>
    </row>
    <row r="831" spans="1:14" x14ac:dyDescent="0.25">
      <c r="A831" s="262">
        <v>19147</v>
      </c>
      <c r="B831" s="262" t="s">
        <v>672</v>
      </c>
      <c r="C831" s="262" t="s">
        <v>704</v>
      </c>
      <c r="D831" s="262">
        <v>-94.6841297</v>
      </c>
      <c r="E831" s="262">
        <v>43.091470000000001</v>
      </c>
      <c r="M831" s="262">
        <v>10.718959290000001</v>
      </c>
      <c r="N831" s="262">
        <v>10.718959290000001</v>
      </c>
    </row>
    <row r="832" spans="1:14" x14ac:dyDescent="0.25">
      <c r="A832" s="262">
        <v>19149</v>
      </c>
      <c r="B832" s="262" t="s">
        <v>672</v>
      </c>
      <c r="C832" s="262" t="s">
        <v>705</v>
      </c>
      <c r="D832" s="262">
        <v>-96.204106199999998</v>
      </c>
      <c r="E832" s="262">
        <v>42.730420000000002</v>
      </c>
      <c r="M832" s="262">
        <v>11.095283950000001</v>
      </c>
      <c r="N832" s="262">
        <v>11.095283950000001</v>
      </c>
    </row>
    <row r="833" spans="1:14" x14ac:dyDescent="0.25">
      <c r="A833" s="262">
        <v>19151</v>
      </c>
      <c r="B833" s="262" t="s">
        <v>672</v>
      </c>
      <c r="C833" s="262" t="s">
        <v>706</v>
      </c>
      <c r="D833" s="262">
        <v>-94.680996500000006</v>
      </c>
      <c r="E833" s="262">
        <v>42.73856</v>
      </c>
      <c r="M833" s="262">
        <v>10.950472749999999</v>
      </c>
      <c r="N833" s="262">
        <v>10.950472749999999</v>
      </c>
    </row>
    <row r="834" spans="1:14" x14ac:dyDescent="0.25">
      <c r="A834" s="262">
        <v>19153</v>
      </c>
      <c r="B834" s="262" t="s">
        <v>672</v>
      </c>
      <c r="C834" s="262" t="s">
        <v>237</v>
      </c>
      <c r="D834" s="262">
        <v>-93.579495100000003</v>
      </c>
      <c r="E834" s="262">
        <v>41.68618</v>
      </c>
      <c r="M834" s="262">
        <v>11.597670839999999</v>
      </c>
      <c r="N834" s="262">
        <v>11.597670839999999</v>
      </c>
    </row>
    <row r="835" spans="1:14" x14ac:dyDescent="0.25">
      <c r="A835" s="262">
        <v>19155</v>
      </c>
      <c r="B835" s="262" t="s">
        <v>672</v>
      </c>
      <c r="C835" s="262" t="s">
        <v>707</v>
      </c>
      <c r="D835" s="262">
        <v>-95.541864000000004</v>
      </c>
      <c r="E835" s="262">
        <v>41.336129999999997</v>
      </c>
      <c r="M835" s="262">
        <v>12.00848781</v>
      </c>
      <c r="N835" s="262">
        <v>12.00848781</v>
      </c>
    </row>
    <row r="836" spans="1:14" x14ac:dyDescent="0.25">
      <c r="A836" s="262">
        <v>19157</v>
      </c>
      <c r="B836" s="262" t="s">
        <v>672</v>
      </c>
      <c r="C836" s="262" t="s">
        <v>708</v>
      </c>
      <c r="D836" s="262">
        <v>-92.5192646</v>
      </c>
      <c r="E836" s="262">
        <v>41.696739999999998</v>
      </c>
      <c r="M836" s="262">
        <v>11.558149439999999</v>
      </c>
      <c r="N836" s="262">
        <v>11.558149439999999</v>
      </c>
    </row>
    <row r="837" spans="1:14" x14ac:dyDescent="0.25">
      <c r="A837" s="262">
        <v>19159</v>
      </c>
      <c r="B837" s="262" t="s">
        <v>672</v>
      </c>
      <c r="C837" s="262" t="s">
        <v>709</v>
      </c>
      <c r="D837" s="262">
        <v>-94.250836000000007</v>
      </c>
      <c r="E837" s="262">
        <v>40.749760000000002</v>
      </c>
      <c r="M837" s="262">
        <v>12.28078361</v>
      </c>
      <c r="N837" s="262">
        <v>12.28078361</v>
      </c>
    </row>
    <row r="838" spans="1:14" x14ac:dyDescent="0.25">
      <c r="A838" s="262">
        <v>19161</v>
      </c>
      <c r="B838" s="262" t="s">
        <v>672</v>
      </c>
      <c r="C838" s="262" t="s">
        <v>710</v>
      </c>
      <c r="D838" s="262">
        <v>-95.117636899999994</v>
      </c>
      <c r="E838" s="262">
        <v>42.384039999999999</v>
      </c>
      <c r="M838" s="262">
        <v>11.25398953</v>
      </c>
      <c r="N838" s="262">
        <v>11.25398953</v>
      </c>
    </row>
    <row r="839" spans="1:14" x14ac:dyDescent="0.25">
      <c r="A839" s="262">
        <v>19163</v>
      </c>
      <c r="B839" s="262" t="s">
        <v>672</v>
      </c>
      <c r="C839" s="262" t="s">
        <v>243</v>
      </c>
      <c r="D839" s="262">
        <v>-90.612257</v>
      </c>
      <c r="E839" s="262">
        <v>41.647979999999997</v>
      </c>
      <c r="M839" s="262">
        <v>11.52170744</v>
      </c>
      <c r="N839" s="262">
        <v>11.52170744</v>
      </c>
    </row>
    <row r="840" spans="1:14" x14ac:dyDescent="0.25">
      <c r="A840" s="262">
        <v>19165</v>
      </c>
      <c r="B840" s="262" t="s">
        <v>672</v>
      </c>
      <c r="C840" s="262" t="s">
        <v>171</v>
      </c>
      <c r="D840" s="262">
        <v>-95.315396899999996</v>
      </c>
      <c r="E840" s="262">
        <v>41.683929999999997</v>
      </c>
      <c r="M840" s="262">
        <v>11.761335799999999</v>
      </c>
      <c r="N840" s="262">
        <v>11.761335799999999</v>
      </c>
    </row>
    <row r="841" spans="1:14" x14ac:dyDescent="0.25">
      <c r="A841" s="262">
        <v>19167</v>
      </c>
      <c r="B841" s="262" t="s">
        <v>672</v>
      </c>
      <c r="C841" s="262" t="s">
        <v>711</v>
      </c>
      <c r="D841" s="262">
        <v>-96.170181299999996</v>
      </c>
      <c r="E841" s="262">
        <v>43.082470000000001</v>
      </c>
      <c r="M841" s="262">
        <v>10.837602309999999</v>
      </c>
      <c r="N841" s="262">
        <v>10.837602309999999</v>
      </c>
    </row>
    <row r="842" spans="1:14" x14ac:dyDescent="0.25">
      <c r="A842" s="262">
        <v>19169</v>
      </c>
      <c r="B842" s="262" t="s">
        <v>672</v>
      </c>
      <c r="C842" s="262" t="s">
        <v>712</v>
      </c>
      <c r="D842" s="262">
        <v>-93.467000200000001</v>
      </c>
      <c r="E842" s="262">
        <v>42.035400000000003</v>
      </c>
      <c r="M842" s="262">
        <v>11.334858819999999</v>
      </c>
      <c r="N842" s="262">
        <v>11.334858819999999</v>
      </c>
    </row>
    <row r="843" spans="1:14" x14ac:dyDescent="0.25">
      <c r="A843" s="262">
        <v>19171</v>
      </c>
      <c r="B843" s="262" t="s">
        <v>672</v>
      </c>
      <c r="C843" s="262" t="s">
        <v>713</v>
      </c>
      <c r="D843" s="262">
        <v>-92.522652600000001</v>
      </c>
      <c r="E843" s="262">
        <v>42.086190000000002</v>
      </c>
      <c r="M843" s="262">
        <v>11.27688292</v>
      </c>
      <c r="N843" s="262">
        <v>11.27688292</v>
      </c>
    </row>
    <row r="844" spans="1:14" x14ac:dyDescent="0.25">
      <c r="A844" s="262">
        <v>19173</v>
      </c>
      <c r="B844" s="262" t="s">
        <v>672</v>
      </c>
      <c r="C844" s="262" t="s">
        <v>428</v>
      </c>
      <c r="D844" s="262">
        <v>-94.704514599999996</v>
      </c>
      <c r="E844" s="262">
        <v>40.750660000000003</v>
      </c>
      <c r="M844" s="262">
        <v>12.298960729999999</v>
      </c>
      <c r="N844" s="262">
        <v>12.298960729999999</v>
      </c>
    </row>
    <row r="845" spans="1:14" x14ac:dyDescent="0.25">
      <c r="A845" s="262">
        <v>19175</v>
      </c>
      <c r="B845" s="262" t="s">
        <v>672</v>
      </c>
      <c r="C845" s="262" t="s">
        <v>249</v>
      </c>
      <c r="D845" s="262">
        <v>-94.251556399999998</v>
      </c>
      <c r="E845" s="262">
        <v>41.03237</v>
      </c>
      <c r="M845" s="262">
        <v>12.09397278</v>
      </c>
      <c r="N845" s="262">
        <v>12.09397278</v>
      </c>
    </row>
    <row r="846" spans="1:14" x14ac:dyDescent="0.25">
      <c r="A846" s="262">
        <v>19177</v>
      </c>
      <c r="B846" s="262" t="s">
        <v>672</v>
      </c>
      <c r="C846" s="262" t="s">
        <v>250</v>
      </c>
      <c r="D846" s="262">
        <v>-91.938238999999996</v>
      </c>
      <c r="E846" s="262">
        <v>40.760089999999998</v>
      </c>
      <c r="M846" s="262">
        <v>12.238901070000001</v>
      </c>
      <c r="N846" s="262">
        <v>12.238901070000001</v>
      </c>
    </row>
    <row r="847" spans="1:14" x14ac:dyDescent="0.25">
      <c r="A847" s="262">
        <v>19179</v>
      </c>
      <c r="B847" s="262" t="s">
        <v>672</v>
      </c>
      <c r="C847" s="262" t="s">
        <v>714</v>
      </c>
      <c r="D847" s="262">
        <v>-92.400882899999999</v>
      </c>
      <c r="E847" s="262">
        <v>41.037230000000001</v>
      </c>
      <c r="M847" s="262">
        <v>12.03703295</v>
      </c>
      <c r="N847" s="262">
        <v>12.03703295</v>
      </c>
    </row>
    <row r="848" spans="1:14" x14ac:dyDescent="0.25">
      <c r="A848" s="262">
        <v>19181</v>
      </c>
      <c r="B848" s="262" t="s">
        <v>672</v>
      </c>
      <c r="C848" s="262" t="s">
        <v>533</v>
      </c>
      <c r="D848" s="262">
        <v>-93.569697700000006</v>
      </c>
      <c r="E848" s="262">
        <v>41.33746</v>
      </c>
      <c r="M848" s="262">
        <v>11.84302171</v>
      </c>
      <c r="N848" s="262">
        <v>11.84302171</v>
      </c>
    </row>
    <row r="849" spans="1:14" x14ac:dyDescent="0.25">
      <c r="A849" s="262">
        <v>19183</v>
      </c>
      <c r="B849" s="262" t="s">
        <v>672</v>
      </c>
      <c r="C849" s="262" t="s">
        <v>177</v>
      </c>
      <c r="D849" s="262">
        <v>-91.701228700000001</v>
      </c>
      <c r="E849" s="262">
        <v>41.344079999999998</v>
      </c>
      <c r="M849" s="262">
        <v>11.804506269999999</v>
      </c>
      <c r="N849" s="262">
        <v>11.804506269999999</v>
      </c>
    </row>
    <row r="850" spans="1:14" x14ac:dyDescent="0.25">
      <c r="A850" s="262">
        <v>19185</v>
      </c>
      <c r="B850" s="262" t="s">
        <v>672</v>
      </c>
      <c r="C850" s="262" t="s">
        <v>534</v>
      </c>
      <c r="D850" s="262">
        <v>-93.335605299999997</v>
      </c>
      <c r="E850" s="262">
        <v>40.751829999999998</v>
      </c>
      <c r="M850" s="262">
        <v>12.24920032</v>
      </c>
      <c r="N850" s="262">
        <v>12.24920032</v>
      </c>
    </row>
    <row r="851" spans="1:14" x14ac:dyDescent="0.25">
      <c r="A851" s="262">
        <v>19187</v>
      </c>
      <c r="B851" s="262" t="s">
        <v>672</v>
      </c>
      <c r="C851" s="262" t="s">
        <v>535</v>
      </c>
      <c r="D851" s="262">
        <v>-94.182714300000001</v>
      </c>
      <c r="E851" s="262">
        <v>42.426290000000002</v>
      </c>
      <c r="M851" s="262">
        <v>11.113013410000001</v>
      </c>
      <c r="N851" s="262">
        <v>11.113013410000001</v>
      </c>
    </row>
    <row r="852" spans="1:14" x14ac:dyDescent="0.25">
      <c r="A852" s="262">
        <v>19189</v>
      </c>
      <c r="B852" s="262" t="s">
        <v>672</v>
      </c>
      <c r="C852" s="262" t="s">
        <v>628</v>
      </c>
      <c r="D852" s="262">
        <v>-93.736817200000004</v>
      </c>
      <c r="E852" s="262">
        <v>43.386290000000002</v>
      </c>
      <c r="M852" s="262">
        <v>10.40101754</v>
      </c>
      <c r="N852" s="262">
        <v>10.40101754</v>
      </c>
    </row>
    <row r="853" spans="1:14" x14ac:dyDescent="0.25">
      <c r="A853" s="262">
        <v>19191</v>
      </c>
      <c r="B853" s="262" t="s">
        <v>672</v>
      </c>
      <c r="C853" s="262" t="s">
        <v>715</v>
      </c>
      <c r="D853" s="262">
        <v>-91.839918499999996</v>
      </c>
      <c r="E853" s="262">
        <v>43.296840000000003</v>
      </c>
      <c r="M853" s="262">
        <v>10.255523030000001</v>
      </c>
      <c r="N853" s="262">
        <v>10.255523030000001</v>
      </c>
    </row>
    <row r="854" spans="1:14" x14ac:dyDescent="0.25">
      <c r="A854" s="262">
        <v>19193</v>
      </c>
      <c r="B854" s="262" t="s">
        <v>672</v>
      </c>
      <c r="C854" s="262" t="s">
        <v>716</v>
      </c>
      <c r="D854" s="262">
        <v>-96.041965300000001</v>
      </c>
      <c r="E854" s="262">
        <v>42.381720000000001</v>
      </c>
      <c r="M854" s="262">
        <v>11.35421534</v>
      </c>
      <c r="N854" s="262">
        <v>11.35421534</v>
      </c>
    </row>
    <row r="855" spans="1:14" x14ac:dyDescent="0.25">
      <c r="A855" s="262">
        <v>19195</v>
      </c>
      <c r="B855" s="262" t="s">
        <v>672</v>
      </c>
      <c r="C855" s="262" t="s">
        <v>540</v>
      </c>
      <c r="D855" s="262">
        <v>-93.260875100000007</v>
      </c>
      <c r="E855" s="262">
        <v>43.385539999999999</v>
      </c>
      <c r="M855" s="262">
        <v>10.29862398</v>
      </c>
      <c r="N855" s="262">
        <v>10.29862398</v>
      </c>
    </row>
    <row r="856" spans="1:14" x14ac:dyDescent="0.25">
      <c r="A856" s="262">
        <v>19197</v>
      </c>
      <c r="B856" s="262" t="s">
        <v>672</v>
      </c>
      <c r="C856" s="262" t="s">
        <v>717</v>
      </c>
      <c r="D856" s="262">
        <v>-93.732710900000001</v>
      </c>
      <c r="E856" s="262">
        <v>42.737130000000001</v>
      </c>
      <c r="M856" s="262">
        <v>10.84355519</v>
      </c>
      <c r="N856" s="262">
        <v>10.84355519</v>
      </c>
    </row>
    <row r="857" spans="1:14" x14ac:dyDescent="0.25">
      <c r="A857" s="262">
        <v>20001</v>
      </c>
      <c r="B857" s="262" t="s">
        <v>718</v>
      </c>
      <c r="C857" s="262" t="s">
        <v>631</v>
      </c>
      <c r="D857" s="262">
        <v>-95.317926400000005</v>
      </c>
      <c r="E857" s="262">
        <v>37.882899999999999</v>
      </c>
      <c r="M857" s="262">
        <v>14.028469189999999</v>
      </c>
      <c r="N857" s="262">
        <v>14.028469189999999</v>
      </c>
    </row>
    <row r="858" spans="1:14" x14ac:dyDescent="0.25">
      <c r="A858" s="262">
        <v>20003</v>
      </c>
      <c r="B858" s="262" t="s">
        <v>718</v>
      </c>
      <c r="C858" s="262" t="s">
        <v>719</v>
      </c>
      <c r="D858" s="262">
        <v>-95.304443599999999</v>
      </c>
      <c r="E858" s="262">
        <v>38.212699999999998</v>
      </c>
      <c r="M858" s="262">
        <v>13.833657349999999</v>
      </c>
      <c r="N858" s="262">
        <v>13.833657349999999</v>
      </c>
    </row>
    <row r="859" spans="1:14" x14ac:dyDescent="0.25">
      <c r="A859" s="262">
        <v>20005</v>
      </c>
      <c r="B859" s="262" t="s">
        <v>718</v>
      </c>
      <c r="C859" s="262" t="s">
        <v>720</v>
      </c>
      <c r="D859" s="262">
        <v>-95.317374200000003</v>
      </c>
      <c r="E859" s="262">
        <v>39.528779999999998</v>
      </c>
      <c r="M859" s="262">
        <v>12.983944230000001</v>
      </c>
      <c r="N859" s="262">
        <v>12.983944230000001</v>
      </c>
    </row>
    <row r="860" spans="1:14" x14ac:dyDescent="0.25">
      <c r="A860" s="262">
        <v>20007</v>
      </c>
      <c r="B860" s="262" t="s">
        <v>718</v>
      </c>
      <c r="C860" s="262" t="s">
        <v>721</v>
      </c>
      <c r="D860" s="262">
        <v>-98.693292</v>
      </c>
      <c r="E860" s="262">
        <v>37.22484</v>
      </c>
      <c r="M860" s="262">
        <v>14.38151195</v>
      </c>
      <c r="N860" s="262">
        <v>14.38151195</v>
      </c>
    </row>
    <row r="861" spans="1:14" x14ac:dyDescent="0.25">
      <c r="A861" s="262">
        <v>20009</v>
      </c>
      <c r="B861" s="262" t="s">
        <v>718</v>
      </c>
      <c r="C861" s="262" t="s">
        <v>722</v>
      </c>
      <c r="D861" s="262">
        <v>-98.755728300000001</v>
      </c>
      <c r="E861" s="262">
        <v>38.474960000000003</v>
      </c>
      <c r="M861" s="262">
        <v>13.62095162</v>
      </c>
      <c r="N861" s="262">
        <v>13.62095162</v>
      </c>
    </row>
    <row r="862" spans="1:14" x14ac:dyDescent="0.25">
      <c r="A862" s="262">
        <v>20011</v>
      </c>
      <c r="B862" s="262" t="s">
        <v>718</v>
      </c>
      <c r="C862" s="262" t="s">
        <v>723</v>
      </c>
      <c r="D862" s="262">
        <v>-94.859588900000006</v>
      </c>
      <c r="E862" s="262">
        <v>37.854869999999998</v>
      </c>
      <c r="M862" s="262">
        <v>14.02178239</v>
      </c>
      <c r="N862" s="262">
        <v>14.02178239</v>
      </c>
    </row>
    <row r="863" spans="1:14" x14ac:dyDescent="0.25">
      <c r="A863" s="262">
        <v>20013</v>
      </c>
      <c r="B863" s="262" t="s">
        <v>718</v>
      </c>
      <c r="C863" s="262" t="s">
        <v>578</v>
      </c>
      <c r="D863" s="262">
        <v>-95.572232999999997</v>
      </c>
      <c r="E863" s="262">
        <v>39.830629999999999</v>
      </c>
      <c r="M863" s="262">
        <v>12.824346240000001</v>
      </c>
      <c r="N863" s="262">
        <v>12.824346240000001</v>
      </c>
    </row>
    <row r="864" spans="1:14" x14ac:dyDescent="0.25">
      <c r="A864" s="262">
        <v>20015</v>
      </c>
      <c r="B864" s="262" t="s">
        <v>718</v>
      </c>
      <c r="C864" s="262" t="s">
        <v>119</v>
      </c>
      <c r="D864" s="262">
        <v>-96.852519299999997</v>
      </c>
      <c r="E864" s="262">
        <v>37.762369999999997</v>
      </c>
      <c r="M864" s="262">
        <v>14.22230815</v>
      </c>
      <c r="N864" s="262">
        <v>14.22230815</v>
      </c>
    </row>
    <row r="865" spans="1:14" x14ac:dyDescent="0.25">
      <c r="A865" s="262">
        <v>20017</v>
      </c>
      <c r="B865" s="262" t="s">
        <v>718</v>
      </c>
      <c r="C865" s="262" t="s">
        <v>724</v>
      </c>
      <c r="D865" s="262">
        <v>-96.603133299999996</v>
      </c>
      <c r="E865" s="262">
        <v>38.288609999999998</v>
      </c>
      <c r="M865" s="262">
        <v>13.860746369999999</v>
      </c>
      <c r="N865" s="262">
        <v>13.860746369999999</v>
      </c>
    </row>
    <row r="866" spans="1:14" x14ac:dyDescent="0.25">
      <c r="A866" s="262">
        <v>20019</v>
      </c>
      <c r="B866" s="262" t="s">
        <v>718</v>
      </c>
      <c r="C866" s="262" t="s">
        <v>725</v>
      </c>
      <c r="D866" s="262">
        <v>-96.254259000000005</v>
      </c>
      <c r="E866" s="262">
        <v>37.147889999999997</v>
      </c>
      <c r="M866" s="262">
        <v>14.540979220000001</v>
      </c>
      <c r="N866" s="262">
        <v>14.540979220000001</v>
      </c>
    </row>
    <row r="867" spans="1:14" x14ac:dyDescent="0.25">
      <c r="A867" s="262">
        <v>20021</v>
      </c>
      <c r="B867" s="262" t="s">
        <v>718</v>
      </c>
      <c r="C867" s="262" t="s">
        <v>122</v>
      </c>
      <c r="D867" s="262">
        <v>-94.863225299999996</v>
      </c>
      <c r="E867" s="262">
        <v>37.181570000000001</v>
      </c>
      <c r="M867" s="262">
        <v>14.409254000000001</v>
      </c>
      <c r="N867" s="262">
        <v>14.409254000000001</v>
      </c>
    </row>
    <row r="868" spans="1:14" x14ac:dyDescent="0.25">
      <c r="A868" s="262">
        <v>20023</v>
      </c>
      <c r="B868" s="262" t="s">
        <v>718</v>
      </c>
      <c r="C868" s="262" t="s">
        <v>321</v>
      </c>
      <c r="D868" s="262">
        <v>-101.73508</v>
      </c>
      <c r="E868" s="262">
        <v>39.790799999999997</v>
      </c>
      <c r="M868" s="262">
        <v>12.195046789999999</v>
      </c>
      <c r="N868" s="262">
        <v>12.195046789999999</v>
      </c>
    </row>
    <row r="869" spans="1:14" x14ac:dyDescent="0.25">
      <c r="A869" s="262">
        <v>20025</v>
      </c>
      <c r="B869" s="262" t="s">
        <v>718</v>
      </c>
      <c r="C869" s="262" t="s">
        <v>205</v>
      </c>
      <c r="D869" s="262">
        <v>-99.8214246</v>
      </c>
      <c r="E869" s="262">
        <v>37.229590000000002</v>
      </c>
      <c r="M869" s="262">
        <v>14.16769612</v>
      </c>
      <c r="N869" s="262">
        <v>14.16769612</v>
      </c>
    </row>
    <row r="870" spans="1:14" x14ac:dyDescent="0.25">
      <c r="A870" s="262">
        <v>20027</v>
      </c>
      <c r="B870" s="262" t="s">
        <v>718</v>
      </c>
      <c r="C870" s="262" t="s">
        <v>126</v>
      </c>
      <c r="D870" s="262">
        <v>-97.166169199999999</v>
      </c>
      <c r="E870" s="262">
        <v>39.335850000000001</v>
      </c>
      <c r="M870" s="262">
        <v>13.14135742</v>
      </c>
      <c r="N870" s="262">
        <v>13.14135742</v>
      </c>
    </row>
    <row r="871" spans="1:14" x14ac:dyDescent="0.25">
      <c r="A871" s="262">
        <v>20029</v>
      </c>
      <c r="B871" s="262" t="s">
        <v>718</v>
      </c>
      <c r="C871" s="262" t="s">
        <v>726</v>
      </c>
      <c r="D871" s="262">
        <v>-97.649196599999996</v>
      </c>
      <c r="E871" s="262">
        <v>39.465330000000002</v>
      </c>
      <c r="M871" s="262">
        <v>13.038402980000001</v>
      </c>
      <c r="N871" s="262">
        <v>13.038402980000001</v>
      </c>
    </row>
    <row r="872" spans="1:14" x14ac:dyDescent="0.25">
      <c r="A872" s="262">
        <v>20031</v>
      </c>
      <c r="B872" s="262" t="s">
        <v>718</v>
      </c>
      <c r="C872" s="262" t="s">
        <v>727</v>
      </c>
      <c r="D872" s="262">
        <v>-95.745741600000002</v>
      </c>
      <c r="E872" s="262">
        <v>38.230260000000001</v>
      </c>
      <c r="M872" s="262">
        <v>13.832521849999999</v>
      </c>
      <c r="N872" s="262">
        <v>13.832521849999999</v>
      </c>
    </row>
    <row r="873" spans="1:14" x14ac:dyDescent="0.25">
      <c r="A873" s="262">
        <v>20033</v>
      </c>
      <c r="B873" s="262" t="s">
        <v>718</v>
      </c>
      <c r="C873" s="262" t="s">
        <v>728</v>
      </c>
      <c r="D873" s="262">
        <v>-99.284309500000006</v>
      </c>
      <c r="E873" s="262">
        <v>37.182989999999997</v>
      </c>
      <c r="M873" s="262">
        <v>14.312776449999999</v>
      </c>
      <c r="N873" s="262">
        <v>14.312776449999999</v>
      </c>
    </row>
    <row r="874" spans="1:14" x14ac:dyDescent="0.25">
      <c r="A874" s="262">
        <v>20035</v>
      </c>
      <c r="B874" s="262" t="s">
        <v>718</v>
      </c>
      <c r="C874" s="262" t="s">
        <v>729</v>
      </c>
      <c r="D874" s="262">
        <v>-96.850530199999994</v>
      </c>
      <c r="E874" s="262">
        <v>37.225200000000001</v>
      </c>
      <c r="M874" s="262">
        <v>14.54857239</v>
      </c>
      <c r="N874" s="262">
        <v>14.54857239</v>
      </c>
    </row>
    <row r="875" spans="1:14" x14ac:dyDescent="0.25">
      <c r="A875" s="262">
        <v>20037</v>
      </c>
      <c r="B875" s="262" t="s">
        <v>718</v>
      </c>
      <c r="C875" s="262" t="s">
        <v>210</v>
      </c>
      <c r="D875" s="262">
        <v>-94.863771299999996</v>
      </c>
      <c r="E875" s="262">
        <v>37.510399999999997</v>
      </c>
      <c r="M875" s="262">
        <v>14.215785459999999</v>
      </c>
      <c r="N875" s="262">
        <v>14.215785459999999</v>
      </c>
    </row>
    <row r="876" spans="1:14" x14ac:dyDescent="0.25">
      <c r="A876" s="262">
        <v>20039</v>
      </c>
      <c r="B876" s="262" t="s">
        <v>718</v>
      </c>
      <c r="C876" s="262" t="s">
        <v>464</v>
      </c>
      <c r="D876" s="262">
        <v>-100.455201</v>
      </c>
      <c r="E876" s="262">
        <v>39.788730000000001</v>
      </c>
      <c r="M876" s="262">
        <v>12.60386243</v>
      </c>
      <c r="N876" s="262">
        <v>12.60386243</v>
      </c>
    </row>
    <row r="877" spans="1:14" x14ac:dyDescent="0.25">
      <c r="A877" s="262">
        <v>20041</v>
      </c>
      <c r="B877" s="262" t="s">
        <v>718</v>
      </c>
      <c r="C877" s="262" t="s">
        <v>686</v>
      </c>
      <c r="D877" s="262">
        <v>-97.152560600000001</v>
      </c>
      <c r="E877" s="262">
        <v>38.854640000000003</v>
      </c>
      <c r="M877" s="262">
        <v>13.46823659</v>
      </c>
      <c r="N877" s="262">
        <v>13.46823659</v>
      </c>
    </row>
    <row r="878" spans="1:14" x14ac:dyDescent="0.25">
      <c r="A878" s="262">
        <v>20043</v>
      </c>
      <c r="B878" s="262" t="s">
        <v>718</v>
      </c>
      <c r="C878" s="262" t="s">
        <v>730</v>
      </c>
      <c r="D878" s="262">
        <v>-95.158534799999998</v>
      </c>
      <c r="E878" s="262">
        <v>39.799399999999999</v>
      </c>
      <c r="M878" s="262">
        <v>12.85139088</v>
      </c>
      <c r="N878" s="262">
        <v>12.85139088</v>
      </c>
    </row>
    <row r="879" spans="1:14" x14ac:dyDescent="0.25">
      <c r="A879" s="262">
        <v>20045</v>
      </c>
      <c r="B879" s="262" t="s">
        <v>718</v>
      </c>
      <c r="C879" s="262" t="s">
        <v>330</v>
      </c>
      <c r="D879" s="262">
        <v>-95.312195500000001</v>
      </c>
      <c r="E879" s="262">
        <v>38.889220000000002</v>
      </c>
      <c r="M879" s="262">
        <v>13.402502760000001</v>
      </c>
      <c r="N879" s="262">
        <v>13.402502760000001</v>
      </c>
    </row>
    <row r="880" spans="1:14" x14ac:dyDescent="0.25">
      <c r="A880" s="262">
        <v>20047</v>
      </c>
      <c r="B880" s="262" t="s">
        <v>718</v>
      </c>
      <c r="C880" s="262" t="s">
        <v>589</v>
      </c>
      <c r="D880" s="262">
        <v>-99.310342899999995</v>
      </c>
      <c r="E880" s="262">
        <v>37.880699999999997</v>
      </c>
      <c r="M880" s="262">
        <v>13.895597090000001</v>
      </c>
      <c r="N880" s="262">
        <v>13.895597090000001</v>
      </c>
    </row>
    <row r="881" spans="1:14" x14ac:dyDescent="0.25">
      <c r="A881" s="262">
        <v>20049</v>
      </c>
      <c r="B881" s="262" t="s">
        <v>718</v>
      </c>
      <c r="C881" s="262" t="s">
        <v>731</v>
      </c>
      <c r="D881" s="262">
        <v>-96.253456</v>
      </c>
      <c r="E881" s="262">
        <v>37.440130000000003</v>
      </c>
      <c r="M881" s="262">
        <v>14.368862849999999</v>
      </c>
      <c r="N881" s="262">
        <v>14.368862849999999</v>
      </c>
    </row>
    <row r="882" spans="1:14" x14ac:dyDescent="0.25">
      <c r="A882" s="262">
        <v>20051</v>
      </c>
      <c r="B882" s="262" t="s">
        <v>718</v>
      </c>
      <c r="C882" s="262" t="s">
        <v>732</v>
      </c>
      <c r="D882" s="262">
        <v>-99.317668499999996</v>
      </c>
      <c r="E882" s="262">
        <v>38.912430000000001</v>
      </c>
      <c r="M882" s="262">
        <v>13.26768586</v>
      </c>
      <c r="N882" s="262">
        <v>13.26768586</v>
      </c>
    </row>
    <row r="883" spans="1:14" x14ac:dyDescent="0.25">
      <c r="A883" s="262">
        <v>20053</v>
      </c>
      <c r="B883" s="262" t="s">
        <v>718</v>
      </c>
      <c r="C883" s="262" t="s">
        <v>733</v>
      </c>
      <c r="D883" s="262">
        <v>-98.204482600000006</v>
      </c>
      <c r="E883" s="262">
        <v>38.69229</v>
      </c>
      <c r="M883" s="262">
        <v>13.53883398</v>
      </c>
      <c r="N883" s="262">
        <v>13.53883398</v>
      </c>
    </row>
    <row r="884" spans="1:14" x14ac:dyDescent="0.25">
      <c r="A884" s="262">
        <v>20055</v>
      </c>
      <c r="B884" s="262" t="s">
        <v>718</v>
      </c>
      <c r="C884" s="262" t="s">
        <v>734</v>
      </c>
      <c r="D884" s="262">
        <v>-100.73918399999999</v>
      </c>
      <c r="E884" s="262">
        <v>38.040480000000002</v>
      </c>
      <c r="M884" s="262">
        <v>13.42186674</v>
      </c>
      <c r="N884" s="262">
        <v>13.42186674</v>
      </c>
    </row>
    <row r="885" spans="1:14" x14ac:dyDescent="0.25">
      <c r="A885" s="262">
        <v>20057</v>
      </c>
      <c r="B885" s="262" t="s">
        <v>718</v>
      </c>
      <c r="C885" s="262" t="s">
        <v>590</v>
      </c>
      <c r="D885" s="262">
        <v>-99.886281499999996</v>
      </c>
      <c r="E885" s="262">
        <v>37.688809999999997</v>
      </c>
      <c r="M885" s="262">
        <v>13.897922039999999</v>
      </c>
      <c r="N885" s="262">
        <v>13.897922039999999</v>
      </c>
    </row>
    <row r="886" spans="1:14" x14ac:dyDescent="0.25">
      <c r="A886" s="262">
        <v>20059</v>
      </c>
      <c r="B886" s="262" t="s">
        <v>718</v>
      </c>
      <c r="C886" s="262" t="s">
        <v>142</v>
      </c>
      <c r="D886" s="262">
        <v>-95.300211700000006</v>
      </c>
      <c r="E886" s="262">
        <v>38.565759999999997</v>
      </c>
      <c r="M886" s="262">
        <v>13.6160306</v>
      </c>
      <c r="N886" s="262">
        <v>13.6160306</v>
      </c>
    </row>
    <row r="887" spans="1:14" x14ac:dyDescent="0.25">
      <c r="A887" s="262">
        <v>20061</v>
      </c>
      <c r="B887" s="262" t="s">
        <v>718</v>
      </c>
      <c r="C887" s="262" t="s">
        <v>735</v>
      </c>
      <c r="D887" s="262">
        <v>-96.749580499999993</v>
      </c>
      <c r="E887" s="262">
        <v>38.989750000000001</v>
      </c>
      <c r="M887" s="262">
        <v>13.385162299999999</v>
      </c>
      <c r="N887" s="262">
        <v>13.385162299999999</v>
      </c>
    </row>
    <row r="888" spans="1:14" x14ac:dyDescent="0.25">
      <c r="A888" s="262">
        <v>20063</v>
      </c>
      <c r="B888" s="262" t="s">
        <v>718</v>
      </c>
      <c r="C888" s="262" t="s">
        <v>736</v>
      </c>
      <c r="D888" s="262">
        <v>-100.47872099999999</v>
      </c>
      <c r="E888" s="262">
        <v>38.919879999999999</v>
      </c>
      <c r="M888" s="262">
        <v>13.079187429999999</v>
      </c>
      <c r="N888" s="262">
        <v>13.079187429999999</v>
      </c>
    </row>
    <row r="889" spans="1:14" x14ac:dyDescent="0.25">
      <c r="A889" s="262">
        <v>20065</v>
      </c>
      <c r="B889" s="262" t="s">
        <v>718</v>
      </c>
      <c r="C889" s="262" t="s">
        <v>185</v>
      </c>
      <c r="D889" s="262">
        <v>-99.880889600000003</v>
      </c>
      <c r="E889" s="262">
        <v>39.356409999999997</v>
      </c>
      <c r="M889" s="262">
        <v>12.92901751</v>
      </c>
      <c r="N889" s="262">
        <v>12.92901751</v>
      </c>
    </row>
    <row r="890" spans="1:14" x14ac:dyDescent="0.25">
      <c r="A890" s="262">
        <v>20067</v>
      </c>
      <c r="B890" s="262" t="s">
        <v>718</v>
      </c>
      <c r="C890" s="262" t="s">
        <v>218</v>
      </c>
      <c r="D890" s="262">
        <v>-101.30466800000001</v>
      </c>
      <c r="E890" s="262">
        <v>37.563110000000002</v>
      </c>
      <c r="M890" s="262">
        <v>13.40862269</v>
      </c>
      <c r="N890" s="262">
        <v>13.40862269</v>
      </c>
    </row>
    <row r="891" spans="1:14" x14ac:dyDescent="0.25">
      <c r="A891" s="262">
        <v>20069</v>
      </c>
      <c r="B891" s="262" t="s">
        <v>718</v>
      </c>
      <c r="C891" s="262" t="s">
        <v>737</v>
      </c>
      <c r="D891" s="262">
        <v>-100.429686</v>
      </c>
      <c r="E891" s="262">
        <v>37.735219999999998</v>
      </c>
      <c r="M891" s="262">
        <v>13.68691342</v>
      </c>
      <c r="N891" s="262">
        <v>13.68691342</v>
      </c>
    </row>
    <row r="892" spans="1:14" x14ac:dyDescent="0.25">
      <c r="A892" s="262">
        <v>20071</v>
      </c>
      <c r="B892" s="262" t="s">
        <v>718</v>
      </c>
      <c r="C892" s="262" t="s">
        <v>738</v>
      </c>
      <c r="D892" s="262">
        <v>-101.805477</v>
      </c>
      <c r="E892" s="262">
        <v>38.475549999999998</v>
      </c>
      <c r="M892" s="262">
        <v>12.658397020000001</v>
      </c>
      <c r="N892" s="262">
        <v>12.658397020000001</v>
      </c>
    </row>
    <row r="893" spans="1:14" x14ac:dyDescent="0.25">
      <c r="A893" s="262">
        <v>20073</v>
      </c>
      <c r="B893" s="262" t="s">
        <v>718</v>
      </c>
      <c r="C893" s="262" t="s">
        <v>739</v>
      </c>
      <c r="D893" s="262">
        <v>-96.240112699999997</v>
      </c>
      <c r="E893" s="262">
        <v>37.863880000000002</v>
      </c>
      <c r="M893" s="262">
        <v>14.108716769999999</v>
      </c>
      <c r="N893" s="262">
        <v>14.108716769999999</v>
      </c>
    </row>
    <row r="894" spans="1:14" x14ac:dyDescent="0.25">
      <c r="A894" s="262">
        <v>20075</v>
      </c>
      <c r="B894" s="262" t="s">
        <v>718</v>
      </c>
      <c r="C894" s="262" t="s">
        <v>400</v>
      </c>
      <c r="D894" s="262">
        <v>-101.791749</v>
      </c>
      <c r="E894" s="262">
        <v>37.995060000000002</v>
      </c>
      <c r="M894" s="262">
        <v>12.87475519</v>
      </c>
      <c r="N894" s="262">
        <v>12.87475519</v>
      </c>
    </row>
    <row r="895" spans="1:14" x14ac:dyDescent="0.25">
      <c r="A895" s="262">
        <v>20077</v>
      </c>
      <c r="B895" s="262" t="s">
        <v>718</v>
      </c>
      <c r="C895" s="262" t="s">
        <v>740</v>
      </c>
      <c r="D895" s="262">
        <v>-98.081779499999996</v>
      </c>
      <c r="E895" s="262">
        <v>37.184959999999997</v>
      </c>
      <c r="M895" s="262">
        <v>14.480278480000001</v>
      </c>
      <c r="N895" s="262">
        <v>14.480278480000001</v>
      </c>
    </row>
    <row r="896" spans="1:14" x14ac:dyDescent="0.25">
      <c r="A896" s="262">
        <v>20079</v>
      </c>
      <c r="B896" s="262" t="s">
        <v>718</v>
      </c>
      <c r="C896" s="262" t="s">
        <v>741</v>
      </c>
      <c r="D896" s="262">
        <v>-97.434333800000005</v>
      </c>
      <c r="E896" s="262">
        <v>38.032940000000004</v>
      </c>
      <c r="M896" s="262">
        <v>14.0497117</v>
      </c>
      <c r="N896" s="262">
        <v>14.0497117</v>
      </c>
    </row>
    <row r="897" spans="1:14" x14ac:dyDescent="0.25">
      <c r="A897" s="262">
        <v>20081</v>
      </c>
      <c r="B897" s="262" t="s">
        <v>718</v>
      </c>
      <c r="C897" s="262" t="s">
        <v>742</v>
      </c>
      <c r="D897" s="262">
        <v>-100.863197</v>
      </c>
      <c r="E897" s="262">
        <v>37.561950000000003</v>
      </c>
      <c r="M897" s="262">
        <v>13.6140572</v>
      </c>
      <c r="N897" s="262">
        <v>13.6140572</v>
      </c>
    </row>
    <row r="898" spans="1:14" x14ac:dyDescent="0.25">
      <c r="A898" s="262">
        <v>20083</v>
      </c>
      <c r="B898" s="262" t="s">
        <v>718</v>
      </c>
      <c r="C898" s="262" t="s">
        <v>743</v>
      </c>
      <c r="D898" s="262">
        <v>-99.898461600000005</v>
      </c>
      <c r="E898" s="262">
        <v>38.085000000000001</v>
      </c>
      <c r="M898" s="262">
        <v>13.669803180000001</v>
      </c>
      <c r="N898" s="262">
        <v>13.669803180000001</v>
      </c>
    </row>
    <row r="899" spans="1:14" x14ac:dyDescent="0.25">
      <c r="A899" s="262">
        <v>20085</v>
      </c>
      <c r="B899" s="262" t="s">
        <v>718</v>
      </c>
      <c r="C899" s="262" t="s">
        <v>148</v>
      </c>
      <c r="D899" s="262">
        <v>-95.797221399999998</v>
      </c>
      <c r="E899" s="262">
        <v>39.41339</v>
      </c>
      <c r="M899" s="262">
        <v>13.066430159999999</v>
      </c>
      <c r="N899" s="262">
        <v>13.066430159999999</v>
      </c>
    </row>
    <row r="900" spans="1:14" x14ac:dyDescent="0.25">
      <c r="A900" s="262">
        <v>20087</v>
      </c>
      <c r="B900" s="262" t="s">
        <v>718</v>
      </c>
      <c r="C900" s="262" t="s">
        <v>149</v>
      </c>
      <c r="D900" s="262">
        <v>-95.393817400000003</v>
      </c>
      <c r="E900" s="262">
        <v>39.235999999999997</v>
      </c>
      <c r="M900" s="262">
        <v>13.160576300000001</v>
      </c>
      <c r="N900" s="262">
        <v>13.160576300000001</v>
      </c>
    </row>
    <row r="901" spans="1:14" x14ac:dyDescent="0.25">
      <c r="A901" s="262">
        <v>20089</v>
      </c>
      <c r="B901" s="262" t="s">
        <v>718</v>
      </c>
      <c r="C901" s="262" t="s">
        <v>744</v>
      </c>
      <c r="D901" s="262">
        <v>-98.2215025</v>
      </c>
      <c r="E901" s="262">
        <v>39.782299999999999</v>
      </c>
      <c r="M901" s="262">
        <v>12.80552168</v>
      </c>
      <c r="N901" s="262">
        <v>12.80552168</v>
      </c>
    </row>
    <row r="902" spans="1:14" x14ac:dyDescent="0.25">
      <c r="A902" s="262">
        <v>20091</v>
      </c>
      <c r="B902" s="262" t="s">
        <v>718</v>
      </c>
      <c r="C902" s="262" t="s">
        <v>224</v>
      </c>
      <c r="D902" s="262">
        <v>-94.834644699999998</v>
      </c>
      <c r="E902" s="262">
        <v>38.88691</v>
      </c>
      <c r="M902" s="262">
        <v>13.45667016</v>
      </c>
      <c r="N902" s="262">
        <v>13.45667016</v>
      </c>
    </row>
    <row r="903" spans="1:14" x14ac:dyDescent="0.25">
      <c r="A903" s="262">
        <v>20093</v>
      </c>
      <c r="B903" s="262" t="s">
        <v>718</v>
      </c>
      <c r="C903" s="262" t="s">
        <v>745</v>
      </c>
      <c r="D903" s="262">
        <v>-101.320108</v>
      </c>
      <c r="E903" s="262">
        <v>37.995620000000002</v>
      </c>
      <c r="M903" s="262">
        <v>13.18496028</v>
      </c>
      <c r="N903" s="262">
        <v>13.18496028</v>
      </c>
    </row>
    <row r="904" spans="1:14" x14ac:dyDescent="0.25">
      <c r="A904" s="262">
        <v>20095</v>
      </c>
      <c r="B904" s="262" t="s">
        <v>718</v>
      </c>
      <c r="C904" s="262" t="s">
        <v>746</v>
      </c>
      <c r="D904" s="262">
        <v>-98.138081200000002</v>
      </c>
      <c r="E904" s="262">
        <v>37.550919999999998</v>
      </c>
      <c r="M904" s="262">
        <v>14.26242948</v>
      </c>
      <c r="N904" s="262">
        <v>14.26242948</v>
      </c>
    </row>
    <row r="905" spans="1:14" x14ac:dyDescent="0.25">
      <c r="A905" s="262">
        <v>20097</v>
      </c>
      <c r="B905" s="262" t="s">
        <v>718</v>
      </c>
      <c r="C905" s="262" t="s">
        <v>341</v>
      </c>
      <c r="D905" s="262">
        <v>-99.288546600000004</v>
      </c>
      <c r="E905" s="262">
        <v>37.545949999999998</v>
      </c>
      <c r="M905" s="262">
        <v>14.10510646</v>
      </c>
      <c r="N905" s="262">
        <v>14.10510646</v>
      </c>
    </row>
    <row r="906" spans="1:14" x14ac:dyDescent="0.25">
      <c r="A906" s="262">
        <v>20099</v>
      </c>
      <c r="B906" s="262" t="s">
        <v>718</v>
      </c>
      <c r="C906" s="262" t="s">
        <v>747</v>
      </c>
      <c r="D906" s="262">
        <v>-95.311153700000006</v>
      </c>
      <c r="E906" s="262">
        <v>37.199779999999997</v>
      </c>
      <c r="M906" s="262">
        <v>14.441176759999999</v>
      </c>
      <c r="N906" s="262">
        <v>14.441176759999999</v>
      </c>
    </row>
    <row r="907" spans="1:14" x14ac:dyDescent="0.25">
      <c r="A907" s="262">
        <v>20101</v>
      </c>
      <c r="B907" s="262" t="s">
        <v>718</v>
      </c>
      <c r="C907" s="262" t="s">
        <v>748</v>
      </c>
      <c r="D907" s="262">
        <v>-100.455737</v>
      </c>
      <c r="E907" s="262">
        <v>38.47889</v>
      </c>
      <c r="M907" s="262">
        <v>13.31619939</v>
      </c>
      <c r="N907" s="262">
        <v>13.31619939</v>
      </c>
    </row>
    <row r="908" spans="1:14" x14ac:dyDescent="0.25">
      <c r="A908" s="262">
        <v>20103</v>
      </c>
      <c r="B908" s="262" t="s">
        <v>718</v>
      </c>
      <c r="C908" s="262" t="s">
        <v>749</v>
      </c>
      <c r="D908" s="262">
        <v>-95.048575299999996</v>
      </c>
      <c r="E908" s="262">
        <v>39.205930000000002</v>
      </c>
      <c r="M908" s="262">
        <v>13.22301882</v>
      </c>
      <c r="N908" s="262">
        <v>13.22301882</v>
      </c>
    </row>
    <row r="909" spans="1:14" x14ac:dyDescent="0.25">
      <c r="A909" s="262">
        <v>20105</v>
      </c>
      <c r="B909" s="262" t="s">
        <v>718</v>
      </c>
      <c r="C909" s="262" t="s">
        <v>226</v>
      </c>
      <c r="D909" s="262">
        <v>-98.210755599999999</v>
      </c>
      <c r="E909" s="262">
        <v>39.04119</v>
      </c>
      <c r="M909" s="262">
        <v>13.304369449999999</v>
      </c>
      <c r="N909" s="262">
        <v>13.304369449999999</v>
      </c>
    </row>
    <row r="910" spans="1:14" x14ac:dyDescent="0.25">
      <c r="A910" s="262">
        <v>20107</v>
      </c>
      <c r="B910" s="262" t="s">
        <v>718</v>
      </c>
      <c r="C910" s="262" t="s">
        <v>694</v>
      </c>
      <c r="D910" s="262">
        <v>-94.853736799999993</v>
      </c>
      <c r="E910" s="262">
        <v>38.215240000000001</v>
      </c>
      <c r="M910" s="262">
        <v>13.82720275</v>
      </c>
      <c r="N910" s="262">
        <v>13.82720275</v>
      </c>
    </row>
    <row r="911" spans="1:14" x14ac:dyDescent="0.25">
      <c r="A911" s="262">
        <v>20109</v>
      </c>
      <c r="B911" s="262" t="s">
        <v>718</v>
      </c>
      <c r="C911" s="262" t="s">
        <v>228</v>
      </c>
      <c r="D911" s="262">
        <v>-101.138997</v>
      </c>
      <c r="E911" s="262">
        <v>38.92295</v>
      </c>
      <c r="M911" s="262">
        <v>12.90998433</v>
      </c>
      <c r="N911" s="262">
        <v>12.90998433</v>
      </c>
    </row>
    <row r="912" spans="1:14" x14ac:dyDescent="0.25">
      <c r="A912" s="262">
        <v>20111</v>
      </c>
      <c r="B912" s="262" t="s">
        <v>718</v>
      </c>
      <c r="C912" s="262" t="s">
        <v>697</v>
      </c>
      <c r="D912" s="262">
        <v>-96.159899699999997</v>
      </c>
      <c r="E912" s="262">
        <v>38.440109999999997</v>
      </c>
      <c r="M912" s="262">
        <v>13.720009960000001</v>
      </c>
      <c r="N912" s="262">
        <v>13.720009960000001</v>
      </c>
    </row>
    <row r="913" spans="1:14" x14ac:dyDescent="0.25">
      <c r="A913" s="262">
        <v>20113</v>
      </c>
      <c r="B913" s="262" t="s">
        <v>718</v>
      </c>
      <c r="C913" s="262" t="s">
        <v>750</v>
      </c>
      <c r="D913" s="262">
        <v>-97.652061500000002</v>
      </c>
      <c r="E913" s="262">
        <v>38.383049999999997</v>
      </c>
      <c r="M913" s="262">
        <v>13.79344867</v>
      </c>
      <c r="N913" s="262">
        <v>13.79344867</v>
      </c>
    </row>
    <row r="914" spans="1:14" x14ac:dyDescent="0.25">
      <c r="A914" s="262">
        <v>20115</v>
      </c>
      <c r="B914" s="262" t="s">
        <v>718</v>
      </c>
      <c r="C914" s="262" t="s">
        <v>159</v>
      </c>
      <c r="D914" s="262">
        <v>-97.104634899999994</v>
      </c>
      <c r="E914" s="262">
        <v>38.34778</v>
      </c>
      <c r="M914" s="262">
        <v>13.822884119999999</v>
      </c>
      <c r="N914" s="262">
        <v>13.822884119999999</v>
      </c>
    </row>
    <row r="915" spans="1:14" x14ac:dyDescent="0.25">
      <c r="A915" s="262">
        <v>20117</v>
      </c>
      <c r="B915" s="262" t="s">
        <v>718</v>
      </c>
      <c r="C915" s="262" t="s">
        <v>160</v>
      </c>
      <c r="D915" s="262">
        <v>-96.525299500000003</v>
      </c>
      <c r="E915" s="262">
        <v>39.77955</v>
      </c>
      <c r="M915" s="262">
        <v>12.87999647</v>
      </c>
      <c r="N915" s="262">
        <v>12.87999647</v>
      </c>
    </row>
    <row r="916" spans="1:14" x14ac:dyDescent="0.25">
      <c r="A916" s="262">
        <v>20119</v>
      </c>
      <c r="B916" s="262" t="s">
        <v>718</v>
      </c>
      <c r="C916" s="262" t="s">
        <v>751</v>
      </c>
      <c r="D916" s="262">
        <v>-100.357874</v>
      </c>
      <c r="E916" s="262">
        <v>37.236640000000001</v>
      </c>
      <c r="M916" s="262">
        <v>13.991403910000001</v>
      </c>
      <c r="N916" s="262">
        <v>13.991403910000001</v>
      </c>
    </row>
    <row r="917" spans="1:14" x14ac:dyDescent="0.25">
      <c r="A917" s="262">
        <v>20121</v>
      </c>
      <c r="B917" s="262" t="s">
        <v>718</v>
      </c>
      <c r="C917" s="262" t="s">
        <v>649</v>
      </c>
      <c r="D917" s="262">
        <v>-94.847431200000003</v>
      </c>
      <c r="E917" s="262">
        <v>38.56561</v>
      </c>
      <c r="M917" s="262">
        <v>13.63439932</v>
      </c>
      <c r="N917" s="262">
        <v>13.63439932</v>
      </c>
    </row>
    <row r="918" spans="1:14" x14ac:dyDescent="0.25">
      <c r="A918" s="262">
        <v>20123</v>
      </c>
      <c r="B918" s="262" t="s">
        <v>718</v>
      </c>
      <c r="C918" s="262" t="s">
        <v>501</v>
      </c>
      <c r="D918" s="262">
        <v>-98.208594099999999</v>
      </c>
      <c r="E918" s="262">
        <v>39.386560000000003</v>
      </c>
      <c r="M918" s="262">
        <v>13.07400584</v>
      </c>
      <c r="N918" s="262">
        <v>13.07400584</v>
      </c>
    </row>
    <row r="919" spans="1:14" x14ac:dyDescent="0.25">
      <c r="A919" s="262">
        <v>20125</v>
      </c>
      <c r="B919" s="262" t="s">
        <v>718</v>
      </c>
      <c r="C919" s="262" t="s">
        <v>163</v>
      </c>
      <c r="D919" s="262">
        <v>-95.754372500000002</v>
      </c>
      <c r="E919" s="262">
        <v>37.202359999999999</v>
      </c>
      <c r="M919" s="262">
        <v>14.474761969999999</v>
      </c>
      <c r="N919" s="262">
        <v>14.474761969999999</v>
      </c>
    </row>
    <row r="920" spans="1:14" x14ac:dyDescent="0.25">
      <c r="A920" s="262">
        <v>20127</v>
      </c>
      <c r="B920" s="262" t="s">
        <v>718</v>
      </c>
      <c r="C920" s="262" t="s">
        <v>752</v>
      </c>
      <c r="D920" s="262">
        <v>-96.647402900000003</v>
      </c>
      <c r="E920" s="262">
        <v>38.675739999999998</v>
      </c>
      <c r="M920" s="262">
        <v>13.59829835</v>
      </c>
      <c r="N920" s="262">
        <v>13.59829835</v>
      </c>
    </row>
    <row r="921" spans="1:14" x14ac:dyDescent="0.25">
      <c r="A921" s="262">
        <v>20129</v>
      </c>
      <c r="B921" s="262" t="s">
        <v>718</v>
      </c>
      <c r="C921" s="262" t="s">
        <v>753</v>
      </c>
      <c r="D921" s="262">
        <v>-101.801631</v>
      </c>
      <c r="E921" s="262">
        <v>37.193930000000002</v>
      </c>
      <c r="M921" s="262">
        <v>13.336887989999999</v>
      </c>
      <c r="N921" s="262">
        <v>13.336887989999999</v>
      </c>
    </row>
    <row r="922" spans="1:14" x14ac:dyDescent="0.25">
      <c r="A922" s="262">
        <v>20131</v>
      </c>
      <c r="B922" s="262" t="s">
        <v>718</v>
      </c>
      <c r="C922" s="262" t="s">
        <v>754</v>
      </c>
      <c r="D922" s="262">
        <v>-96.015809099999998</v>
      </c>
      <c r="E922" s="262">
        <v>39.779949999999999</v>
      </c>
      <c r="M922" s="262">
        <v>12.868339840000001</v>
      </c>
      <c r="N922" s="262">
        <v>12.868339840000001</v>
      </c>
    </row>
    <row r="923" spans="1:14" x14ac:dyDescent="0.25">
      <c r="A923" s="262">
        <v>20133</v>
      </c>
      <c r="B923" s="262" t="s">
        <v>718</v>
      </c>
      <c r="C923" s="262" t="s">
        <v>755</v>
      </c>
      <c r="D923" s="262">
        <v>-95.316881499999994</v>
      </c>
      <c r="E923" s="262">
        <v>37.559190000000001</v>
      </c>
      <c r="M923" s="262">
        <v>14.220950780000001</v>
      </c>
      <c r="N923" s="262">
        <v>14.220950780000001</v>
      </c>
    </row>
    <row r="924" spans="1:14" x14ac:dyDescent="0.25">
      <c r="A924" s="262">
        <v>20135</v>
      </c>
      <c r="B924" s="262" t="s">
        <v>718</v>
      </c>
      <c r="C924" s="262" t="s">
        <v>756</v>
      </c>
      <c r="D924" s="262">
        <v>-99.910391899999993</v>
      </c>
      <c r="E924" s="262">
        <v>38.476309999999998</v>
      </c>
      <c r="M924" s="262">
        <v>13.438740620000001</v>
      </c>
      <c r="N924" s="262">
        <v>13.438740620000001</v>
      </c>
    </row>
    <row r="925" spans="1:14" x14ac:dyDescent="0.25">
      <c r="A925" s="262">
        <v>20137</v>
      </c>
      <c r="B925" s="262" t="s">
        <v>718</v>
      </c>
      <c r="C925" s="262" t="s">
        <v>757</v>
      </c>
      <c r="D925" s="262">
        <v>-99.903168300000004</v>
      </c>
      <c r="E925" s="262">
        <v>39.787649999999999</v>
      </c>
      <c r="M925" s="262">
        <v>12.67784545</v>
      </c>
      <c r="N925" s="262">
        <v>12.67784545</v>
      </c>
    </row>
    <row r="926" spans="1:14" x14ac:dyDescent="0.25">
      <c r="A926" s="262">
        <v>20139</v>
      </c>
      <c r="B926" s="262" t="s">
        <v>718</v>
      </c>
      <c r="C926" s="262" t="s">
        <v>758</v>
      </c>
      <c r="D926" s="262">
        <v>-95.739891499999999</v>
      </c>
      <c r="E926" s="262">
        <v>38.64564</v>
      </c>
      <c r="M926" s="262">
        <v>13.568339</v>
      </c>
      <c r="N926" s="262">
        <v>13.568339</v>
      </c>
    </row>
    <row r="927" spans="1:14" x14ac:dyDescent="0.25">
      <c r="A927" s="262">
        <v>20141</v>
      </c>
      <c r="B927" s="262" t="s">
        <v>718</v>
      </c>
      <c r="C927" s="262" t="s">
        <v>759</v>
      </c>
      <c r="D927" s="262">
        <v>-98.760950600000001</v>
      </c>
      <c r="E927" s="262">
        <v>39.345379999999999</v>
      </c>
      <c r="M927" s="262">
        <v>13.04995347</v>
      </c>
      <c r="N927" s="262">
        <v>13.04995347</v>
      </c>
    </row>
    <row r="928" spans="1:14" x14ac:dyDescent="0.25">
      <c r="A928" s="262">
        <v>20143</v>
      </c>
      <c r="B928" s="262" t="s">
        <v>718</v>
      </c>
      <c r="C928" s="262" t="s">
        <v>760</v>
      </c>
      <c r="D928" s="262">
        <v>-97.649909800000003</v>
      </c>
      <c r="E928" s="262">
        <v>39.121850000000002</v>
      </c>
      <c r="M928" s="262">
        <v>13.275910229999999</v>
      </c>
      <c r="N928" s="262">
        <v>13.275910229999999</v>
      </c>
    </row>
    <row r="929" spans="1:14" x14ac:dyDescent="0.25">
      <c r="A929" s="262">
        <v>20145</v>
      </c>
      <c r="B929" s="262" t="s">
        <v>718</v>
      </c>
      <c r="C929" s="262" t="s">
        <v>761</v>
      </c>
      <c r="D929" s="262">
        <v>-99.237743100000003</v>
      </c>
      <c r="E929" s="262">
        <v>38.17886</v>
      </c>
      <c r="M929" s="262">
        <v>13.73688523</v>
      </c>
      <c r="N929" s="262">
        <v>13.73688523</v>
      </c>
    </row>
    <row r="930" spans="1:14" x14ac:dyDescent="0.25">
      <c r="A930" s="262">
        <v>20147</v>
      </c>
      <c r="B930" s="262" t="s">
        <v>718</v>
      </c>
      <c r="C930" s="262" t="s">
        <v>235</v>
      </c>
      <c r="D930" s="262">
        <v>-99.347055699999999</v>
      </c>
      <c r="E930" s="262">
        <v>39.782200000000003</v>
      </c>
      <c r="M930" s="262">
        <v>12.73737171</v>
      </c>
      <c r="N930" s="262">
        <v>12.73737171</v>
      </c>
    </row>
    <row r="931" spans="1:14" x14ac:dyDescent="0.25">
      <c r="A931" s="262">
        <v>20149</v>
      </c>
      <c r="B931" s="262" t="s">
        <v>718</v>
      </c>
      <c r="C931" s="262" t="s">
        <v>762</v>
      </c>
      <c r="D931" s="262">
        <v>-96.339755699999998</v>
      </c>
      <c r="E931" s="262">
        <v>39.369149999999998</v>
      </c>
      <c r="M931" s="262">
        <v>13.117940129999999</v>
      </c>
      <c r="N931" s="262">
        <v>13.117940129999999</v>
      </c>
    </row>
    <row r="932" spans="1:14" x14ac:dyDescent="0.25">
      <c r="A932" s="262">
        <v>20151</v>
      </c>
      <c r="B932" s="262" t="s">
        <v>718</v>
      </c>
      <c r="C932" s="262" t="s">
        <v>763</v>
      </c>
      <c r="D932" s="262">
        <v>-98.7413904</v>
      </c>
      <c r="E932" s="262">
        <v>37.638890000000004</v>
      </c>
      <c r="M932" s="262">
        <v>14.144275499999999</v>
      </c>
      <c r="N932" s="262">
        <v>14.144275499999999</v>
      </c>
    </row>
    <row r="933" spans="1:14" x14ac:dyDescent="0.25">
      <c r="A933" s="262">
        <v>20153</v>
      </c>
      <c r="B933" s="262" t="s">
        <v>718</v>
      </c>
      <c r="C933" s="262" t="s">
        <v>764</v>
      </c>
      <c r="D933" s="262">
        <v>-101.06957</v>
      </c>
      <c r="E933" s="262">
        <v>39.794530000000002</v>
      </c>
      <c r="M933" s="262">
        <v>12.477683710000001</v>
      </c>
      <c r="N933" s="262">
        <v>12.477683710000001</v>
      </c>
    </row>
    <row r="934" spans="1:14" x14ac:dyDescent="0.25">
      <c r="A934" s="262">
        <v>20155</v>
      </c>
      <c r="B934" s="262" t="s">
        <v>718</v>
      </c>
      <c r="C934" s="262" t="s">
        <v>765</v>
      </c>
      <c r="D934" s="262">
        <v>-98.0845159</v>
      </c>
      <c r="E934" s="262">
        <v>37.94556</v>
      </c>
      <c r="M934" s="262">
        <v>14.034943350000001</v>
      </c>
      <c r="N934" s="262">
        <v>14.034943350000001</v>
      </c>
    </row>
    <row r="935" spans="1:14" x14ac:dyDescent="0.25">
      <c r="A935" s="262">
        <v>20157</v>
      </c>
      <c r="B935" s="262" t="s">
        <v>718</v>
      </c>
      <c r="C935" s="262" t="s">
        <v>766</v>
      </c>
      <c r="D935" s="262">
        <v>-97.655327799999995</v>
      </c>
      <c r="E935" s="262">
        <v>39.8215</v>
      </c>
      <c r="M935" s="262">
        <v>12.8009548</v>
      </c>
      <c r="N935" s="262">
        <v>12.8009548</v>
      </c>
    </row>
    <row r="936" spans="1:14" x14ac:dyDescent="0.25">
      <c r="A936" s="262">
        <v>20159</v>
      </c>
      <c r="B936" s="262" t="s">
        <v>718</v>
      </c>
      <c r="C936" s="262" t="s">
        <v>767</v>
      </c>
      <c r="D936" s="262">
        <v>-98.201654500000004</v>
      </c>
      <c r="E936" s="262">
        <v>38.33972</v>
      </c>
      <c r="M936" s="262">
        <v>13.778844810000001</v>
      </c>
      <c r="N936" s="262">
        <v>13.778844810000001</v>
      </c>
    </row>
    <row r="937" spans="1:14" x14ac:dyDescent="0.25">
      <c r="A937" s="262">
        <v>20161</v>
      </c>
      <c r="B937" s="262" t="s">
        <v>718</v>
      </c>
      <c r="C937" s="262" t="s">
        <v>768</v>
      </c>
      <c r="D937" s="262">
        <v>-96.737986800000002</v>
      </c>
      <c r="E937" s="262">
        <v>39.290529999999997</v>
      </c>
      <c r="M937" s="262">
        <v>13.18882312</v>
      </c>
      <c r="N937" s="262">
        <v>13.18882312</v>
      </c>
    </row>
    <row r="938" spans="1:14" x14ac:dyDescent="0.25">
      <c r="A938" s="262">
        <v>20163</v>
      </c>
      <c r="B938" s="262" t="s">
        <v>718</v>
      </c>
      <c r="C938" s="262" t="s">
        <v>769</v>
      </c>
      <c r="D938" s="262">
        <v>-99.319392899999997</v>
      </c>
      <c r="E938" s="262">
        <v>39.350679999999997</v>
      </c>
      <c r="M938" s="262">
        <v>13.00525874</v>
      </c>
      <c r="N938" s="262">
        <v>13.00525874</v>
      </c>
    </row>
    <row r="939" spans="1:14" x14ac:dyDescent="0.25">
      <c r="A939" s="262">
        <v>20165</v>
      </c>
      <c r="B939" s="262" t="s">
        <v>718</v>
      </c>
      <c r="C939" s="262" t="s">
        <v>657</v>
      </c>
      <c r="D939" s="262">
        <v>-99.305627200000004</v>
      </c>
      <c r="E939" s="262">
        <v>38.518509999999999</v>
      </c>
      <c r="M939" s="262">
        <v>13.517556020000001</v>
      </c>
      <c r="N939" s="262">
        <v>13.517556020000001</v>
      </c>
    </row>
    <row r="940" spans="1:14" x14ac:dyDescent="0.25">
      <c r="A940" s="262">
        <v>20167</v>
      </c>
      <c r="B940" s="262" t="s">
        <v>718</v>
      </c>
      <c r="C940" s="262" t="s">
        <v>169</v>
      </c>
      <c r="D940" s="262">
        <v>-98.763968500000004</v>
      </c>
      <c r="E940" s="262">
        <v>38.911090000000002</v>
      </c>
      <c r="M940" s="262">
        <v>13.32929757</v>
      </c>
      <c r="N940" s="262">
        <v>13.32929757</v>
      </c>
    </row>
    <row r="941" spans="1:14" x14ac:dyDescent="0.25">
      <c r="A941" s="262">
        <v>20169</v>
      </c>
      <c r="B941" s="262" t="s">
        <v>718</v>
      </c>
      <c r="C941" s="262" t="s">
        <v>242</v>
      </c>
      <c r="D941" s="262">
        <v>-97.653203700000006</v>
      </c>
      <c r="E941" s="262">
        <v>38.775080000000003</v>
      </c>
      <c r="M941" s="262">
        <v>13.516339439999999</v>
      </c>
      <c r="N941" s="262">
        <v>13.516339439999999</v>
      </c>
    </row>
    <row r="942" spans="1:14" x14ac:dyDescent="0.25">
      <c r="A942" s="262">
        <v>20171</v>
      </c>
      <c r="B942" s="262" t="s">
        <v>718</v>
      </c>
      <c r="C942" s="262" t="s">
        <v>243</v>
      </c>
      <c r="D942" s="262">
        <v>-100.90209299999999</v>
      </c>
      <c r="E942" s="262">
        <v>38.48216</v>
      </c>
      <c r="M942" s="262">
        <v>13.173643520000001</v>
      </c>
      <c r="N942" s="262">
        <v>13.173643520000001</v>
      </c>
    </row>
    <row r="943" spans="1:14" x14ac:dyDescent="0.25">
      <c r="A943" s="262">
        <v>20173</v>
      </c>
      <c r="B943" s="262" t="s">
        <v>718</v>
      </c>
      <c r="C943" s="262" t="s">
        <v>363</v>
      </c>
      <c r="D943" s="262">
        <v>-97.469219600000002</v>
      </c>
      <c r="E943" s="262">
        <v>37.665349999999997</v>
      </c>
      <c r="M943" s="262">
        <v>14.29380815</v>
      </c>
      <c r="N943" s="262">
        <v>14.29380815</v>
      </c>
    </row>
    <row r="944" spans="1:14" x14ac:dyDescent="0.25">
      <c r="A944" s="262">
        <v>20175</v>
      </c>
      <c r="B944" s="262" t="s">
        <v>718</v>
      </c>
      <c r="C944" s="262" t="s">
        <v>770</v>
      </c>
      <c r="D944" s="262">
        <v>-100.846797</v>
      </c>
      <c r="E944" s="262">
        <v>37.194989999999997</v>
      </c>
      <c r="M944" s="262">
        <v>13.83530822</v>
      </c>
      <c r="N944" s="262">
        <v>13.83530822</v>
      </c>
    </row>
    <row r="945" spans="1:14" x14ac:dyDescent="0.25">
      <c r="A945" s="262">
        <v>20177</v>
      </c>
      <c r="B945" s="262" t="s">
        <v>718</v>
      </c>
      <c r="C945" s="262" t="s">
        <v>771</v>
      </c>
      <c r="D945" s="262">
        <v>-95.764478699999998</v>
      </c>
      <c r="E945" s="262">
        <v>39.041820000000001</v>
      </c>
      <c r="M945" s="262">
        <v>13.314836140000001</v>
      </c>
      <c r="N945" s="262">
        <v>13.314836140000001</v>
      </c>
    </row>
    <row r="946" spans="1:14" x14ac:dyDescent="0.25">
      <c r="A946" s="262">
        <v>20179</v>
      </c>
      <c r="B946" s="262" t="s">
        <v>718</v>
      </c>
      <c r="C946" s="262" t="s">
        <v>772</v>
      </c>
      <c r="D946" s="262">
        <v>-100.438675</v>
      </c>
      <c r="E946" s="262">
        <v>39.357520000000001</v>
      </c>
      <c r="M946" s="262">
        <v>12.84948305</v>
      </c>
      <c r="N946" s="262">
        <v>12.84948305</v>
      </c>
    </row>
    <row r="947" spans="1:14" x14ac:dyDescent="0.25">
      <c r="A947" s="262">
        <v>20181</v>
      </c>
      <c r="B947" s="262" t="s">
        <v>718</v>
      </c>
      <c r="C947" s="262" t="s">
        <v>773</v>
      </c>
      <c r="D947" s="262">
        <v>-101.718204</v>
      </c>
      <c r="E947" s="262">
        <v>39.355870000000003</v>
      </c>
      <c r="M947" s="262">
        <v>12.431158050000001</v>
      </c>
      <c r="N947" s="262">
        <v>12.431158050000001</v>
      </c>
    </row>
    <row r="948" spans="1:14" x14ac:dyDescent="0.25">
      <c r="A948" s="262">
        <v>20183</v>
      </c>
      <c r="B948" s="262" t="s">
        <v>718</v>
      </c>
      <c r="C948" s="262" t="s">
        <v>774</v>
      </c>
      <c r="D948" s="262">
        <v>-98.787943200000001</v>
      </c>
      <c r="E948" s="262">
        <v>39.78295</v>
      </c>
      <c r="M948" s="262">
        <v>12.772556140000001</v>
      </c>
      <c r="N948" s="262">
        <v>12.772556140000001</v>
      </c>
    </row>
    <row r="949" spans="1:14" x14ac:dyDescent="0.25">
      <c r="A949" s="262">
        <v>20185</v>
      </c>
      <c r="B949" s="262" t="s">
        <v>718</v>
      </c>
      <c r="C949" s="262" t="s">
        <v>775</v>
      </c>
      <c r="D949" s="262">
        <v>-98.7171582</v>
      </c>
      <c r="E949" s="262">
        <v>38.024250000000002</v>
      </c>
      <c r="M949" s="262">
        <v>13.91181738</v>
      </c>
      <c r="N949" s="262">
        <v>13.91181738</v>
      </c>
    </row>
    <row r="950" spans="1:14" x14ac:dyDescent="0.25">
      <c r="A950" s="262">
        <v>20187</v>
      </c>
      <c r="B950" s="262" t="s">
        <v>718</v>
      </c>
      <c r="C950" s="262" t="s">
        <v>776</v>
      </c>
      <c r="D950" s="262">
        <v>-101.78492300000001</v>
      </c>
      <c r="E950" s="262">
        <v>37.561399999999999</v>
      </c>
      <c r="M950" s="262">
        <v>13.105220940000001</v>
      </c>
      <c r="N950" s="262">
        <v>13.105220940000001</v>
      </c>
    </row>
    <row r="951" spans="1:14" x14ac:dyDescent="0.25">
      <c r="A951" s="262">
        <v>20189</v>
      </c>
      <c r="B951" s="262" t="s">
        <v>718</v>
      </c>
      <c r="C951" s="262" t="s">
        <v>777</v>
      </c>
      <c r="D951" s="262">
        <v>-101.31183299999999</v>
      </c>
      <c r="E951" s="262">
        <v>37.19603</v>
      </c>
      <c r="M951" s="262">
        <v>13.61755561</v>
      </c>
      <c r="N951" s="262">
        <v>13.61755561</v>
      </c>
    </row>
    <row r="952" spans="1:14" x14ac:dyDescent="0.25">
      <c r="A952" s="262">
        <v>20191</v>
      </c>
      <c r="B952" s="262" t="s">
        <v>718</v>
      </c>
      <c r="C952" s="262" t="s">
        <v>778</v>
      </c>
      <c r="D952" s="262">
        <v>-97.490241400000002</v>
      </c>
      <c r="E952" s="262">
        <v>37.223970000000001</v>
      </c>
      <c r="M952" s="262">
        <v>14.5492328</v>
      </c>
      <c r="N952" s="262">
        <v>14.5492328</v>
      </c>
    </row>
    <row r="953" spans="1:14" x14ac:dyDescent="0.25">
      <c r="A953" s="262">
        <v>20193</v>
      </c>
      <c r="B953" s="262" t="s">
        <v>718</v>
      </c>
      <c r="C953" s="262" t="s">
        <v>523</v>
      </c>
      <c r="D953" s="262">
        <v>-101.048053</v>
      </c>
      <c r="E953" s="262">
        <v>39.361660000000001</v>
      </c>
      <c r="M953" s="262">
        <v>12.738322719999999</v>
      </c>
      <c r="N953" s="262">
        <v>12.738322719999999</v>
      </c>
    </row>
    <row r="954" spans="1:14" x14ac:dyDescent="0.25">
      <c r="A954" s="262">
        <v>20195</v>
      </c>
      <c r="B954" s="262" t="s">
        <v>718</v>
      </c>
      <c r="C954" s="262" t="s">
        <v>779</v>
      </c>
      <c r="D954" s="262">
        <v>-99.876566499999996</v>
      </c>
      <c r="E954" s="262">
        <v>38.91854</v>
      </c>
      <c r="M954" s="262">
        <v>13.18802734</v>
      </c>
      <c r="N954" s="262">
        <v>13.18802734</v>
      </c>
    </row>
    <row r="955" spans="1:14" x14ac:dyDescent="0.25">
      <c r="A955" s="262">
        <v>20197</v>
      </c>
      <c r="B955" s="262" t="s">
        <v>718</v>
      </c>
      <c r="C955" s="262" t="s">
        <v>780</v>
      </c>
      <c r="D955" s="262">
        <v>-96.206490299999999</v>
      </c>
      <c r="E955" s="262">
        <v>38.940469999999998</v>
      </c>
      <c r="M955" s="262">
        <v>13.38378685</v>
      </c>
      <c r="N955" s="262">
        <v>13.38378685</v>
      </c>
    </row>
    <row r="956" spans="1:14" x14ac:dyDescent="0.25">
      <c r="A956" s="262">
        <v>20199</v>
      </c>
      <c r="B956" s="262" t="s">
        <v>718</v>
      </c>
      <c r="C956" s="262" t="s">
        <v>781</v>
      </c>
      <c r="D956" s="262">
        <v>-101.763367</v>
      </c>
      <c r="E956" s="262">
        <v>38.915559999999999</v>
      </c>
      <c r="M956" s="262">
        <v>12.5546372</v>
      </c>
      <c r="N956" s="262">
        <v>12.5546372</v>
      </c>
    </row>
    <row r="957" spans="1:14" x14ac:dyDescent="0.25">
      <c r="A957" s="262">
        <v>20201</v>
      </c>
      <c r="B957" s="262" t="s">
        <v>718</v>
      </c>
      <c r="C957" s="262" t="s">
        <v>177</v>
      </c>
      <c r="D957" s="262">
        <v>-97.092124299999995</v>
      </c>
      <c r="E957" s="262">
        <v>39.778419999999997</v>
      </c>
      <c r="M957" s="262">
        <v>12.86748309</v>
      </c>
      <c r="N957" s="262">
        <v>12.86748309</v>
      </c>
    </row>
    <row r="958" spans="1:14" x14ac:dyDescent="0.25">
      <c r="A958" s="262">
        <v>20203</v>
      </c>
      <c r="B958" s="262" t="s">
        <v>718</v>
      </c>
      <c r="C958" s="262" t="s">
        <v>782</v>
      </c>
      <c r="D958" s="262">
        <v>-101.34425</v>
      </c>
      <c r="E958" s="262">
        <v>38.478119999999997</v>
      </c>
      <c r="M958" s="262">
        <v>12.97135127</v>
      </c>
      <c r="N958" s="262">
        <v>12.97135127</v>
      </c>
    </row>
    <row r="959" spans="1:14" x14ac:dyDescent="0.25">
      <c r="A959" s="262">
        <v>20205</v>
      </c>
      <c r="B959" s="262" t="s">
        <v>718</v>
      </c>
      <c r="C959" s="262" t="s">
        <v>783</v>
      </c>
      <c r="D959" s="262">
        <v>-95.7535314</v>
      </c>
      <c r="E959" s="262">
        <v>37.559530000000002</v>
      </c>
      <c r="M959" s="262">
        <v>14.25507777</v>
      </c>
      <c r="N959" s="262">
        <v>14.25507777</v>
      </c>
    </row>
    <row r="960" spans="1:14" x14ac:dyDescent="0.25">
      <c r="A960" s="262">
        <v>20207</v>
      </c>
      <c r="B960" s="262" t="s">
        <v>718</v>
      </c>
      <c r="C960" s="262" t="s">
        <v>784</v>
      </c>
      <c r="D960" s="262">
        <v>-95.749938900000004</v>
      </c>
      <c r="E960" s="262">
        <v>37.881459999999997</v>
      </c>
      <c r="M960" s="262">
        <v>14.05469791</v>
      </c>
      <c r="N960" s="262">
        <v>14.05469791</v>
      </c>
    </row>
    <row r="961" spans="1:14" x14ac:dyDescent="0.25">
      <c r="A961" s="262">
        <v>20209</v>
      </c>
      <c r="B961" s="262" t="s">
        <v>718</v>
      </c>
      <c r="C961" s="262" t="s">
        <v>785</v>
      </c>
      <c r="D961" s="262">
        <v>-94.769180500000004</v>
      </c>
      <c r="E961" s="262">
        <v>39.12491</v>
      </c>
      <c r="M961" s="262">
        <v>13.33149291</v>
      </c>
      <c r="N961" s="262">
        <v>13.33149291</v>
      </c>
    </row>
    <row r="962" spans="1:14" x14ac:dyDescent="0.25">
      <c r="A962" s="262">
        <v>21001</v>
      </c>
      <c r="B962" s="262" t="s">
        <v>786</v>
      </c>
      <c r="C962" s="262" t="s">
        <v>673</v>
      </c>
      <c r="D962" s="262">
        <v>-85.295104100000003</v>
      </c>
      <c r="E962" s="262">
        <v>37.090580000000003</v>
      </c>
      <c r="M962" s="262">
        <v>14.06507579</v>
      </c>
      <c r="N962" s="262">
        <v>14.06507579</v>
      </c>
    </row>
    <row r="963" spans="1:14" x14ac:dyDescent="0.25">
      <c r="A963" s="262">
        <v>21003</v>
      </c>
      <c r="B963" s="262" t="s">
        <v>786</v>
      </c>
      <c r="C963" s="262" t="s">
        <v>631</v>
      </c>
      <c r="D963" s="262">
        <v>-86.1839461</v>
      </c>
      <c r="E963" s="262">
        <v>36.757669999999997</v>
      </c>
      <c r="M963" s="262">
        <v>14.599681520000001</v>
      </c>
      <c r="N963" s="262">
        <v>14.599681520000001</v>
      </c>
    </row>
    <row r="964" spans="1:14" x14ac:dyDescent="0.25">
      <c r="A964" s="262">
        <v>21005</v>
      </c>
      <c r="B964" s="262" t="s">
        <v>786</v>
      </c>
      <c r="C964" s="262" t="s">
        <v>719</v>
      </c>
      <c r="D964" s="262">
        <v>-84.993560700000003</v>
      </c>
      <c r="E964" s="262">
        <v>38.000410000000002</v>
      </c>
      <c r="M964" s="262">
        <v>13.65576244</v>
      </c>
      <c r="N964" s="262">
        <v>13.65576244</v>
      </c>
    </row>
    <row r="965" spans="1:14" x14ac:dyDescent="0.25">
      <c r="A965" s="262">
        <v>21007</v>
      </c>
      <c r="B965" s="262" t="s">
        <v>786</v>
      </c>
      <c r="C965" s="262" t="s">
        <v>787</v>
      </c>
      <c r="D965" s="262">
        <v>-89.002375599999993</v>
      </c>
      <c r="E965" s="262">
        <v>37.072969999999998</v>
      </c>
      <c r="M965" s="262">
        <v>14.63193768</v>
      </c>
      <c r="N965" s="262">
        <v>14.63193768</v>
      </c>
    </row>
    <row r="966" spans="1:14" x14ac:dyDescent="0.25">
      <c r="A966" s="262">
        <v>21009</v>
      </c>
      <c r="B966" s="262" t="s">
        <v>786</v>
      </c>
      <c r="C966" s="262" t="s">
        <v>788</v>
      </c>
      <c r="D966" s="262">
        <v>-85.928432400000005</v>
      </c>
      <c r="E966" s="262">
        <v>36.972430000000003</v>
      </c>
      <c r="M966" s="262">
        <v>14.39757646</v>
      </c>
      <c r="N966" s="262">
        <v>14.39757646</v>
      </c>
    </row>
    <row r="967" spans="1:14" x14ac:dyDescent="0.25">
      <c r="A967" s="262">
        <v>21011</v>
      </c>
      <c r="B967" s="262" t="s">
        <v>786</v>
      </c>
      <c r="C967" s="262" t="s">
        <v>789</v>
      </c>
      <c r="D967" s="262">
        <v>-83.735011400000005</v>
      </c>
      <c r="E967" s="262">
        <v>38.153370000000002</v>
      </c>
      <c r="M967" s="262">
        <v>13.21371218</v>
      </c>
      <c r="N967" s="262">
        <v>13.21371218</v>
      </c>
    </row>
    <row r="968" spans="1:14" x14ac:dyDescent="0.25">
      <c r="A968" s="262">
        <v>21013</v>
      </c>
      <c r="B968" s="262" t="s">
        <v>786</v>
      </c>
      <c r="C968" s="262" t="s">
        <v>790</v>
      </c>
      <c r="D968" s="262">
        <v>-83.675774399999995</v>
      </c>
      <c r="E968" s="262">
        <v>36.725999999999999</v>
      </c>
      <c r="M968" s="262">
        <v>13.16016922</v>
      </c>
      <c r="N968" s="262">
        <v>13.16016922</v>
      </c>
    </row>
    <row r="969" spans="1:14" x14ac:dyDescent="0.25">
      <c r="A969" s="262">
        <v>21015</v>
      </c>
      <c r="B969" s="262" t="s">
        <v>786</v>
      </c>
      <c r="C969" s="262" t="s">
        <v>201</v>
      </c>
      <c r="D969" s="262">
        <v>-84.729104199999995</v>
      </c>
      <c r="E969" s="262">
        <v>38.964329999999997</v>
      </c>
      <c r="M969" s="262">
        <v>13.038756770000001</v>
      </c>
      <c r="N969" s="262">
        <v>13.038756770000001</v>
      </c>
    </row>
    <row r="970" spans="1:14" x14ac:dyDescent="0.25">
      <c r="A970" s="262">
        <v>21017</v>
      </c>
      <c r="B970" s="262" t="s">
        <v>786</v>
      </c>
      <c r="C970" s="262" t="s">
        <v>723</v>
      </c>
      <c r="D970" s="262">
        <v>-84.211187600000002</v>
      </c>
      <c r="E970" s="262">
        <v>38.20599</v>
      </c>
      <c r="M970" s="262">
        <v>13.35947599</v>
      </c>
      <c r="N970" s="262">
        <v>13.35947599</v>
      </c>
    </row>
    <row r="971" spans="1:14" x14ac:dyDescent="0.25">
      <c r="A971" s="262">
        <v>21019</v>
      </c>
      <c r="B971" s="262" t="s">
        <v>786</v>
      </c>
      <c r="C971" s="262" t="s">
        <v>791</v>
      </c>
      <c r="D971" s="262">
        <v>-82.677320100000003</v>
      </c>
      <c r="E971" s="262">
        <v>38.363280000000003</v>
      </c>
      <c r="M971" s="262">
        <v>13.093425659999999</v>
      </c>
      <c r="N971" s="262">
        <v>13.093425659999999</v>
      </c>
    </row>
    <row r="972" spans="1:14" x14ac:dyDescent="0.25">
      <c r="A972" s="262">
        <v>21021</v>
      </c>
      <c r="B972" s="262" t="s">
        <v>786</v>
      </c>
      <c r="C972" s="262" t="s">
        <v>792</v>
      </c>
      <c r="D972" s="262">
        <v>-84.870006099999998</v>
      </c>
      <c r="E972" s="262">
        <v>37.622839999999997</v>
      </c>
      <c r="M972" s="262">
        <v>13.72199455</v>
      </c>
      <c r="N972" s="262">
        <v>13.72199455</v>
      </c>
    </row>
    <row r="973" spans="1:14" x14ac:dyDescent="0.25">
      <c r="A973" s="262">
        <v>21023</v>
      </c>
      <c r="B973" s="262" t="s">
        <v>786</v>
      </c>
      <c r="C973" s="262" t="s">
        <v>793</v>
      </c>
      <c r="D973" s="262">
        <v>-84.087204600000007</v>
      </c>
      <c r="E973" s="262">
        <v>38.696350000000002</v>
      </c>
      <c r="M973" s="262">
        <v>13.05150602</v>
      </c>
      <c r="N973" s="262">
        <v>13.05150602</v>
      </c>
    </row>
    <row r="974" spans="1:14" x14ac:dyDescent="0.25">
      <c r="A974" s="262">
        <v>21025</v>
      </c>
      <c r="B974" s="262" t="s">
        <v>786</v>
      </c>
      <c r="C974" s="262" t="s">
        <v>794</v>
      </c>
      <c r="D974" s="262">
        <v>-83.315994099999998</v>
      </c>
      <c r="E974" s="262">
        <v>37.525300000000001</v>
      </c>
      <c r="M974" s="262">
        <v>13.23823756</v>
      </c>
      <c r="N974" s="262">
        <v>13.23823756</v>
      </c>
    </row>
    <row r="975" spans="1:14" x14ac:dyDescent="0.25">
      <c r="A975" s="262">
        <v>21027</v>
      </c>
      <c r="B975" s="262" t="s">
        <v>786</v>
      </c>
      <c r="C975" s="262" t="s">
        <v>795</v>
      </c>
      <c r="D975" s="262">
        <v>-86.435262300000005</v>
      </c>
      <c r="E975" s="262">
        <v>37.785220000000002</v>
      </c>
      <c r="M975" s="262">
        <v>14.043288179999999</v>
      </c>
      <c r="N975" s="262">
        <v>14.043288179999999</v>
      </c>
    </row>
    <row r="976" spans="1:14" x14ac:dyDescent="0.25">
      <c r="A976" s="262">
        <v>21029</v>
      </c>
      <c r="B976" s="262" t="s">
        <v>786</v>
      </c>
      <c r="C976" s="262" t="s">
        <v>796</v>
      </c>
      <c r="D976" s="262">
        <v>-85.698155099999994</v>
      </c>
      <c r="E976" s="262">
        <v>37.967440000000003</v>
      </c>
      <c r="M976" s="262">
        <v>13.849555779999999</v>
      </c>
      <c r="N976" s="262">
        <v>13.849555779999999</v>
      </c>
    </row>
    <row r="977" spans="1:14" x14ac:dyDescent="0.25">
      <c r="A977" s="262">
        <v>21031</v>
      </c>
      <c r="B977" s="262" t="s">
        <v>786</v>
      </c>
      <c r="C977" s="262" t="s">
        <v>119</v>
      </c>
      <c r="D977" s="262">
        <v>-86.674277799999999</v>
      </c>
      <c r="E977" s="262">
        <v>37.208500000000001</v>
      </c>
      <c r="M977" s="262">
        <v>14.42478936</v>
      </c>
      <c r="N977" s="262">
        <v>14.42478936</v>
      </c>
    </row>
    <row r="978" spans="1:14" x14ac:dyDescent="0.25">
      <c r="A978" s="262">
        <v>21033</v>
      </c>
      <c r="B978" s="262" t="s">
        <v>786</v>
      </c>
      <c r="C978" s="262" t="s">
        <v>797</v>
      </c>
      <c r="D978" s="262">
        <v>-87.863054000000005</v>
      </c>
      <c r="E978" s="262">
        <v>37.142299999999999</v>
      </c>
      <c r="M978" s="262">
        <v>14.54846143</v>
      </c>
      <c r="N978" s="262">
        <v>14.54846143</v>
      </c>
    </row>
    <row r="979" spans="1:14" x14ac:dyDescent="0.25">
      <c r="A979" s="262">
        <v>21035</v>
      </c>
      <c r="B979" s="262" t="s">
        <v>786</v>
      </c>
      <c r="C979" s="262" t="s">
        <v>798</v>
      </c>
      <c r="D979" s="262">
        <v>-88.270374099999998</v>
      </c>
      <c r="E979" s="262">
        <v>36.624839999999999</v>
      </c>
      <c r="M979" s="262">
        <v>14.87268143</v>
      </c>
      <c r="N979" s="262">
        <v>14.87268143</v>
      </c>
    </row>
    <row r="980" spans="1:14" x14ac:dyDescent="0.25">
      <c r="A980" s="262">
        <v>21037</v>
      </c>
      <c r="B980" s="262" t="s">
        <v>786</v>
      </c>
      <c r="C980" s="262" t="s">
        <v>799</v>
      </c>
      <c r="D980" s="262">
        <v>-84.374998700000006</v>
      </c>
      <c r="E980" s="262">
        <v>38.95194</v>
      </c>
      <c r="M980" s="262">
        <v>12.968584720000001</v>
      </c>
      <c r="N980" s="262">
        <v>12.968584720000001</v>
      </c>
    </row>
    <row r="981" spans="1:14" x14ac:dyDescent="0.25">
      <c r="A981" s="262">
        <v>21039</v>
      </c>
      <c r="B981" s="262" t="s">
        <v>786</v>
      </c>
      <c r="C981" s="262" t="s">
        <v>800</v>
      </c>
      <c r="D981" s="262">
        <v>-88.960018399999996</v>
      </c>
      <c r="E981" s="262">
        <v>36.860860000000002</v>
      </c>
      <c r="M981" s="262">
        <v>14.75997581</v>
      </c>
      <c r="N981" s="262">
        <v>14.75997581</v>
      </c>
    </row>
    <row r="982" spans="1:14" x14ac:dyDescent="0.25">
      <c r="A982" s="262">
        <v>21041</v>
      </c>
      <c r="B982" s="262" t="s">
        <v>786</v>
      </c>
      <c r="C982" s="262" t="s">
        <v>203</v>
      </c>
      <c r="D982" s="262">
        <v>-85.130042000000003</v>
      </c>
      <c r="E982" s="262">
        <v>38.659880000000001</v>
      </c>
      <c r="M982" s="262">
        <v>13.315946309999999</v>
      </c>
      <c r="N982" s="262">
        <v>13.315946309999999</v>
      </c>
    </row>
    <row r="983" spans="1:14" x14ac:dyDescent="0.25">
      <c r="A983" s="262">
        <v>21043</v>
      </c>
      <c r="B983" s="262" t="s">
        <v>786</v>
      </c>
      <c r="C983" s="262" t="s">
        <v>801</v>
      </c>
      <c r="D983" s="262">
        <v>-83.034341499999996</v>
      </c>
      <c r="E983" s="262">
        <v>38.321219999999997</v>
      </c>
      <c r="M983" s="262">
        <v>13.08403369</v>
      </c>
      <c r="N983" s="262">
        <v>13.08403369</v>
      </c>
    </row>
    <row r="984" spans="1:14" x14ac:dyDescent="0.25">
      <c r="A984" s="262">
        <v>21045</v>
      </c>
      <c r="B984" s="262" t="s">
        <v>786</v>
      </c>
      <c r="C984" s="262" t="s">
        <v>802</v>
      </c>
      <c r="D984" s="262">
        <v>-84.938438199999993</v>
      </c>
      <c r="E984" s="262">
        <v>37.29918</v>
      </c>
      <c r="M984" s="262">
        <v>13.82350686</v>
      </c>
      <c r="N984" s="262">
        <v>13.82350686</v>
      </c>
    </row>
    <row r="985" spans="1:14" x14ac:dyDescent="0.25">
      <c r="A985" s="262">
        <v>21047</v>
      </c>
      <c r="B985" s="262" t="s">
        <v>786</v>
      </c>
      <c r="C985" s="262" t="s">
        <v>582</v>
      </c>
      <c r="D985" s="262">
        <v>-87.4850311</v>
      </c>
      <c r="E985" s="262">
        <v>36.89255</v>
      </c>
      <c r="M985" s="262">
        <v>14.670796210000001</v>
      </c>
      <c r="N985" s="262">
        <v>14.670796210000001</v>
      </c>
    </row>
    <row r="986" spans="1:14" x14ac:dyDescent="0.25">
      <c r="A986" s="262">
        <v>21049</v>
      </c>
      <c r="B986" s="262" t="s">
        <v>786</v>
      </c>
      <c r="C986" s="262" t="s">
        <v>205</v>
      </c>
      <c r="D986" s="262">
        <v>-84.142343600000004</v>
      </c>
      <c r="E986" s="262">
        <v>37.97016</v>
      </c>
      <c r="M986" s="262">
        <v>13.38819522</v>
      </c>
      <c r="N986" s="262">
        <v>13.38819522</v>
      </c>
    </row>
    <row r="987" spans="1:14" x14ac:dyDescent="0.25">
      <c r="A987" s="262">
        <v>21051</v>
      </c>
      <c r="B987" s="262" t="s">
        <v>786</v>
      </c>
      <c r="C987" s="262" t="s">
        <v>126</v>
      </c>
      <c r="D987" s="262">
        <v>-83.710123899999999</v>
      </c>
      <c r="E987" s="262">
        <v>37.165059999999997</v>
      </c>
      <c r="M987" s="262">
        <v>13.25888411</v>
      </c>
      <c r="N987" s="262">
        <v>13.25888411</v>
      </c>
    </row>
    <row r="988" spans="1:14" x14ac:dyDescent="0.25">
      <c r="A988" s="262">
        <v>21053</v>
      </c>
      <c r="B988" s="262" t="s">
        <v>786</v>
      </c>
      <c r="C988" s="262" t="s">
        <v>583</v>
      </c>
      <c r="D988" s="262">
        <v>-85.137864699999994</v>
      </c>
      <c r="E988" s="262">
        <v>36.729840000000003</v>
      </c>
      <c r="M988" s="262">
        <v>14.10195036</v>
      </c>
      <c r="N988" s="262">
        <v>14.10195036</v>
      </c>
    </row>
    <row r="989" spans="1:14" x14ac:dyDescent="0.25">
      <c r="A989" s="262">
        <v>21055</v>
      </c>
      <c r="B989" s="262" t="s">
        <v>786</v>
      </c>
      <c r="C989" s="262" t="s">
        <v>211</v>
      </c>
      <c r="D989" s="262">
        <v>-88.100781900000001</v>
      </c>
      <c r="E989" s="262">
        <v>37.352310000000003</v>
      </c>
      <c r="M989" s="262">
        <v>14.43151007</v>
      </c>
      <c r="N989" s="262">
        <v>14.43151007</v>
      </c>
    </row>
    <row r="990" spans="1:14" x14ac:dyDescent="0.25">
      <c r="A990" s="262">
        <v>21057</v>
      </c>
      <c r="B990" s="262" t="s">
        <v>786</v>
      </c>
      <c r="C990" s="262" t="s">
        <v>585</v>
      </c>
      <c r="D990" s="262">
        <v>-85.399006700000001</v>
      </c>
      <c r="E990" s="262">
        <v>36.791629999999998</v>
      </c>
      <c r="M990" s="262">
        <v>14.243721499999999</v>
      </c>
      <c r="N990" s="262">
        <v>14.243721499999999</v>
      </c>
    </row>
    <row r="991" spans="1:14" x14ac:dyDescent="0.25">
      <c r="A991" s="262">
        <v>21059</v>
      </c>
      <c r="B991" s="262" t="s">
        <v>786</v>
      </c>
      <c r="C991" s="262" t="s">
        <v>634</v>
      </c>
      <c r="D991" s="262">
        <v>-87.088623200000001</v>
      </c>
      <c r="E991" s="262">
        <v>37.730289999999997</v>
      </c>
      <c r="M991" s="262">
        <v>14.14155689</v>
      </c>
      <c r="N991" s="262">
        <v>14.14155689</v>
      </c>
    </row>
    <row r="992" spans="1:14" x14ac:dyDescent="0.25">
      <c r="A992" s="262">
        <v>21061</v>
      </c>
      <c r="B992" s="262" t="s">
        <v>786</v>
      </c>
      <c r="C992" s="262" t="s">
        <v>803</v>
      </c>
      <c r="D992" s="262">
        <v>-86.235438000000002</v>
      </c>
      <c r="E992" s="262">
        <v>37.211239999999997</v>
      </c>
      <c r="M992" s="262">
        <v>14.34879536</v>
      </c>
      <c r="N992" s="262">
        <v>14.34879536</v>
      </c>
    </row>
    <row r="993" spans="1:14" x14ac:dyDescent="0.25">
      <c r="A993" s="262">
        <v>21063</v>
      </c>
      <c r="B993" s="262" t="s">
        <v>786</v>
      </c>
      <c r="C993" s="262" t="s">
        <v>804</v>
      </c>
      <c r="D993" s="262">
        <v>-83.097108899999995</v>
      </c>
      <c r="E993" s="262">
        <v>38.115749999999998</v>
      </c>
      <c r="M993" s="262">
        <v>13.1557248</v>
      </c>
      <c r="N993" s="262">
        <v>13.1557248</v>
      </c>
    </row>
    <row r="994" spans="1:14" x14ac:dyDescent="0.25">
      <c r="A994" s="262">
        <v>21065</v>
      </c>
      <c r="B994" s="262" t="s">
        <v>786</v>
      </c>
      <c r="C994" s="262" t="s">
        <v>805</v>
      </c>
      <c r="D994" s="262">
        <v>-83.961322300000006</v>
      </c>
      <c r="E994" s="262">
        <v>37.691630000000004</v>
      </c>
      <c r="M994" s="262">
        <v>13.36455728</v>
      </c>
      <c r="N994" s="262">
        <v>13.36455728</v>
      </c>
    </row>
    <row r="995" spans="1:14" x14ac:dyDescent="0.25">
      <c r="A995" s="262">
        <v>21067</v>
      </c>
      <c r="B995" s="262" t="s">
        <v>786</v>
      </c>
      <c r="C995" s="262" t="s">
        <v>141</v>
      </c>
      <c r="D995" s="262">
        <v>-84.456204400000004</v>
      </c>
      <c r="E995" s="262">
        <v>38.038200000000003</v>
      </c>
      <c r="M995" s="262">
        <v>13.48652289</v>
      </c>
      <c r="N995" s="262">
        <v>13.48652289</v>
      </c>
    </row>
    <row r="996" spans="1:14" x14ac:dyDescent="0.25">
      <c r="A996" s="262">
        <v>21069</v>
      </c>
      <c r="B996" s="262" t="s">
        <v>786</v>
      </c>
      <c r="C996" s="262" t="s">
        <v>806</v>
      </c>
      <c r="D996" s="262">
        <v>-83.682857299999995</v>
      </c>
      <c r="E996" s="262">
        <v>38.37368</v>
      </c>
      <c r="M996" s="262">
        <v>13.119830459999999</v>
      </c>
      <c r="N996" s="262">
        <v>13.119830459999999</v>
      </c>
    </row>
    <row r="997" spans="1:14" x14ac:dyDescent="0.25">
      <c r="A997" s="262">
        <v>21071</v>
      </c>
      <c r="B997" s="262" t="s">
        <v>786</v>
      </c>
      <c r="C997" s="262" t="s">
        <v>474</v>
      </c>
      <c r="D997" s="262">
        <v>-82.736183400000002</v>
      </c>
      <c r="E997" s="262">
        <v>37.564</v>
      </c>
      <c r="M997" s="262">
        <v>13.2762885</v>
      </c>
      <c r="N997" s="262">
        <v>13.2762885</v>
      </c>
    </row>
    <row r="998" spans="1:14" x14ac:dyDescent="0.25">
      <c r="A998" s="262">
        <v>21073</v>
      </c>
      <c r="B998" s="262" t="s">
        <v>786</v>
      </c>
      <c r="C998" s="262" t="s">
        <v>142</v>
      </c>
      <c r="D998" s="262">
        <v>-84.877081200000006</v>
      </c>
      <c r="E998" s="262">
        <v>38.229619999999997</v>
      </c>
      <c r="M998" s="262">
        <v>13.524264049999999</v>
      </c>
      <c r="N998" s="262">
        <v>13.524264049999999</v>
      </c>
    </row>
    <row r="999" spans="1:14" x14ac:dyDescent="0.25">
      <c r="A999" s="262">
        <v>21075</v>
      </c>
      <c r="B999" s="262" t="s">
        <v>786</v>
      </c>
      <c r="C999" s="262" t="s">
        <v>216</v>
      </c>
      <c r="D999" s="262">
        <v>-89.124662000000001</v>
      </c>
      <c r="E999" s="262">
        <v>36.575380000000003</v>
      </c>
      <c r="M999" s="262">
        <v>14.936286750000001</v>
      </c>
      <c r="N999" s="262">
        <v>14.936286750000001</v>
      </c>
    </row>
    <row r="1000" spans="1:14" x14ac:dyDescent="0.25">
      <c r="A1000" s="262">
        <v>21077</v>
      </c>
      <c r="B1000" s="262" t="s">
        <v>786</v>
      </c>
      <c r="C1000" s="262" t="s">
        <v>591</v>
      </c>
      <c r="D1000" s="262">
        <v>-84.855379999999997</v>
      </c>
      <c r="E1000" s="262">
        <v>38.746110000000002</v>
      </c>
      <c r="M1000" s="262">
        <v>13.21401636</v>
      </c>
      <c r="N1000" s="262">
        <v>13.21401636</v>
      </c>
    </row>
    <row r="1001" spans="1:14" x14ac:dyDescent="0.25">
      <c r="A1001" s="262">
        <v>21079</v>
      </c>
      <c r="B1001" s="262" t="s">
        <v>786</v>
      </c>
      <c r="C1001" s="262" t="s">
        <v>807</v>
      </c>
      <c r="D1001" s="262">
        <v>-84.536644199999998</v>
      </c>
      <c r="E1001" s="262">
        <v>37.640430000000002</v>
      </c>
      <c r="M1001" s="262">
        <v>13.58186225</v>
      </c>
      <c r="N1001" s="262">
        <v>13.58186225</v>
      </c>
    </row>
    <row r="1002" spans="1:14" x14ac:dyDescent="0.25">
      <c r="A1002" s="262">
        <v>21081</v>
      </c>
      <c r="B1002" s="262" t="s">
        <v>786</v>
      </c>
      <c r="C1002" s="262" t="s">
        <v>218</v>
      </c>
      <c r="D1002" s="262">
        <v>-84.614160699999999</v>
      </c>
      <c r="E1002" s="262">
        <v>38.640470000000001</v>
      </c>
      <c r="M1002" s="262">
        <v>13.23012611</v>
      </c>
      <c r="N1002" s="262">
        <v>13.23012611</v>
      </c>
    </row>
    <row r="1003" spans="1:14" x14ac:dyDescent="0.25">
      <c r="A1003" s="262">
        <v>21083</v>
      </c>
      <c r="B1003" s="262" t="s">
        <v>786</v>
      </c>
      <c r="C1003" s="262" t="s">
        <v>808</v>
      </c>
      <c r="D1003" s="262">
        <v>-88.647569000000004</v>
      </c>
      <c r="E1003" s="262">
        <v>36.726059999999997</v>
      </c>
      <c r="M1003" s="262">
        <v>14.83273576</v>
      </c>
      <c r="N1003" s="262">
        <v>14.83273576</v>
      </c>
    </row>
    <row r="1004" spans="1:14" x14ac:dyDescent="0.25">
      <c r="A1004" s="262">
        <v>21085</v>
      </c>
      <c r="B1004" s="262" t="s">
        <v>786</v>
      </c>
      <c r="C1004" s="262" t="s">
        <v>809</v>
      </c>
      <c r="D1004" s="262">
        <v>-86.343905100000001</v>
      </c>
      <c r="E1004" s="262">
        <v>37.470590000000001</v>
      </c>
      <c r="M1004" s="262">
        <v>14.213892850000001</v>
      </c>
      <c r="N1004" s="262">
        <v>14.213892850000001</v>
      </c>
    </row>
    <row r="1005" spans="1:14" x14ac:dyDescent="0.25">
      <c r="A1005" s="262">
        <v>21087</v>
      </c>
      <c r="B1005" s="262" t="s">
        <v>786</v>
      </c>
      <c r="C1005" s="262" t="s">
        <v>810</v>
      </c>
      <c r="D1005" s="262">
        <v>-85.565190999999999</v>
      </c>
      <c r="E1005" s="262">
        <v>37.266680000000001</v>
      </c>
      <c r="M1005" s="262">
        <v>14.11815367</v>
      </c>
      <c r="N1005" s="262">
        <v>14.11815367</v>
      </c>
    </row>
    <row r="1006" spans="1:14" x14ac:dyDescent="0.25">
      <c r="A1006" s="262">
        <v>21089</v>
      </c>
      <c r="B1006" s="262" t="s">
        <v>786</v>
      </c>
      <c r="C1006" s="262" t="s">
        <v>811</v>
      </c>
      <c r="D1006" s="262">
        <v>-82.908278800000005</v>
      </c>
      <c r="E1006" s="262">
        <v>38.548659999999998</v>
      </c>
      <c r="M1006" s="262">
        <v>12.979437389999999</v>
      </c>
      <c r="N1006" s="262">
        <v>12.979437389999999</v>
      </c>
    </row>
    <row r="1007" spans="1:14" x14ac:dyDescent="0.25">
      <c r="A1007" s="262">
        <v>21091</v>
      </c>
      <c r="B1007" s="262" t="s">
        <v>786</v>
      </c>
      <c r="C1007" s="262" t="s">
        <v>484</v>
      </c>
      <c r="D1007" s="262">
        <v>-86.783268199999995</v>
      </c>
      <c r="E1007" s="262">
        <v>37.847410000000004</v>
      </c>
      <c r="M1007" s="262">
        <v>14.03834713</v>
      </c>
      <c r="N1007" s="262">
        <v>14.03834713</v>
      </c>
    </row>
    <row r="1008" spans="1:14" x14ac:dyDescent="0.25">
      <c r="A1008" s="262">
        <v>21093</v>
      </c>
      <c r="B1008" s="262" t="s">
        <v>786</v>
      </c>
      <c r="C1008" s="262" t="s">
        <v>593</v>
      </c>
      <c r="D1008" s="262">
        <v>-85.971399599999998</v>
      </c>
      <c r="E1008" s="262">
        <v>37.703009999999999</v>
      </c>
      <c r="M1008" s="262">
        <v>14.026696299999999</v>
      </c>
      <c r="N1008" s="262">
        <v>14.026696299999999</v>
      </c>
    </row>
    <row r="1009" spans="1:14" x14ac:dyDescent="0.25">
      <c r="A1009" s="262">
        <v>21095</v>
      </c>
      <c r="B1009" s="262" t="s">
        <v>786</v>
      </c>
      <c r="C1009" s="262" t="s">
        <v>812</v>
      </c>
      <c r="D1009" s="262">
        <v>-83.209584300000003</v>
      </c>
      <c r="E1009" s="262">
        <v>36.857900000000001</v>
      </c>
      <c r="M1009" s="262">
        <v>13.16438174</v>
      </c>
      <c r="N1009" s="262">
        <v>13.16438174</v>
      </c>
    </row>
    <row r="1010" spans="1:14" x14ac:dyDescent="0.25">
      <c r="A1010" s="262">
        <v>21097</v>
      </c>
      <c r="B1010" s="262" t="s">
        <v>786</v>
      </c>
      <c r="C1010" s="262" t="s">
        <v>641</v>
      </c>
      <c r="D1010" s="262">
        <v>-84.330028200000001</v>
      </c>
      <c r="E1010" s="262">
        <v>38.437530000000002</v>
      </c>
      <c r="M1010" s="262">
        <v>13.2832864</v>
      </c>
      <c r="N1010" s="262">
        <v>13.2832864</v>
      </c>
    </row>
    <row r="1011" spans="1:14" x14ac:dyDescent="0.25">
      <c r="A1011" s="262">
        <v>21099</v>
      </c>
      <c r="B1011" s="262" t="s">
        <v>786</v>
      </c>
      <c r="C1011" s="262" t="s">
        <v>487</v>
      </c>
      <c r="D1011" s="262">
        <v>-85.887762699999996</v>
      </c>
      <c r="E1011" s="262">
        <v>37.303980000000003</v>
      </c>
      <c r="M1011" s="262">
        <v>14.213531359999999</v>
      </c>
      <c r="N1011" s="262">
        <v>14.213531359999999</v>
      </c>
    </row>
    <row r="1012" spans="1:14" x14ac:dyDescent="0.25">
      <c r="A1012" s="262">
        <v>21101</v>
      </c>
      <c r="B1012" s="262" t="s">
        <v>786</v>
      </c>
      <c r="C1012" s="262" t="s">
        <v>594</v>
      </c>
      <c r="D1012" s="262">
        <v>-87.573265800000001</v>
      </c>
      <c r="E1012" s="262">
        <v>37.795029999999997</v>
      </c>
      <c r="M1012" s="262">
        <v>14.132248929999999</v>
      </c>
      <c r="N1012" s="262">
        <v>14.132248929999999</v>
      </c>
    </row>
    <row r="1013" spans="1:14" x14ac:dyDescent="0.25">
      <c r="A1013" s="262">
        <v>21103</v>
      </c>
      <c r="B1013" s="262" t="s">
        <v>786</v>
      </c>
      <c r="C1013" s="262" t="s">
        <v>146</v>
      </c>
      <c r="D1013" s="262">
        <v>-85.120979700000007</v>
      </c>
      <c r="E1013" s="262">
        <v>38.438920000000003</v>
      </c>
      <c r="M1013" s="262">
        <v>13.46104514</v>
      </c>
      <c r="N1013" s="262">
        <v>13.46104514</v>
      </c>
    </row>
    <row r="1014" spans="1:14" x14ac:dyDescent="0.25">
      <c r="A1014" s="262">
        <v>21105</v>
      </c>
      <c r="B1014" s="262" t="s">
        <v>786</v>
      </c>
      <c r="C1014" s="262" t="s">
        <v>813</v>
      </c>
      <c r="D1014" s="262">
        <v>-88.927557399999998</v>
      </c>
      <c r="E1014" s="262">
        <v>36.67895</v>
      </c>
      <c r="M1014" s="262">
        <v>14.863919729999999</v>
      </c>
      <c r="N1014" s="262">
        <v>14.863919729999999</v>
      </c>
    </row>
    <row r="1015" spans="1:14" x14ac:dyDescent="0.25">
      <c r="A1015" s="262">
        <v>21107</v>
      </c>
      <c r="B1015" s="262" t="s">
        <v>786</v>
      </c>
      <c r="C1015" s="262" t="s">
        <v>814</v>
      </c>
      <c r="D1015" s="262">
        <v>-87.541171700000007</v>
      </c>
      <c r="E1015" s="262">
        <v>37.308230000000002</v>
      </c>
      <c r="M1015" s="262">
        <v>14.43417245</v>
      </c>
      <c r="N1015" s="262">
        <v>14.43417245</v>
      </c>
    </row>
    <row r="1016" spans="1:14" x14ac:dyDescent="0.25">
      <c r="A1016" s="262">
        <v>21109</v>
      </c>
      <c r="B1016" s="262" t="s">
        <v>786</v>
      </c>
      <c r="C1016" s="262" t="s">
        <v>148</v>
      </c>
      <c r="D1016" s="262">
        <v>-84.003096299999996</v>
      </c>
      <c r="E1016" s="262">
        <v>37.422080000000001</v>
      </c>
      <c r="M1016" s="262">
        <v>13.375615489999999</v>
      </c>
      <c r="N1016" s="262">
        <v>13.375615489999999</v>
      </c>
    </row>
    <row r="1017" spans="1:14" x14ac:dyDescent="0.25">
      <c r="A1017" s="262">
        <v>21111</v>
      </c>
      <c r="B1017" s="262" t="s">
        <v>786</v>
      </c>
      <c r="C1017" s="262" t="s">
        <v>149</v>
      </c>
      <c r="D1017" s="262">
        <v>-85.664496600000007</v>
      </c>
      <c r="E1017" s="262">
        <v>38.180070000000001</v>
      </c>
      <c r="M1017" s="262">
        <v>13.723851140000001</v>
      </c>
      <c r="N1017" s="262">
        <v>13.723851140000001</v>
      </c>
    </row>
    <row r="1018" spans="1:14" x14ac:dyDescent="0.25">
      <c r="A1018" s="262">
        <v>21113</v>
      </c>
      <c r="B1018" s="262" t="s">
        <v>786</v>
      </c>
      <c r="C1018" s="262" t="s">
        <v>815</v>
      </c>
      <c r="D1018" s="262">
        <v>-84.579142500000003</v>
      </c>
      <c r="E1018" s="262">
        <v>37.870519999999999</v>
      </c>
      <c r="M1018" s="262">
        <v>13.559725889999999</v>
      </c>
      <c r="N1018" s="262">
        <v>13.559725889999999</v>
      </c>
    </row>
    <row r="1019" spans="1:14" x14ac:dyDescent="0.25">
      <c r="A1019" s="262">
        <v>21115</v>
      </c>
      <c r="B1019" s="262" t="s">
        <v>786</v>
      </c>
      <c r="C1019" s="262" t="s">
        <v>224</v>
      </c>
      <c r="D1019" s="262">
        <v>-82.825900000000004</v>
      </c>
      <c r="E1019" s="262">
        <v>37.847079999999998</v>
      </c>
      <c r="M1019" s="262">
        <v>13.23594115</v>
      </c>
      <c r="N1019" s="262">
        <v>13.23594115</v>
      </c>
    </row>
    <row r="1020" spans="1:14" x14ac:dyDescent="0.25">
      <c r="A1020" s="262">
        <v>21117</v>
      </c>
      <c r="B1020" s="262" t="s">
        <v>786</v>
      </c>
      <c r="C1020" s="262" t="s">
        <v>816</v>
      </c>
      <c r="D1020" s="262">
        <v>-84.528860499999993</v>
      </c>
      <c r="E1020" s="262">
        <v>38.930059999999997</v>
      </c>
      <c r="M1020" s="262">
        <v>13.01945952</v>
      </c>
      <c r="N1020" s="262">
        <v>13.01945952</v>
      </c>
    </row>
    <row r="1021" spans="1:14" x14ac:dyDescent="0.25">
      <c r="A1021" s="262">
        <v>21119</v>
      </c>
      <c r="B1021" s="262" t="s">
        <v>786</v>
      </c>
      <c r="C1021" s="262" t="s">
        <v>817</v>
      </c>
      <c r="D1021" s="262">
        <v>-82.949480899999998</v>
      </c>
      <c r="E1021" s="262">
        <v>37.361490000000003</v>
      </c>
      <c r="M1021" s="262">
        <v>13.25191405</v>
      </c>
      <c r="N1021" s="262">
        <v>13.25191405</v>
      </c>
    </row>
    <row r="1022" spans="1:14" x14ac:dyDescent="0.25">
      <c r="A1022" s="262">
        <v>21121</v>
      </c>
      <c r="B1022" s="262" t="s">
        <v>786</v>
      </c>
      <c r="C1022" s="262" t="s">
        <v>601</v>
      </c>
      <c r="D1022" s="262">
        <v>-83.849389599999995</v>
      </c>
      <c r="E1022" s="262">
        <v>36.896540000000002</v>
      </c>
      <c r="M1022" s="262">
        <v>13.2618238</v>
      </c>
      <c r="N1022" s="262">
        <v>13.2618238</v>
      </c>
    </row>
    <row r="1023" spans="1:14" x14ac:dyDescent="0.25">
      <c r="A1023" s="262">
        <v>21123</v>
      </c>
      <c r="B1023" s="262" t="s">
        <v>786</v>
      </c>
      <c r="C1023" s="262" t="s">
        <v>818</v>
      </c>
      <c r="D1023" s="262">
        <v>-85.709618500000005</v>
      </c>
      <c r="E1023" s="262">
        <v>37.547960000000003</v>
      </c>
      <c r="M1023" s="262">
        <v>14.04704205</v>
      </c>
      <c r="N1023" s="262">
        <v>14.04704205</v>
      </c>
    </row>
    <row r="1024" spans="1:14" x14ac:dyDescent="0.25">
      <c r="A1024" s="262">
        <v>21125</v>
      </c>
      <c r="B1024" s="262" t="s">
        <v>786</v>
      </c>
      <c r="C1024" s="262" t="s">
        <v>819</v>
      </c>
      <c r="D1024" s="262">
        <v>-84.110877500000001</v>
      </c>
      <c r="E1024" s="262">
        <v>37.113019999999999</v>
      </c>
      <c r="M1024" s="262">
        <v>13.405197129999999</v>
      </c>
      <c r="N1024" s="262">
        <v>13.405197129999999</v>
      </c>
    </row>
    <row r="1025" spans="1:14" x14ac:dyDescent="0.25">
      <c r="A1025" s="262">
        <v>21127</v>
      </c>
      <c r="B1025" s="262" t="s">
        <v>786</v>
      </c>
      <c r="C1025" s="262" t="s">
        <v>152</v>
      </c>
      <c r="D1025" s="262">
        <v>-82.726943599999998</v>
      </c>
      <c r="E1025" s="262">
        <v>38.067929999999997</v>
      </c>
      <c r="M1025" s="262">
        <v>13.19977461</v>
      </c>
      <c r="N1025" s="262">
        <v>13.19977461</v>
      </c>
    </row>
    <row r="1026" spans="1:14" x14ac:dyDescent="0.25">
      <c r="A1026" s="262">
        <v>21129</v>
      </c>
      <c r="B1026" s="262" t="s">
        <v>786</v>
      </c>
      <c r="C1026" s="262" t="s">
        <v>153</v>
      </c>
      <c r="D1026" s="262">
        <v>-83.704569000000006</v>
      </c>
      <c r="E1026" s="262">
        <v>37.598480000000002</v>
      </c>
      <c r="M1026" s="262">
        <v>13.290687760000001</v>
      </c>
      <c r="N1026" s="262">
        <v>13.290687760000001</v>
      </c>
    </row>
    <row r="1027" spans="1:14" x14ac:dyDescent="0.25">
      <c r="A1027" s="262">
        <v>21131</v>
      </c>
      <c r="B1027" s="262" t="s">
        <v>786</v>
      </c>
      <c r="C1027" s="262" t="s">
        <v>820</v>
      </c>
      <c r="D1027" s="262">
        <v>-83.374236300000007</v>
      </c>
      <c r="E1027" s="262">
        <v>37.096179999999997</v>
      </c>
      <c r="M1027" s="262">
        <v>13.19811812</v>
      </c>
      <c r="N1027" s="262">
        <v>13.19811812</v>
      </c>
    </row>
    <row r="1028" spans="1:14" x14ac:dyDescent="0.25">
      <c r="A1028" s="262">
        <v>21133</v>
      </c>
      <c r="B1028" s="262" t="s">
        <v>786</v>
      </c>
      <c r="C1028" s="262" t="s">
        <v>821</v>
      </c>
      <c r="D1028" s="262">
        <v>-82.848938799999999</v>
      </c>
      <c r="E1028" s="262">
        <v>37.126350000000002</v>
      </c>
      <c r="M1028" s="262">
        <v>13.26033428</v>
      </c>
      <c r="N1028" s="262">
        <v>13.26033428</v>
      </c>
    </row>
    <row r="1029" spans="1:14" x14ac:dyDescent="0.25">
      <c r="A1029" s="262">
        <v>21135</v>
      </c>
      <c r="B1029" s="262" t="s">
        <v>786</v>
      </c>
      <c r="C1029" s="262" t="s">
        <v>564</v>
      </c>
      <c r="D1029" s="262">
        <v>-83.369821900000005</v>
      </c>
      <c r="E1029" s="262">
        <v>38.539870000000001</v>
      </c>
      <c r="M1029" s="262">
        <v>12.99639685</v>
      </c>
      <c r="N1029" s="262">
        <v>12.99639685</v>
      </c>
    </row>
    <row r="1030" spans="1:14" x14ac:dyDescent="0.25">
      <c r="A1030" s="262">
        <v>21137</v>
      </c>
      <c r="B1030" s="262" t="s">
        <v>786</v>
      </c>
      <c r="C1030" s="262" t="s">
        <v>226</v>
      </c>
      <c r="D1030" s="262">
        <v>-84.663634200000004</v>
      </c>
      <c r="E1030" s="262">
        <v>37.458159999999999</v>
      </c>
      <c r="M1030" s="262">
        <v>13.66005872</v>
      </c>
      <c r="N1030" s="262">
        <v>13.66005872</v>
      </c>
    </row>
    <row r="1031" spans="1:14" x14ac:dyDescent="0.25">
      <c r="A1031" s="262">
        <v>21139</v>
      </c>
      <c r="B1031" s="262" t="s">
        <v>786</v>
      </c>
      <c r="C1031" s="262" t="s">
        <v>603</v>
      </c>
      <c r="D1031" s="262">
        <v>-88.359299199999995</v>
      </c>
      <c r="E1031" s="262">
        <v>37.20581</v>
      </c>
      <c r="M1031" s="262">
        <v>14.529520509999999</v>
      </c>
      <c r="N1031" s="262">
        <v>14.529520509999999</v>
      </c>
    </row>
    <row r="1032" spans="1:14" x14ac:dyDescent="0.25">
      <c r="A1032" s="262">
        <v>21141</v>
      </c>
      <c r="B1032" s="262" t="s">
        <v>786</v>
      </c>
      <c r="C1032" s="262" t="s">
        <v>228</v>
      </c>
      <c r="D1032" s="262">
        <v>-86.875991999999997</v>
      </c>
      <c r="E1032" s="262">
        <v>36.856470000000002</v>
      </c>
      <c r="M1032" s="262">
        <v>14.658422290000001</v>
      </c>
      <c r="N1032" s="262">
        <v>14.658422290000001</v>
      </c>
    </row>
    <row r="1033" spans="1:14" x14ac:dyDescent="0.25">
      <c r="A1033" s="262">
        <v>21143</v>
      </c>
      <c r="B1033" s="262" t="s">
        <v>786</v>
      </c>
      <c r="C1033" s="262" t="s">
        <v>697</v>
      </c>
      <c r="D1033" s="262">
        <v>-88.076922100000004</v>
      </c>
      <c r="E1033" s="262">
        <v>37.015000000000001</v>
      </c>
      <c r="M1033" s="262">
        <v>14.633514549999999</v>
      </c>
      <c r="N1033" s="262">
        <v>14.633514549999999</v>
      </c>
    </row>
    <row r="1034" spans="1:14" x14ac:dyDescent="0.25">
      <c r="A1034" s="262">
        <v>21145</v>
      </c>
      <c r="B1034" s="262" t="s">
        <v>786</v>
      </c>
      <c r="C1034" s="262" t="s">
        <v>822</v>
      </c>
      <c r="D1034" s="262">
        <v>-88.710775100000006</v>
      </c>
      <c r="E1034" s="262">
        <v>37.06024</v>
      </c>
      <c r="M1034" s="262">
        <v>14.63506701</v>
      </c>
      <c r="N1034" s="262">
        <v>14.63506701</v>
      </c>
    </row>
    <row r="1035" spans="1:14" x14ac:dyDescent="0.25">
      <c r="A1035" s="262">
        <v>21147</v>
      </c>
      <c r="B1035" s="262" t="s">
        <v>786</v>
      </c>
      <c r="C1035" s="262" t="s">
        <v>823</v>
      </c>
      <c r="D1035" s="262">
        <v>-84.481222700000004</v>
      </c>
      <c r="E1035" s="262">
        <v>36.74241</v>
      </c>
      <c r="M1035" s="262">
        <v>13.62509511</v>
      </c>
      <c r="N1035" s="262">
        <v>13.62509511</v>
      </c>
    </row>
    <row r="1036" spans="1:14" x14ac:dyDescent="0.25">
      <c r="A1036" s="262">
        <v>21149</v>
      </c>
      <c r="B1036" s="262" t="s">
        <v>786</v>
      </c>
      <c r="C1036" s="262" t="s">
        <v>606</v>
      </c>
      <c r="D1036" s="262">
        <v>-87.266823099999996</v>
      </c>
      <c r="E1036" s="262">
        <v>37.527149999999999</v>
      </c>
      <c r="M1036" s="262">
        <v>14.28508208</v>
      </c>
      <c r="N1036" s="262">
        <v>14.28508208</v>
      </c>
    </row>
    <row r="1037" spans="1:14" x14ac:dyDescent="0.25">
      <c r="A1037" s="262">
        <v>21151</v>
      </c>
      <c r="B1037" s="262" t="s">
        <v>786</v>
      </c>
      <c r="C1037" s="262" t="s">
        <v>157</v>
      </c>
      <c r="D1037" s="262">
        <v>-84.275799599999999</v>
      </c>
      <c r="E1037" s="262">
        <v>37.720669999999998</v>
      </c>
      <c r="M1037" s="262">
        <v>13.47411555</v>
      </c>
      <c r="N1037" s="262">
        <v>13.47411555</v>
      </c>
    </row>
    <row r="1038" spans="1:14" x14ac:dyDescent="0.25">
      <c r="A1038" s="262">
        <v>21153</v>
      </c>
      <c r="B1038" s="262" t="s">
        <v>786</v>
      </c>
      <c r="C1038" s="262" t="s">
        <v>824</v>
      </c>
      <c r="D1038" s="262">
        <v>-83.055712400000004</v>
      </c>
      <c r="E1038" s="262">
        <v>37.706789999999998</v>
      </c>
      <c r="M1038" s="262">
        <v>13.22994067</v>
      </c>
      <c r="N1038" s="262">
        <v>13.22994067</v>
      </c>
    </row>
    <row r="1039" spans="1:14" x14ac:dyDescent="0.25">
      <c r="A1039" s="262">
        <v>21155</v>
      </c>
      <c r="B1039" s="262" t="s">
        <v>786</v>
      </c>
      <c r="C1039" s="262" t="s">
        <v>159</v>
      </c>
      <c r="D1039" s="262">
        <v>-85.276505700000001</v>
      </c>
      <c r="E1039" s="262">
        <v>37.557870000000001</v>
      </c>
      <c r="M1039" s="262">
        <v>13.90271441</v>
      </c>
      <c r="N1039" s="262">
        <v>13.90271441</v>
      </c>
    </row>
    <row r="1040" spans="1:14" x14ac:dyDescent="0.25">
      <c r="A1040" s="262">
        <v>21157</v>
      </c>
      <c r="B1040" s="262" t="s">
        <v>786</v>
      </c>
      <c r="C1040" s="262" t="s">
        <v>160</v>
      </c>
      <c r="D1040" s="262">
        <v>-88.325708700000007</v>
      </c>
      <c r="E1040" s="262">
        <v>36.880369999999999</v>
      </c>
      <c r="M1040" s="262">
        <v>14.724564900000001</v>
      </c>
      <c r="N1040" s="262">
        <v>14.724564900000001</v>
      </c>
    </row>
    <row r="1041" spans="1:14" x14ac:dyDescent="0.25">
      <c r="A1041" s="262">
        <v>21159</v>
      </c>
      <c r="B1041" s="262" t="s">
        <v>786</v>
      </c>
      <c r="C1041" s="262" t="s">
        <v>412</v>
      </c>
      <c r="D1041" s="262">
        <v>-82.506680799999998</v>
      </c>
      <c r="E1041" s="262">
        <v>37.803100000000001</v>
      </c>
      <c r="M1041" s="262">
        <v>13.285695179999999</v>
      </c>
      <c r="N1041" s="262">
        <v>13.285695179999999</v>
      </c>
    </row>
    <row r="1042" spans="1:14" x14ac:dyDescent="0.25">
      <c r="A1042" s="262">
        <v>21161</v>
      </c>
      <c r="B1042" s="262" t="s">
        <v>786</v>
      </c>
      <c r="C1042" s="262" t="s">
        <v>608</v>
      </c>
      <c r="D1042" s="262">
        <v>-83.8085509</v>
      </c>
      <c r="E1042" s="262">
        <v>38.600929999999998</v>
      </c>
      <c r="M1042" s="262">
        <v>13.03614148</v>
      </c>
      <c r="N1042" s="262">
        <v>13.03614148</v>
      </c>
    </row>
    <row r="1043" spans="1:14" x14ac:dyDescent="0.25">
      <c r="A1043" s="262">
        <v>21163</v>
      </c>
      <c r="B1043" s="262" t="s">
        <v>786</v>
      </c>
      <c r="C1043" s="262" t="s">
        <v>751</v>
      </c>
      <c r="D1043" s="262">
        <v>-86.215489599999998</v>
      </c>
      <c r="E1043" s="262">
        <v>37.983899999999998</v>
      </c>
      <c r="M1043" s="262">
        <v>13.888996519999999</v>
      </c>
      <c r="N1043" s="262">
        <v>13.888996519999999</v>
      </c>
    </row>
    <row r="1044" spans="1:14" x14ac:dyDescent="0.25">
      <c r="A1044" s="262">
        <v>21165</v>
      </c>
      <c r="B1044" s="262" t="s">
        <v>786</v>
      </c>
      <c r="C1044" s="262" t="s">
        <v>825</v>
      </c>
      <c r="D1044" s="262">
        <v>-83.598099599999998</v>
      </c>
      <c r="E1044" s="262">
        <v>37.948030000000003</v>
      </c>
      <c r="M1044" s="262">
        <v>13.231242529999999</v>
      </c>
      <c r="N1044" s="262">
        <v>13.231242529999999</v>
      </c>
    </row>
    <row r="1045" spans="1:14" x14ac:dyDescent="0.25">
      <c r="A1045" s="262">
        <v>21167</v>
      </c>
      <c r="B1045" s="262" t="s">
        <v>786</v>
      </c>
      <c r="C1045" s="262" t="s">
        <v>611</v>
      </c>
      <c r="D1045" s="262">
        <v>-84.875486300000006</v>
      </c>
      <c r="E1045" s="262">
        <v>37.810169999999999</v>
      </c>
      <c r="M1045" s="262">
        <v>13.679442359999999</v>
      </c>
      <c r="N1045" s="262">
        <v>13.679442359999999</v>
      </c>
    </row>
    <row r="1046" spans="1:14" x14ac:dyDescent="0.25">
      <c r="A1046" s="262">
        <v>21169</v>
      </c>
      <c r="B1046" s="262" t="s">
        <v>786</v>
      </c>
      <c r="C1046" s="262" t="s">
        <v>826</v>
      </c>
      <c r="D1046" s="262">
        <v>-85.635914200000002</v>
      </c>
      <c r="E1046" s="262">
        <v>36.995100000000001</v>
      </c>
      <c r="M1046" s="262">
        <v>14.26429093</v>
      </c>
      <c r="N1046" s="262">
        <v>14.26429093</v>
      </c>
    </row>
    <row r="1047" spans="1:14" x14ac:dyDescent="0.25">
      <c r="A1047" s="262">
        <v>21171</v>
      </c>
      <c r="B1047" s="262" t="s">
        <v>786</v>
      </c>
      <c r="C1047" s="262" t="s">
        <v>162</v>
      </c>
      <c r="D1047" s="262">
        <v>-85.7202269</v>
      </c>
      <c r="E1047" s="262">
        <v>36.714359999999999</v>
      </c>
      <c r="M1047" s="262">
        <v>14.439897650000001</v>
      </c>
      <c r="N1047" s="262">
        <v>14.439897650000001</v>
      </c>
    </row>
    <row r="1048" spans="1:14" x14ac:dyDescent="0.25">
      <c r="A1048" s="262">
        <v>21173</v>
      </c>
      <c r="B1048" s="262" t="s">
        <v>786</v>
      </c>
      <c r="C1048" s="262" t="s">
        <v>163</v>
      </c>
      <c r="D1048" s="262">
        <v>-83.906968199999994</v>
      </c>
      <c r="E1048" s="262">
        <v>38.03369</v>
      </c>
      <c r="M1048" s="262">
        <v>13.29262902</v>
      </c>
      <c r="N1048" s="262">
        <v>13.29262902</v>
      </c>
    </row>
    <row r="1049" spans="1:14" x14ac:dyDescent="0.25">
      <c r="A1049" s="262">
        <v>21175</v>
      </c>
      <c r="B1049" s="262" t="s">
        <v>786</v>
      </c>
      <c r="C1049" s="262" t="s">
        <v>164</v>
      </c>
      <c r="D1049" s="262">
        <v>-83.251715700000005</v>
      </c>
      <c r="E1049" s="262">
        <v>37.916060000000002</v>
      </c>
      <c r="M1049" s="262">
        <v>13.20328052</v>
      </c>
      <c r="N1049" s="262">
        <v>13.20328052</v>
      </c>
    </row>
    <row r="1050" spans="1:14" x14ac:dyDescent="0.25">
      <c r="A1050" s="262">
        <v>21177</v>
      </c>
      <c r="B1050" s="262" t="s">
        <v>786</v>
      </c>
      <c r="C1050" s="262" t="s">
        <v>827</v>
      </c>
      <c r="D1050" s="262">
        <v>-87.139989200000002</v>
      </c>
      <c r="E1050" s="262">
        <v>37.21293</v>
      </c>
      <c r="M1050" s="262">
        <v>14.467763189999999</v>
      </c>
      <c r="N1050" s="262">
        <v>14.467763189999999</v>
      </c>
    </row>
    <row r="1051" spans="1:14" x14ac:dyDescent="0.25">
      <c r="A1051" s="262">
        <v>21179</v>
      </c>
      <c r="B1051" s="262" t="s">
        <v>786</v>
      </c>
      <c r="C1051" s="262" t="s">
        <v>828</v>
      </c>
      <c r="D1051" s="262">
        <v>-85.485396600000001</v>
      </c>
      <c r="E1051" s="262">
        <v>37.80885</v>
      </c>
      <c r="M1051" s="262">
        <v>13.888625449999999</v>
      </c>
      <c r="N1051" s="262">
        <v>13.888625449999999</v>
      </c>
    </row>
    <row r="1052" spans="1:14" x14ac:dyDescent="0.25">
      <c r="A1052" s="262">
        <v>21181</v>
      </c>
      <c r="B1052" s="262" t="s">
        <v>786</v>
      </c>
      <c r="C1052" s="262" t="s">
        <v>829</v>
      </c>
      <c r="D1052" s="262">
        <v>-84.004995800000003</v>
      </c>
      <c r="E1052" s="262">
        <v>38.337870000000002</v>
      </c>
      <c r="M1052" s="262">
        <v>13.22522348</v>
      </c>
      <c r="N1052" s="262">
        <v>13.22522348</v>
      </c>
    </row>
    <row r="1053" spans="1:14" x14ac:dyDescent="0.25">
      <c r="A1053" s="262">
        <v>21183</v>
      </c>
      <c r="B1053" s="262" t="s">
        <v>786</v>
      </c>
      <c r="C1053" s="262" t="s">
        <v>651</v>
      </c>
      <c r="D1053" s="262">
        <v>-86.849100800000002</v>
      </c>
      <c r="E1053" s="262">
        <v>37.477629999999998</v>
      </c>
      <c r="M1053" s="262">
        <v>14.27759709</v>
      </c>
      <c r="N1053" s="262">
        <v>14.27759709</v>
      </c>
    </row>
    <row r="1054" spans="1:14" x14ac:dyDescent="0.25">
      <c r="A1054" s="262">
        <v>21185</v>
      </c>
      <c r="B1054" s="262" t="s">
        <v>786</v>
      </c>
      <c r="C1054" s="262" t="s">
        <v>830</v>
      </c>
      <c r="D1054" s="262">
        <v>-85.455620199999998</v>
      </c>
      <c r="E1054" s="262">
        <v>38.39208</v>
      </c>
      <c r="M1054" s="262">
        <v>13.553179829999999</v>
      </c>
      <c r="N1054" s="262">
        <v>13.553179829999999</v>
      </c>
    </row>
    <row r="1055" spans="1:14" x14ac:dyDescent="0.25">
      <c r="A1055" s="262">
        <v>21187</v>
      </c>
      <c r="B1055" s="262" t="s">
        <v>786</v>
      </c>
      <c r="C1055" s="262" t="s">
        <v>652</v>
      </c>
      <c r="D1055" s="262">
        <v>-84.820597699999993</v>
      </c>
      <c r="E1055" s="262">
        <v>38.507359999999998</v>
      </c>
      <c r="M1055" s="262">
        <v>13.35732236</v>
      </c>
      <c r="N1055" s="262">
        <v>13.35732236</v>
      </c>
    </row>
    <row r="1056" spans="1:14" x14ac:dyDescent="0.25">
      <c r="A1056" s="262">
        <v>21189</v>
      </c>
      <c r="B1056" s="262" t="s">
        <v>786</v>
      </c>
      <c r="C1056" s="262" t="s">
        <v>831</v>
      </c>
      <c r="D1056" s="262">
        <v>-83.679125900000003</v>
      </c>
      <c r="E1056" s="262">
        <v>37.422460000000001</v>
      </c>
      <c r="M1056" s="262">
        <v>13.27958991</v>
      </c>
      <c r="N1056" s="262">
        <v>13.27958991</v>
      </c>
    </row>
    <row r="1057" spans="1:14" x14ac:dyDescent="0.25">
      <c r="A1057" s="262">
        <v>21191</v>
      </c>
      <c r="B1057" s="262" t="s">
        <v>786</v>
      </c>
      <c r="C1057" s="262" t="s">
        <v>832</v>
      </c>
      <c r="D1057" s="262">
        <v>-84.351512</v>
      </c>
      <c r="E1057" s="262">
        <v>38.690440000000002</v>
      </c>
      <c r="M1057" s="262">
        <v>13.12943201</v>
      </c>
      <c r="N1057" s="262">
        <v>13.12943201</v>
      </c>
    </row>
    <row r="1058" spans="1:14" x14ac:dyDescent="0.25">
      <c r="A1058" s="262">
        <v>21193</v>
      </c>
      <c r="B1058" s="262" t="s">
        <v>786</v>
      </c>
      <c r="C1058" s="262" t="s">
        <v>165</v>
      </c>
      <c r="D1058" s="262">
        <v>-83.212901900000006</v>
      </c>
      <c r="E1058" s="262">
        <v>37.247439999999997</v>
      </c>
      <c r="M1058" s="262">
        <v>13.22308196</v>
      </c>
      <c r="N1058" s="262">
        <v>13.22308196</v>
      </c>
    </row>
    <row r="1059" spans="1:14" x14ac:dyDescent="0.25">
      <c r="A1059" s="262">
        <v>21195</v>
      </c>
      <c r="B1059" s="262" t="s">
        <v>786</v>
      </c>
      <c r="C1059" s="262" t="s">
        <v>167</v>
      </c>
      <c r="D1059" s="262">
        <v>-82.391064999999998</v>
      </c>
      <c r="E1059" s="262">
        <v>37.46857</v>
      </c>
      <c r="M1059" s="262">
        <v>13.34450122</v>
      </c>
      <c r="N1059" s="262">
        <v>13.34450122</v>
      </c>
    </row>
    <row r="1060" spans="1:14" x14ac:dyDescent="0.25">
      <c r="A1060" s="262">
        <v>21197</v>
      </c>
      <c r="B1060" s="262" t="s">
        <v>786</v>
      </c>
      <c r="C1060" s="262" t="s">
        <v>833</v>
      </c>
      <c r="D1060" s="262">
        <v>-83.821897699999994</v>
      </c>
      <c r="E1060" s="262">
        <v>37.831659999999999</v>
      </c>
      <c r="M1060" s="262">
        <v>13.30410234</v>
      </c>
      <c r="N1060" s="262">
        <v>13.30410234</v>
      </c>
    </row>
    <row r="1061" spans="1:14" x14ac:dyDescent="0.25">
      <c r="A1061" s="262">
        <v>21199</v>
      </c>
      <c r="B1061" s="262" t="s">
        <v>786</v>
      </c>
      <c r="C1061" s="262" t="s">
        <v>240</v>
      </c>
      <c r="D1061" s="262">
        <v>-84.559745199999995</v>
      </c>
      <c r="E1061" s="262">
        <v>37.11016</v>
      </c>
      <c r="M1061" s="262">
        <v>13.64392346</v>
      </c>
      <c r="N1061" s="262">
        <v>13.64392346</v>
      </c>
    </row>
    <row r="1062" spans="1:14" x14ac:dyDescent="0.25">
      <c r="A1062" s="262">
        <v>21201</v>
      </c>
      <c r="B1062" s="262" t="s">
        <v>786</v>
      </c>
      <c r="C1062" s="262" t="s">
        <v>834</v>
      </c>
      <c r="D1062" s="262">
        <v>-84.0361324</v>
      </c>
      <c r="E1062" s="262">
        <v>38.515909999999998</v>
      </c>
      <c r="M1062" s="262">
        <v>13.14206542</v>
      </c>
      <c r="N1062" s="262">
        <v>13.14206542</v>
      </c>
    </row>
    <row r="1063" spans="1:14" x14ac:dyDescent="0.25">
      <c r="A1063" s="262">
        <v>21203</v>
      </c>
      <c r="B1063" s="262" t="s">
        <v>786</v>
      </c>
      <c r="C1063" s="262" t="s">
        <v>835</v>
      </c>
      <c r="D1063" s="262">
        <v>-84.313565400000002</v>
      </c>
      <c r="E1063" s="262">
        <v>37.366680000000002</v>
      </c>
      <c r="M1063" s="262">
        <v>13.50270602</v>
      </c>
      <c r="N1063" s="262">
        <v>13.50270602</v>
      </c>
    </row>
    <row r="1064" spans="1:14" x14ac:dyDescent="0.25">
      <c r="A1064" s="262">
        <v>21205</v>
      </c>
      <c r="B1064" s="262" t="s">
        <v>786</v>
      </c>
      <c r="C1064" s="262" t="s">
        <v>836</v>
      </c>
      <c r="D1064" s="262">
        <v>-83.403004199999998</v>
      </c>
      <c r="E1064" s="262">
        <v>38.200789999999998</v>
      </c>
      <c r="M1064" s="262">
        <v>13.137317339999999</v>
      </c>
      <c r="N1064" s="262">
        <v>13.137317339999999</v>
      </c>
    </row>
    <row r="1065" spans="1:14" x14ac:dyDescent="0.25">
      <c r="A1065" s="262">
        <v>21207</v>
      </c>
      <c r="B1065" s="262" t="s">
        <v>786</v>
      </c>
      <c r="C1065" s="262" t="s">
        <v>169</v>
      </c>
      <c r="D1065" s="262">
        <v>-85.065827999999996</v>
      </c>
      <c r="E1065" s="262">
        <v>36.979430000000001</v>
      </c>
      <c r="M1065" s="262">
        <v>13.977733430000001</v>
      </c>
      <c r="N1065" s="262">
        <v>13.977733430000001</v>
      </c>
    </row>
    <row r="1066" spans="1:14" x14ac:dyDescent="0.25">
      <c r="A1066" s="262">
        <v>21209</v>
      </c>
      <c r="B1066" s="262" t="s">
        <v>786</v>
      </c>
      <c r="C1066" s="262" t="s">
        <v>243</v>
      </c>
      <c r="D1066" s="262">
        <v>-84.579167900000002</v>
      </c>
      <c r="E1066" s="262">
        <v>38.285510000000002</v>
      </c>
      <c r="M1066" s="262">
        <v>13.434408019999999</v>
      </c>
      <c r="N1066" s="262">
        <v>13.434408019999999</v>
      </c>
    </row>
    <row r="1067" spans="1:14" x14ac:dyDescent="0.25">
      <c r="A1067" s="262">
        <v>21211</v>
      </c>
      <c r="B1067" s="262" t="s">
        <v>786</v>
      </c>
      <c r="C1067" s="262" t="s">
        <v>171</v>
      </c>
      <c r="D1067" s="262">
        <v>-85.197497600000005</v>
      </c>
      <c r="E1067" s="262">
        <v>38.206719999999997</v>
      </c>
      <c r="M1067" s="262">
        <v>13.62017917</v>
      </c>
      <c r="N1067" s="262">
        <v>13.62017917</v>
      </c>
    </row>
    <row r="1068" spans="1:14" x14ac:dyDescent="0.25">
      <c r="A1068" s="262">
        <v>21213</v>
      </c>
      <c r="B1068" s="262" t="s">
        <v>786</v>
      </c>
      <c r="C1068" s="262" t="s">
        <v>837</v>
      </c>
      <c r="D1068" s="262">
        <v>-86.579656799999995</v>
      </c>
      <c r="E1068" s="262">
        <v>36.741439999999997</v>
      </c>
      <c r="M1068" s="262">
        <v>14.69734345</v>
      </c>
      <c r="N1068" s="262">
        <v>14.69734345</v>
      </c>
    </row>
    <row r="1069" spans="1:14" x14ac:dyDescent="0.25">
      <c r="A1069" s="262">
        <v>21215</v>
      </c>
      <c r="B1069" s="262" t="s">
        <v>786</v>
      </c>
      <c r="C1069" s="262" t="s">
        <v>659</v>
      </c>
      <c r="D1069" s="262">
        <v>-85.323329999999999</v>
      </c>
      <c r="E1069" s="262">
        <v>38.027070000000002</v>
      </c>
      <c r="M1069" s="262">
        <v>13.755338269999999</v>
      </c>
      <c r="N1069" s="262">
        <v>13.755338269999999</v>
      </c>
    </row>
    <row r="1070" spans="1:14" x14ac:dyDescent="0.25">
      <c r="A1070" s="262">
        <v>21217</v>
      </c>
      <c r="B1070" s="262" t="s">
        <v>786</v>
      </c>
      <c r="C1070" s="262" t="s">
        <v>428</v>
      </c>
      <c r="D1070" s="262">
        <v>-85.336668799999998</v>
      </c>
      <c r="E1070" s="262">
        <v>37.360169999999997</v>
      </c>
      <c r="M1070" s="262">
        <v>13.988180229999999</v>
      </c>
      <c r="N1070" s="262">
        <v>13.988180229999999</v>
      </c>
    </row>
    <row r="1071" spans="1:14" x14ac:dyDescent="0.25">
      <c r="A1071" s="262">
        <v>21219</v>
      </c>
      <c r="B1071" s="262" t="s">
        <v>786</v>
      </c>
      <c r="C1071" s="262" t="s">
        <v>838</v>
      </c>
      <c r="D1071" s="262">
        <v>-87.175356100000002</v>
      </c>
      <c r="E1071" s="262">
        <v>36.834099999999999</v>
      </c>
      <c r="M1071" s="262">
        <v>14.69185469</v>
      </c>
      <c r="N1071" s="262">
        <v>14.69185469</v>
      </c>
    </row>
    <row r="1072" spans="1:14" x14ac:dyDescent="0.25">
      <c r="A1072" s="262">
        <v>21221</v>
      </c>
      <c r="B1072" s="262" t="s">
        <v>786</v>
      </c>
      <c r="C1072" s="262" t="s">
        <v>839</v>
      </c>
      <c r="D1072" s="262">
        <v>-87.870123300000003</v>
      </c>
      <c r="E1072" s="262">
        <v>36.803800000000003</v>
      </c>
      <c r="M1072" s="262">
        <v>14.746832019999999</v>
      </c>
      <c r="N1072" s="262">
        <v>14.746832019999999</v>
      </c>
    </row>
    <row r="1073" spans="1:14" x14ac:dyDescent="0.25">
      <c r="A1073" s="262">
        <v>21223</v>
      </c>
      <c r="B1073" s="262" t="s">
        <v>786</v>
      </c>
      <c r="C1073" s="262" t="s">
        <v>840</v>
      </c>
      <c r="D1073" s="262">
        <v>-85.345044099999996</v>
      </c>
      <c r="E1073" s="262">
        <v>38.603189999999998</v>
      </c>
      <c r="M1073" s="262">
        <v>13.380922549999999</v>
      </c>
      <c r="N1073" s="262">
        <v>13.380922549999999</v>
      </c>
    </row>
    <row r="1074" spans="1:14" x14ac:dyDescent="0.25">
      <c r="A1074" s="262">
        <v>21225</v>
      </c>
      <c r="B1074" s="262" t="s">
        <v>786</v>
      </c>
      <c r="C1074" s="262" t="s">
        <v>249</v>
      </c>
      <c r="D1074" s="262">
        <v>-87.9446145</v>
      </c>
      <c r="E1074" s="262">
        <v>37.654780000000002</v>
      </c>
      <c r="M1074" s="262">
        <v>14.23924985</v>
      </c>
      <c r="N1074" s="262">
        <v>14.23924985</v>
      </c>
    </row>
    <row r="1075" spans="1:14" x14ac:dyDescent="0.25">
      <c r="A1075" s="262">
        <v>21227</v>
      </c>
      <c r="B1075" s="262" t="s">
        <v>786</v>
      </c>
      <c r="C1075" s="262" t="s">
        <v>533</v>
      </c>
      <c r="D1075" s="262">
        <v>-86.420196899999993</v>
      </c>
      <c r="E1075" s="262">
        <v>36.997720000000001</v>
      </c>
      <c r="M1075" s="262">
        <v>14.51506719</v>
      </c>
      <c r="N1075" s="262">
        <v>14.51506719</v>
      </c>
    </row>
    <row r="1076" spans="1:14" x14ac:dyDescent="0.25">
      <c r="A1076" s="262">
        <v>21229</v>
      </c>
      <c r="B1076" s="262" t="s">
        <v>786</v>
      </c>
      <c r="C1076" s="262" t="s">
        <v>177</v>
      </c>
      <c r="D1076" s="262">
        <v>-85.178383999999994</v>
      </c>
      <c r="E1076" s="262">
        <v>37.760129999999997</v>
      </c>
      <c r="M1076" s="262">
        <v>13.80419663</v>
      </c>
      <c r="N1076" s="262">
        <v>13.80419663</v>
      </c>
    </row>
    <row r="1077" spans="1:14" x14ac:dyDescent="0.25">
      <c r="A1077" s="262">
        <v>21231</v>
      </c>
      <c r="B1077" s="262" t="s">
        <v>786</v>
      </c>
      <c r="C1077" s="262" t="s">
        <v>534</v>
      </c>
      <c r="D1077" s="262">
        <v>-84.824350199999998</v>
      </c>
      <c r="E1077" s="262">
        <v>36.806109999999997</v>
      </c>
      <c r="M1077" s="262">
        <v>13.864066530000001</v>
      </c>
      <c r="N1077" s="262">
        <v>13.864066530000001</v>
      </c>
    </row>
    <row r="1078" spans="1:14" x14ac:dyDescent="0.25">
      <c r="A1078" s="262">
        <v>21233</v>
      </c>
      <c r="B1078" s="262" t="s">
        <v>786</v>
      </c>
      <c r="C1078" s="262" t="s">
        <v>535</v>
      </c>
      <c r="D1078" s="262">
        <v>-87.679591099999996</v>
      </c>
      <c r="E1078" s="262">
        <v>37.516820000000003</v>
      </c>
      <c r="M1078" s="262">
        <v>14.31228428</v>
      </c>
      <c r="N1078" s="262">
        <v>14.31228428</v>
      </c>
    </row>
    <row r="1079" spans="1:14" x14ac:dyDescent="0.25">
      <c r="A1079" s="262">
        <v>21235</v>
      </c>
      <c r="B1079" s="262" t="s">
        <v>786</v>
      </c>
      <c r="C1079" s="262" t="s">
        <v>671</v>
      </c>
      <c r="D1079" s="262">
        <v>-84.145949999999999</v>
      </c>
      <c r="E1079" s="262">
        <v>36.758859999999999</v>
      </c>
      <c r="M1079" s="262">
        <v>13.385559649999999</v>
      </c>
      <c r="N1079" s="262">
        <v>13.385559649999999</v>
      </c>
    </row>
    <row r="1080" spans="1:14" x14ac:dyDescent="0.25">
      <c r="A1080" s="262">
        <v>21237</v>
      </c>
      <c r="B1080" s="262" t="s">
        <v>786</v>
      </c>
      <c r="C1080" s="262" t="s">
        <v>841</v>
      </c>
      <c r="D1080" s="262">
        <v>-83.487186500000007</v>
      </c>
      <c r="E1080" s="262">
        <v>37.740110000000001</v>
      </c>
      <c r="M1080" s="262">
        <v>13.24523351</v>
      </c>
      <c r="N1080" s="262">
        <v>13.24523351</v>
      </c>
    </row>
    <row r="1081" spans="1:14" x14ac:dyDescent="0.25">
      <c r="A1081" s="262">
        <v>21239</v>
      </c>
      <c r="B1081" s="262" t="s">
        <v>786</v>
      </c>
      <c r="C1081" s="262" t="s">
        <v>629</v>
      </c>
      <c r="D1081" s="262">
        <v>-84.743454999999997</v>
      </c>
      <c r="E1081" s="262">
        <v>38.035319999999999</v>
      </c>
      <c r="M1081" s="262">
        <v>13.56750736</v>
      </c>
      <c r="N1081" s="262">
        <v>13.56750736</v>
      </c>
    </row>
    <row r="1082" spans="1:14" x14ac:dyDescent="0.25">
      <c r="A1082" s="262">
        <v>22001</v>
      </c>
      <c r="B1082" s="262" t="s">
        <v>842</v>
      </c>
      <c r="C1082" s="262" t="s">
        <v>843</v>
      </c>
      <c r="D1082" s="262">
        <v>-92.407160200000007</v>
      </c>
      <c r="E1082" s="262">
        <v>30.29909</v>
      </c>
      <c r="M1082" s="262">
        <v>18.908225810000001</v>
      </c>
      <c r="N1082" s="262">
        <v>18.908225810000001</v>
      </c>
    </row>
    <row r="1083" spans="1:14" x14ac:dyDescent="0.25">
      <c r="A1083" s="262">
        <v>22003</v>
      </c>
      <c r="B1083" s="262" t="s">
        <v>842</v>
      </c>
      <c r="C1083" s="262" t="s">
        <v>844</v>
      </c>
      <c r="D1083" s="262">
        <v>-92.823641499999994</v>
      </c>
      <c r="E1083" s="262">
        <v>30.65532</v>
      </c>
      <c r="M1083" s="262">
        <v>18.51045963</v>
      </c>
      <c r="N1083" s="262">
        <v>18.51045963</v>
      </c>
    </row>
    <row r="1084" spans="1:14" x14ac:dyDescent="0.25">
      <c r="A1084" s="262">
        <v>22005</v>
      </c>
      <c r="B1084" s="262" t="s">
        <v>842</v>
      </c>
      <c r="C1084" s="262" t="s">
        <v>845</v>
      </c>
      <c r="D1084" s="262">
        <v>-90.913708900000003</v>
      </c>
      <c r="E1084" s="262">
        <v>30.20234</v>
      </c>
      <c r="M1084" s="262">
        <v>19.66548152</v>
      </c>
      <c r="N1084" s="262">
        <v>19.66548152</v>
      </c>
    </row>
    <row r="1085" spans="1:14" x14ac:dyDescent="0.25">
      <c r="A1085" s="262">
        <v>22007</v>
      </c>
      <c r="B1085" s="262" t="s">
        <v>842</v>
      </c>
      <c r="C1085" s="262" t="s">
        <v>846</v>
      </c>
      <c r="D1085" s="262">
        <v>-91.066095899999993</v>
      </c>
      <c r="E1085" s="262">
        <v>29.903189999999999</v>
      </c>
      <c r="M1085" s="262">
        <v>19.847258539999999</v>
      </c>
      <c r="N1085" s="262">
        <v>19.847258539999999</v>
      </c>
    </row>
    <row r="1086" spans="1:14" x14ac:dyDescent="0.25">
      <c r="A1086" s="262">
        <v>22009</v>
      </c>
      <c r="B1086" s="262" t="s">
        <v>842</v>
      </c>
      <c r="C1086" s="262" t="s">
        <v>847</v>
      </c>
      <c r="D1086" s="262">
        <v>-92.005651</v>
      </c>
      <c r="E1086" s="262">
        <v>31.080089999999998</v>
      </c>
      <c r="M1086" s="262">
        <v>18.35521374</v>
      </c>
      <c r="N1086" s="262">
        <v>18.35521374</v>
      </c>
    </row>
    <row r="1087" spans="1:14" x14ac:dyDescent="0.25">
      <c r="A1087" s="262">
        <v>22011</v>
      </c>
      <c r="B1087" s="262" t="s">
        <v>842</v>
      </c>
      <c r="C1087" s="262" t="s">
        <v>848</v>
      </c>
      <c r="D1087" s="262">
        <v>-93.348962700000001</v>
      </c>
      <c r="E1087" s="262">
        <v>30.655110000000001</v>
      </c>
      <c r="M1087" s="262">
        <v>18.42747142</v>
      </c>
      <c r="N1087" s="262">
        <v>18.42747142</v>
      </c>
    </row>
    <row r="1088" spans="1:14" x14ac:dyDescent="0.25">
      <c r="A1088" s="262">
        <v>22013</v>
      </c>
      <c r="B1088" s="262" t="s">
        <v>842</v>
      </c>
      <c r="C1088" s="262" t="s">
        <v>849</v>
      </c>
      <c r="D1088" s="262">
        <v>-93.048468900000003</v>
      </c>
      <c r="E1088" s="262">
        <v>32.350189999999998</v>
      </c>
      <c r="M1088" s="262">
        <v>17.087148689999999</v>
      </c>
      <c r="N1088" s="262">
        <v>17.087148689999999</v>
      </c>
    </row>
    <row r="1089" spans="1:14" x14ac:dyDescent="0.25">
      <c r="A1089" s="262">
        <v>22015</v>
      </c>
      <c r="B1089" s="262" t="s">
        <v>842</v>
      </c>
      <c r="C1089" s="262" t="s">
        <v>850</v>
      </c>
      <c r="D1089" s="262">
        <v>-93.604646399999993</v>
      </c>
      <c r="E1089" s="262">
        <v>32.681359999999998</v>
      </c>
      <c r="M1089" s="262">
        <v>16.814909669999999</v>
      </c>
      <c r="N1089" s="262">
        <v>16.814909669999999</v>
      </c>
    </row>
    <row r="1090" spans="1:14" x14ac:dyDescent="0.25">
      <c r="A1090" s="262">
        <v>22017</v>
      </c>
      <c r="B1090" s="262" t="s">
        <v>842</v>
      </c>
      <c r="C1090" s="262" t="s">
        <v>851</v>
      </c>
      <c r="D1090" s="262">
        <v>-93.888432800000004</v>
      </c>
      <c r="E1090" s="262">
        <v>32.591250000000002</v>
      </c>
      <c r="M1090" s="262">
        <v>16.864173189999999</v>
      </c>
      <c r="N1090" s="262">
        <v>16.864173189999999</v>
      </c>
    </row>
    <row r="1091" spans="1:14" x14ac:dyDescent="0.25">
      <c r="A1091" s="262">
        <v>22019</v>
      </c>
      <c r="B1091" s="262" t="s">
        <v>842</v>
      </c>
      <c r="C1091" s="262" t="s">
        <v>852</v>
      </c>
      <c r="D1091" s="262">
        <v>-93.348935699999998</v>
      </c>
      <c r="E1091" s="262">
        <v>30.236979999999999</v>
      </c>
      <c r="M1091" s="262">
        <v>18.790697219999998</v>
      </c>
      <c r="N1091" s="262">
        <v>18.790697219999998</v>
      </c>
    </row>
    <row r="1092" spans="1:14" x14ac:dyDescent="0.25">
      <c r="A1092" s="262">
        <v>22021</v>
      </c>
      <c r="B1092" s="262" t="s">
        <v>842</v>
      </c>
      <c r="C1092" s="262" t="s">
        <v>853</v>
      </c>
      <c r="D1092" s="262">
        <v>-92.120406099999997</v>
      </c>
      <c r="E1092" s="262">
        <v>32.089950000000002</v>
      </c>
      <c r="M1092" s="262">
        <v>17.460924129999999</v>
      </c>
      <c r="N1092" s="262">
        <v>17.460924129999999</v>
      </c>
    </row>
    <row r="1093" spans="1:14" x14ac:dyDescent="0.25">
      <c r="A1093" s="262">
        <v>22023</v>
      </c>
      <c r="B1093" s="262" t="s">
        <v>842</v>
      </c>
      <c r="C1093" s="262" t="s">
        <v>854</v>
      </c>
      <c r="D1093" s="262">
        <v>-93.189020200000002</v>
      </c>
      <c r="E1093" s="262">
        <v>29.89038</v>
      </c>
      <c r="M1093" s="262">
        <v>19.080682750000001</v>
      </c>
      <c r="N1093" s="262">
        <v>19.080682750000001</v>
      </c>
    </row>
    <row r="1094" spans="1:14" x14ac:dyDescent="0.25">
      <c r="A1094" s="262">
        <v>22025</v>
      </c>
      <c r="B1094" s="262" t="s">
        <v>842</v>
      </c>
      <c r="C1094" s="262" t="s">
        <v>855</v>
      </c>
      <c r="D1094" s="262">
        <v>-91.849240899999998</v>
      </c>
      <c r="E1094" s="262">
        <v>31.66601</v>
      </c>
      <c r="M1094" s="262">
        <v>17.871677120000001</v>
      </c>
      <c r="N1094" s="262">
        <v>17.871677120000001</v>
      </c>
    </row>
    <row r="1095" spans="1:14" x14ac:dyDescent="0.25">
      <c r="A1095" s="262">
        <v>22027</v>
      </c>
      <c r="B1095" s="262" t="s">
        <v>842</v>
      </c>
      <c r="C1095" s="262" t="s">
        <v>856</v>
      </c>
      <c r="D1095" s="262">
        <v>-92.995141599999997</v>
      </c>
      <c r="E1095" s="262">
        <v>32.82546</v>
      </c>
      <c r="M1095" s="262">
        <v>16.820159589999999</v>
      </c>
      <c r="N1095" s="262">
        <v>16.820159589999999</v>
      </c>
    </row>
    <row r="1096" spans="1:14" x14ac:dyDescent="0.25">
      <c r="A1096" s="262">
        <v>22029</v>
      </c>
      <c r="B1096" s="262" t="s">
        <v>842</v>
      </c>
      <c r="C1096" s="262" t="s">
        <v>857</v>
      </c>
      <c r="D1096" s="262">
        <v>-91.641863900000004</v>
      </c>
      <c r="E1096" s="262">
        <v>31.45514</v>
      </c>
      <c r="M1096" s="262">
        <v>18.109479270000001</v>
      </c>
      <c r="N1096" s="262">
        <v>18.109479270000001</v>
      </c>
    </row>
    <row r="1097" spans="1:14" x14ac:dyDescent="0.25">
      <c r="A1097" s="262">
        <v>22031</v>
      </c>
      <c r="B1097" s="262" t="s">
        <v>842</v>
      </c>
      <c r="C1097" s="262" t="s">
        <v>858</v>
      </c>
      <c r="D1097" s="262">
        <v>-93.738269200000005</v>
      </c>
      <c r="E1097" s="262">
        <v>32.065739999999998</v>
      </c>
      <c r="M1097" s="262">
        <v>17.19656268</v>
      </c>
      <c r="N1097" s="262">
        <v>17.19656268</v>
      </c>
    </row>
    <row r="1098" spans="1:14" x14ac:dyDescent="0.25">
      <c r="A1098" s="262">
        <v>22033</v>
      </c>
      <c r="B1098" s="262" t="s">
        <v>842</v>
      </c>
      <c r="C1098" s="262" t="s">
        <v>859</v>
      </c>
      <c r="D1098" s="262">
        <v>-91.098144099999999</v>
      </c>
      <c r="E1098" s="262">
        <v>30.536180000000002</v>
      </c>
      <c r="M1098" s="262">
        <v>19.234575039999999</v>
      </c>
      <c r="N1098" s="262">
        <v>19.234575039999999</v>
      </c>
    </row>
    <row r="1099" spans="1:14" x14ac:dyDescent="0.25">
      <c r="A1099" s="262">
        <v>22035</v>
      </c>
      <c r="B1099" s="262" t="s">
        <v>842</v>
      </c>
      <c r="C1099" s="262" t="s">
        <v>860</v>
      </c>
      <c r="D1099" s="262">
        <v>-91.244743</v>
      </c>
      <c r="E1099" s="262">
        <v>32.723709999999997</v>
      </c>
      <c r="M1099" s="262">
        <v>17.060080500000002</v>
      </c>
      <c r="N1099" s="262">
        <v>17.060080500000002</v>
      </c>
    </row>
    <row r="1100" spans="1:14" x14ac:dyDescent="0.25">
      <c r="A1100" s="262">
        <v>22037</v>
      </c>
      <c r="B1100" s="262" t="s">
        <v>842</v>
      </c>
      <c r="C1100" s="262" t="s">
        <v>861</v>
      </c>
      <c r="D1100" s="262">
        <v>-91.046099999999996</v>
      </c>
      <c r="E1100" s="262">
        <v>30.84534</v>
      </c>
      <c r="M1100" s="262">
        <v>18.924648449999999</v>
      </c>
      <c r="N1100" s="262">
        <v>18.924648449999999</v>
      </c>
    </row>
    <row r="1101" spans="1:14" x14ac:dyDescent="0.25">
      <c r="A1101" s="262">
        <v>22039</v>
      </c>
      <c r="B1101" s="262" t="s">
        <v>842</v>
      </c>
      <c r="C1101" s="262" t="s">
        <v>862</v>
      </c>
      <c r="D1101" s="262">
        <v>-92.404514800000001</v>
      </c>
      <c r="E1101" s="262">
        <v>30.733560000000001</v>
      </c>
      <c r="M1101" s="262">
        <v>18.544067930000001</v>
      </c>
      <c r="N1101" s="262">
        <v>18.544067930000001</v>
      </c>
    </row>
    <row r="1102" spans="1:14" x14ac:dyDescent="0.25">
      <c r="A1102" s="262">
        <v>22041</v>
      </c>
      <c r="B1102" s="262" t="s">
        <v>842</v>
      </c>
      <c r="C1102" s="262" t="s">
        <v>863</v>
      </c>
      <c r="D1102" s="262">
        <v>-91.676898199999997</v>
      </c>
      <c r="E1102" s="262">
        <v>32.135719999999999</v>
      </c>
      <c r="M1102" s="262">
        <v>17.489787069999998</v>
      </c>
      <c r="N1102" s="262">
        <v>17.489787069999998</v>
      </c>
    </row>
    <row r="1103" spans="1:14" x14ac:dyDescent="0.25">
      <c r="A1103" s="262">
        <v>22043</v>
      </c>
      <c r="B1103" s="262" t="s">
        <v>842</v>
      </c>
      <c r="C1103" s="262" t="s">
        <v>864</v>
      </c>
      <c r="D1103" s="262">
        <v>-92.554585700000004</v>
      </c>
      <c r="E1103" s="262">
        <v>31.603649999999998</v>
      </c>
      <c r="M1103" s="262">
        <v>17.777310450000002</v>
      </c>
      <c r="N1103" s="262">
        <v>17.777310450000002</v>
      </c>
    </row>
    <row r="1104" spans="1:14" x14ac:dyDescent="0.25">
      <c r="A1104" s="262">
        <v>22045</v>
      </c>
      <c r="B1104" s="262" t="s">
        <v>842</v>
      </c>
      <c r="C1104" s="262" t="s">
        <v>865</v>
      </c>
      <c r="D1104" s="262">
        <v>-91.6969919</v>
      </c>
      <c r="E1104" s="262">
        <v>29.969580000000001</v>
      </c>
      <c r="M1104" s="262">
        <v>19.43680183</v>
      </c>
      <c r="N1104" s="262">
        <v>19.43680183</v>
      </c>
    </row>
    <row r="1105" spans="1:14" x14ac:dyDescent="0.25">
      <c r="A1105" s="262">
        <v>22047</v>
      </c>
      <c r="B1105" s="262" t="s">
        <v>842</v>
      </c>
      <c r="C1105" s="262" t="s">
        <v>866</v>
      </c>
      <c r="D1105" s="262">
        <v>-91.360863100000003</v>
      </c>
      <c r="E1105" s="262">
        <v>30.258980000000001</v>
      </c>
      <c r="M1105" s="262">
        <v>19.369654619999999</v>
      </c>
      <c r="N1105" s="262">
        <v>19.369654619999999</v>
      </c>
    </row>
    <row r="1106" spans="1:14" x14ac:dyDescent="0.25">
      <c r="A1106" s="262">
        <v>22049</v>
      </c>
      <c r="B1106" s="262" t="s">
        <v>842</v>
      </c>
      <c r="C1106" s="262" t="s">
        <v>867</v>
      </c>
      <c r="D1106" s="262">
        <v>-92.558026699999999</v>
      </c>
      <c r="E1106" s="262">
        <v>32.304720000000003</v>
      </c>
      <c r="M1106" s="262">
        <v>17.224739199999998</v>
      </c>
      <c r="N1106" s="262">
        <v>17.224739199999998</v>
      </c>
    </row>
    <row r="1107" spans="1:14" x14ac:dyDescent="0.25">
      <c r="A1107" s="262">
        <v>22051</v>
      </c>
      <c r="B1107" s="262" t="s">
        <v>842</v>
      </c>
      <c r="C1107" s="262" t="s">
        <v>868</v>
      </c>
      <c r="D1107" s="262">
        <v>-90.119054599999998</v>
      </c>
      <c r="E1107" s="262">
        <v>29.71827</v>
      </c>
      <c r="M1107" s="262">
        <v>20.597181979999998</v>
      </c>
      <c r="N1107" s="262">
        <v>20.597181979999998</v>
      </c>
    </row>
    <row r="1108" spans="1:14" x14ac:dyDescent="0.25">
      <c r="A1108" s="262">
        <v>22053</v>
      </c>
      <c r="B1108" s="262" t="s">
        <v>842</v>
      </c>
      <c r="C1108" s="262" t="s">
        <v>869</v>
      </c>
      <c r="D1108" s="262">
        <v>-92.8074352</v>
      </c>
      <c r="E1108" s="262">
        <v>30.269850000000002</v>
      </c>
      <c r="M1108" s="262">
        <v>18.832196119999999</v>
      </c>
      <c r="N1108" s="262">
        <v>18.832196119999999</v>
      </c>
    </row>
    <row r="1109" spans="1:14" x14ac:dyDescent="0.25">
      <c r="A1109" s="262">
        <v>22055</v>
      </c>
      <c r="B1109" s="262" t="s">
        <v>842</v>
      </c>
      <c r="C1109" s="262" t="s">
        <v>870</v>
      </c>
      <c r="D1109" s="262">
        <v>-92.060253000000003</v>
      </c>
      <c r="E1109" s="262">
        <v>30.21322</v>
      </c>
      <c r="M1109" s="262">
        <v>19.075830440000001</v>
      </c>
      <c r="N1109" s="262">
        <v>19.075830440000001</v>
      </c>
    </row>
    <row r="1110" spans="1:14" x14ac:dyDescent="0.25">
      <c r="A1110" s="262">
        <v>22057</v>
      </c>
      <c r="B1110" s="262" t="s">
        <v>842</v>
      </c>
      <c r="C1110" s="262" t="s">
        <v>871</v>
      </c>
      <c r="D1110" s="262">
        <v>-90.435686700000005</v>
      </c>
      <c r="E1110" s="262">
        <v>29.574729999999999</v>
      </c>
      <c r="M1110" s="262">
        <v>20.504358280000002</v>
      </c>
      <c r="N1110" s="262">
        <v>20.504358280000002</v>
      </c>
    </row>
    <row r="1111" spans="1:14" x14ac:dyDescent="0.25">
      <c r="A1111" s="262">
        <v>22059</v>
      </c>
      <c r="B1111" s="262" t="s">
        <v>842</v>
      </c>
      <c r="C1111" s="262" t="s">
        <v>872</v>
      </c>
      <c r="D1111" s="262">
        <v>-92.164361999999997</v>
      </c>
      <c r="E1111" s="262">
        <v>31.678360000000001</v>
      </c>
      <c r="M1111" s="262">
        <v>17.8051095</v>
      </c>
      <c r="N1111" s="262">
        <v>17.8051095</v>
      </c>
    </row>
    <row r="1112" spans="1:14" x14ac:dyDescent="0.25">
      <c r="A1112" s="262">
        <v>22061</v>
      </c>
      <c r="B1112" s="262" t="s">
        <v>842</v>
      </c>
      <c r="C1112" s="262" t="s">
        <v>873</v>
      </c>
      <c r="D1112" s="262">
        <v>-92.664946</v>
      </c>
      <c r="E1112" s="262">
        <v>32.60566</v>
      </c>
      <c r="M1112" s="262">
        <v>17.001197319999999</v>
      </c>
      <c r="N1112" s="262">
        <v>17.001197319999999</v>
      </c>
    </row>
    <row r="1113" spans="1:14" x14ac:dyDescent="0.25">
      <c r="A1113" s="262">
        <v>22063</v>
      </c>
      <c r="B1113" s="262" t="s">
        <v>842</v>
      </c>
      <c r="C1113" s="262" t="s">
        <v>874</v>
      </c>
      <c r="D1113" s="262">
        <v>-90.719019900000006</v>
      </c>
      <c r="E1113" s="262">
        <v>30.441310000000001</v>
      </c>
      <c r="M1113" s="262">
        <v>19.51479677</v>
      </c>
      <c r="N1113" s="262">
        <v>19.51479677</v>
      </c>
    </row>
    <row r="1114" spans="1:14" x14ac:dyDescent="0.25">
      <c r="A1114" s="262">
        <v>22065</v>
      </c>
      <c r="B1114" s="262" t="s">
        <v>842</v>
      </c>
      <c r="C1114" s="262" t="s">
        <v>875</v>
      </c>
      <c r="D1114" s="262">
        <v>-91.247767100000004</v>
      </c>
      <c r="E1114" s="262">
        <v>32.370249999999999</v>
      </c>
      <c r="M1114" s="262">
        <v>17.32542784</v>
      </c>
      <c r="N1114" s="262">
        <v>17.32542784</v>
      </c>
    </row>
    <row r="1115" spans="1:14" x14ac:dyDescent="0.25">
      <c r="A1115" s="262">
        <v>22067</v>
      </c>
      <c r="B1115" s="262" t="s">
        <v>842</v>
      </c>
      <c r="C1115" s="262" t="s">
        <v>876</v>
      </c>
      <c r="D1115" s="262">
        <v>-91.807909300000006</v>
      </c>
      <c r="E1115" s="262">
        <v>32.822220000000002</v>
      </c>
      <c r="M1115" s="262">
        <v>16.966271160000002</v>
      </c>
      <c r="N1115" s="262">
        <v>16.966271160000002</v>
      </c>
    </row>
    <row r="1116" spans="1:14" x14ac:dyDescent="0.25">
      <c r="A1116" s="262">
        <v>22069</v>
      </c>
      <c r="B1116" s="262" t="s">
        <v>842</v>
      </c>
      <c r="C1116" s="262" t="s">
        <v>877</v>
      </c>
      <c r="D1116" s="262">
        <v>-93.091869399999993</v>
      </c>
      <c r="E1116" s="262">
        <v>31.726680000000002</v>
      </c>
      <c r="M1116" s="262">
        <v>17.552263079999999</v>
      </c>
      <c r="N1116" s="262">
        <v>17.552263079999999</v>
      </c>
    </row>
    <row r="1117" spans="1:14" x14ac:dyDescent="0.25">
      <c r="A1117" s="262">
        <v>22071</v>
      </c>
      <c r="B1117" s="262" t="s">
        <v>842</v>
      </c>
      <c r="C1117" s="262" t="s">
        <v>878</v>
      </c>
      <c r="D1117" s="262">
        <v>-89.933100800000005</v>
      </c>
      <c r="E1117" s="262">
        <v>30.03443</v>
      </c>
      <c r="M1117" s="262">
        <v>20.294608050000001</v>
      </c>
      <c r="N1117" s="262">
        <v>20.294608050000001</v>
      </c>
    </row>
    <row r="1118" spans="1:14" x14ac:dyDescent="0.25">
      <c r="A1118" s="262">
        <v>22073</v>
      </c>
      <c r="B1118" s="262" t="s">
        <v>842</v>
      </c>
      <c r="C1118" s="262" t="s">
        <v>879</v>
      </c>
      <c r="D1118" s="262">
        <v>-92.159380200000001</v>
      </c>
      <c r="E1118" s="262">
        <v>32.4833</v>
      </c>
      <c r="M1118" s="262">
        <v>17.15747211</v>
      </c>
      <c r="N1118" s="262">
        <v>17.15747211</v>
      </c>
    </row>
    <row r="1119" spans="1:14" x14ac:dyDescent="0.25">
      <c r="A1119" s="262">
        <v>22075</v>
      </c>
      <c r="B1119" s="262" t="s">
        <v>842</v>
      </c>
      <c r="C1119" s="262" t="s">
        <v>880</v>
      </c>
      <c r="D1119" s="262">
        <v>-89.624209500000006</v>
      </c>
      <c r="E1119" s="262">
        <v>29.450119999999998</v>
      </c>
      <c r="M1119" s="262">
        <v>20.724195229999999</v>
      </c>
      <c r="N1119" s="262">
        <v>20.724195229999999</v>
      </c>
    </row>
    <row r="1120" spans="1:14" x14ac:dyDescent="0.25">
      <c r="A1120" s="262">
        <v>22077</v>
      </c>
      <c r="B1120" s="262" t="s">
        <v>842</v>
      </c>
      <c r="C1120" s="262" t="s">
        <v>881</v>
      </c>
      <c r="D1120" s="262">
        <v>-91.609212499999998</v>
      </c>
      <c r="E1120" s="262">
        <v>30.716809999999999</v>
      </c>
      <c r="M1120" s="262">
        <v>18.817103360000001</v>
      </c>
      <c r="N1120" s="262">
        <v>18.817103360000001</v>
      </c>
    </row>
    <row r="1121" spans="1:14" x14ac:dyDescent="0.25">
      <c r="A1121" s="262">
        <v>22079</v>
      </c>
      <c r="B1121" s="262" t="s">
        <v>842</v>
      </c>
      <c r="C1121" s="262" t="s">
        <v>882</v>
      </c>
      <c r="D1121" s="262">
        <v>-92.530110100000002</v>
      </c>
      <c r="E1121" s="262">
        <v>31.205110000000001</v>
      </c>
      <c r="M1121" s="262">
        <v>18.119877800000001</v>
      </c>
      <c r="N1121" s="262">
        <v>18.119877800000001</v>
      </c>
    </row>
    <row r="1122" spans="1:14" x14ac:dyDescent="0.25">
      <c r="A1122" s="262">
        <v>22081</v>
      </c>
      <c r="B1122" s="262" t="s">
        <v>842</v>
      </c>
      <c r="C1122" s="262" t="s">
        <v>883</v>
      </c>
      <c r="D1122" s="262">
        <v>-93.338783500000005</v>
      </c>
      <c r="E1122" s="262">
        <v>32.099229999999999</v>
      </c>
      <c r="M1122" s="262">
        <v>17.194362890000001</v>
      </c>
      <c r="N1122" s="262">
        <v>17.194362890000001</v>
      </c>
    </row>
    <row r="1123" spans="1:14" x14ac:dyDescent="0.25">
      <c r="A1123" s="262">
        <v>22083</v>
      </c>
      <c r="B1123" s="262" t="s">
        <v>842</v>
      </c>
      <c r="C1123" s="262" t="s">
        <v>884</v>
      </c>
      <c r="D1123" s="262">
        <v>-91.771688699999999</v>
      </c>
      <c r="E1123" s="262">
        <v>32.421860000000002</v>
      </c>
      <c r="M1123" s="262">
        <v>17.249709469999999</v>
      </c>
      <c r="N1123" s="262">
        <v>17.249709469999999</v>
      </c>
    </row>
    <row r="1124" spans="1:14" x14ac:dyDescent="0.25">
      <c r="A1124" s="262">
        <v>22085</v>
      </c>
      <c r="B1124" s="262" t="s">
        <v>842</v>
      </c>
      <c r="C1124" s="262" t="s">
        <v>885</v>
      </c>
      <c r="D1124" s="262">
        <v>-93.556087399999996</v>
      </c>
      <c r="E1124" s="262">
        <v>31.56955</v>
      </c>
      <c r="M1124" s="262">
        <v>17.611435950000001</v>
      </c>
      <c r="N1124" s="262">
        <v>17.611435950000001</v>
      </c>
    </row>
    <row r="1125" spans="1:14" x14ac:dyDescent="0.25">
      <c r="A1125" s="262">
        <v>22087</v>
      </c>
      <c r="B1125" s="262" t="s">
        <v>842</v>
      </c>
      <c r="C1125" s="262" t="s">
        <v>886</v>
      </c>
      <c r="D1125" s="262">
        <v>-89.535916200000003</v>
      </c>
      <c r="E1125" s="262">
        <v>29.896840000000001</v>
      </c>
      <c r="M1125" s="262">
        <v>20.45228505</v>
      </c>
      <c r="N1125" s="262">
        <v>20.45228505</v>
      </c>
    </row>
    <row r="1126" spans="1:14" x14ac:dyDescent="0.25">
      <c r="A1126" s="262">
        <v>22089</v>
      </c>
      <c r="B1126" s="262" t="s">
        <v>842</v>
      </c>
      <c r="C1126" s="262" t="s">
        <v>887</v>
      </c>
      <c r="D1126" s="262">
        <v>-90.362075000000004</v>
      </c>
      <c r="E1126" s="262">
        <v>29.898019999999999</v>
      </c>
      <c r="M1126" s="262">
        <v>20.314706409999999</v>
      </c>
      <c r="N1126" s="262">
        <v>20.314706409999999</v>
      </c>
    </row>
    <row r="1127" spans="1:14" x14ac:dyDescent="0.25">
      <c r="A1127" s="262">
        <v>22091</v>
      </c>
      <c r="B1127" s="262" t="s">
        <v>842</v>
      </c>
      <c r="C1127" s="262" t="s">
        <v>888</v>
      </c>
      <c r="D1127" s="262">
        <v>-90.7100899</v>
      </c>
      <c r="E1127" s="262">
        <v>30.820460000000001</v>
      </c>
      <c r="M1127" s="262">
        <v>19.076971960000002</v>
      </c>
      <c r="N1127" s="262">
        <v>19.076971960000002</v>
      </c>
    </row>
    <row r="1128" spans="1:14" x14ac:dyDescent="0.25">
      <c r="A1128" s="262">
        <v>22093</v>
      </c>
      <c r="B1128" s="262" t="s">
        <v>842</v>
      </c>
      <c r="C1128" s="262" t="s">
        <v>889</v>
      </c>
      <c r="D1128" s="262">
        <v>-90.794260199999997</v>
      </c>
      <c r="E1128" s="262">
        <v>30.027439999999999</v>
      </c>
      <c r="M1128" s="262">
        <v>19.91436538</v>
      </c>
      <c r="N1128" s="262">
        <v>19.91436538</v>
      </c>
    </row>
    <row r="1129" spans="1:14" x14ac:dyDescent="0.25">
      <c r="A1129" s="262">
        <v>22095</v>
      </c>
      <c r="B1129" s="262" t="s">
        <v>842</v>
      </c>
      <c r="C1129" s="262" t="s">
        <v>890</v>
      </c>
      <c r="D1129" s="262">
        <v>-90.546903900000004</v>
      </c>
      <c r="E1129" s="262">
        <v>30.097449999999998</v>
      </c>
      <c r="M1129" s="262">
        <v>19.977487100000001</v>
      </c>
      <c r="N1129" s="262">
        <v>19.977487100000001</v>
      </c>
    </row>
    <row r="1130" spans="1:14" x14ac:dyDescent="0.25">
      <c r="A1130" s="262">
        <v>22097</v>
      </c>
      <c r="B1130" s="262" t="s">
        <v>842</v>
      </c>
      <c r="C1130" s="262" t="s">
        <v>891</v>
      </c>
      <c r="D1130" s="262">
        <v>-92.003297000000003</v>
      </c>
      <c r="E1130" s="262">
        <v>30.603290000000001</v>
      </c>
      <c r="M1130" s="262">
        <v>18.777344800000002</v>
      </c>
      <c r="N1130" s="262">
        <v>18.777344800000002</v>
      </c>
    </row>
    <row r="1131" spans="1:14" x14ac:dyDescent="0.25">
      <c r="A1131" s="262">
        <v>22099</v>
      </c>
      <c r="B1131" s="262" t="s">
        <v>842</v>
      </c>
      <c r="C1131" s="262" t="s">
        <v>892</v>
      </c>
      <c r="D1131" s="262">
        <v>-91.724901500000001</v>
      </c>
      <c r="E1131" s="262">
        <v>30.22682</v>
      </c>
      <c r="M1131" s="262">
        <v>19.354616960000001</v>
      </c>
      <c r="N1131" s="262">
        <v>19.354616960000001</v>
      </c>
    </row>
    <row r="1132" spans="1:14" x14ac:dyDescent="0.25">
      <c r="A1132" s="262">
        <v>22101</v>
      </c>
      <c r="B1132" s="262" t="s">
        <v>842</v>
      </c>
      <c r="C1132" s="262" t="s">
        <v>893</v>
      </c>
      <c r="D1132" s="262">
        <v>-91.440418399999999</v>
      </c>
      <c r="E1132" s="262">
        <v>29.72317</v>
      </c>
      <c r="M1132" s="262">
        <v>19.757344830000001</v>
      </c>
      <c r="N1132" s="262">
        <v>19.757344830000001</v>
      </c>
    </row>
    <row r="1133" spans="1:14" x14ac:dyDescent="0.25">
      <c r="A1133" s="262">
        <v>22103</v>
      </c>
      <c r="B1133" s="262" t="s">
        <v>842</v>
      </c>
      <c r="C1133" s="262" t="s">
        <v>894</v>
      </c>
      <c r="D1133" s="262">
        <v>-89.945344599999999</v>
      </c>
      <c r="E1133" s="262">
        <v>30.468630000000001</v>
      </c>
      <c r="M1133" s="262">
        <v>19.756509479999998</v>
      </c>
      <c r="N1133" s="262">
        <v>19.756509479999998</v>
      </c>
    </row>
    <row r="1134" spans="1:14" x14ac:dyDescent="0.25">
      <c r="A1134" s="262">
        <v>22105</v>
      </c>
      <c r="B1134" s="262" t="s">
        <v>842</v>
      </c>
      <c r="C1134" s="262" t="s">
        <v>895</v>
      </c>
      <c r="D1134" s="262">
        <v>-90.413848000000002</v>
      </c>
      <c r="E1134" s="262">
        <v>30.65335</v>
      </c>
      <c r="M1134" s="262">
        <v>19.393394709999999</v>
      </c>
      <c r="N1134" s="262">
        <v>19.393394709999999</v>
      </c>
    </row>
    <row r="1135" spans="1:14" x14ac:dyDescent="0.25">
      <c r="A1135" s="262">
        <v>22107</v>
      </c>
      <c r="B1135" s="262" t="s">
        <v>842</v>
      </c>
      <c r="C1135" s="262" t="s">
        <v>896</v>
      </c>
      <c r="D1135" s="262">
        <v>-91.332963000000007</v>
      </c>
      <c r="E1135" s="262">
        <v>32.007689999999997</v>
      </c>
      <c r="M1135" s="262">
        <v>17.63632041</v>
      </c>
      <c r="N1135" s="262">
        <v>17.63632041</v>
      </c>
    </row>
    <row r="1136" spans="1:14" x14ac:dyDescent="0.25">
      <c r="A1136" s="262">
        <v>22109</v>
      </c>
      <c r="B1136" s="262" t="s">
        <v>842</v>
      </c>
      <c r="C1136" s="262" t="s">
        <v>897</v>
      </c>
      <c r="D1136" s="262">
        <v>-90.840618699999993</v>
      </c>
      <c r="E1136" s="262">
        <v>29.43121</v>
      </c>
      <c r="M1136" s="262">
        <v>20.314096710000001</v>
      </c>
      <c r="N1136" s="262">
        <v>20.314096710000001</v>
      </c>
    </row>
    <row r="1137" spans="1:14" x14ac:dyDescent="0.25">
      <c r="A1137" s="262">
        <v>22111</v>
      </c>
      <c r="B1137" s="262" t="s">
        <v>842</v>
      </c>
      <c r="C1137" s="262" t="s">
        <v>898</v>
      </c>
      <c r="D1137" s="262">
        <v>-92.3802819</v>
      </c>
      <c r="E1137" s="262">
        <v>32.833550000000002</v>
      </c>
      <c r="M1137" s="262">
        <v>16.89967047</v>
      </c>
      <c r="N1137" s="262">
        <v>16.89967047</v>
      </c>
    </row>
    <row r="1138" spans="1:14" x14ac:dyDescent="0.25">
      <c r="A1138" s="262">
        <v>22113</v>
      </c>
      <c r="B1138" s="262" t="s">
        <v>842</v>
      </c>
      <c r="C1138" s="262" t="s">
        <v>899</v>
      </c>
      <c r="D1138" s="262">
        <v>-92.323536500000003</v>
      </c>
      <c r="E1138" s="262">
        <v>29.860990000000001</v>
      </c>
      <c r="M1138" s="262">
        <v>19.26871298</v>
      </c>
      <c r="N1138" s="262">
        <v>19.26871298</v>
      </c>
    </row>
    <row r="1139" spans="1:14" x14ac:dyDescent="0.25">
      <c r="A1139" s="262">
        <v>22115</v>
      </c>
      <c r="B1139" s="262" t="s">
        <v>842</v>
      </c>
      <c r="C1139" s="262" t="s">
        <v>900</v>
      </c>
      <c r="D1139" s="262">
        <v>-93.182544699999994</v>
      </c>
      <c r="E1139" s="262">
        <v>31.107980000000001</v>
      </c>
      <c r="M1139" s="262">
        <v>18.055345389999999</v>
      </c>
      <c r="N1139" s="262">
        <v>18.055345389999999</v>
      </c>
    </row>
    <row r="1140" spans="1:14" x14ac:dyDescent="0.25">
      <c r="A1140" s="262">
        <v>22117</v>
      </c>
      <c r="B1140" s="262" t="s">
        <v>842</v>
      </c>
      <c r="C1140" s="262" t="s">
        <v>901</v>
      </c>
      <c r="D1140" s="262">
        <v>-90.033787200000006</v>
      </c>
      <c r="E1140" s="262">
        <v>30.85868</v>
      </c>
      <c r="M1140" s="262">
        <v>19.237496570000001</v>
      </c>
      <c r="N1140" s="262">
        <v>19.237496570000001</v>
      </c>
    </row>
    <row r="1141" spans="1:14" x14ac:dyDescent="0.25">
      <c r="A1141" s="262">
        <v>22119</v>
      </c>
      <c r="B1141" s="262" t="s">
        <v>842</v>
      </c>
      <c r="C1141" s="262" t="s">
        <v>902</v>
      </c>
      <c r="D1141" s="262">
        <v>-93.334558900000005</v>
      </c>
      <c r="E1141" s="262">
        <v>32.716239999999999</v>
      </c>
      <c r="M1141" s="262">
        <v>16.839135030000001</v>
      </c>
      <c r="N1141" s="262">
        <v>16.839135030000001</v>
      </c>
    </row>
    <row r="1142" spans="1:14" x14ac:dyDescent="0.25">
      <c r="A1142" s="262">
        <v>22121</v>
      </c>
      <c r="B1142" s="262" t="s">
        <v>842</v>
      </c>
      <c r="C1142" s="262" t="s">
        <v>903</v>
      </c>
      <c r="D1142" s="262">
        <v>-91.328277900000003</v>
      </c>
      <c r="E1142" s="262">
        <v>30.46556</v>
      </c>
      <c r="M1142" s="262">
        <v>19.16531136</v>
      </c>
      <c r="N1142" s="262">
        <v>19.16531136</v>
      </c>
    </row>
    <row r="1143" spans="1:14" x14ac:dyDescent="0.25">
      <c r="A1143" s="262">
        <v>22123</v>
      </c>
      <c r="B1143" s="262" t="s">
        <v>842</v>
      </c>
      <c r="C1143" s="262" t="s">
        <v>904</v>
      </c>
      <c r="D1143" s="262">
        <v>-91.463518500000006</v>
      </c>
      <c r="E1143" s="262">
        <v>32.788269999999997</v>
      </c>
      <c r="M1143" s="262">
        <v>17.008895750000001</v>
      </c>
      <c r="N1143" s="262">
        <v>17.008895750000001</v>
      </c>
    </row>
    <row r="1144" spans="1:14" x14ac:dyDescent="0.25">
      <c r="A1144" s="262">
        <v>22125</v>
      </c>
      <c r="B1144" s="262" t="s">
        <v>842</v>
      </c>
      <c r="C1144" s="262" t="s">
        <v>905</v>
      </c>
      <c r="D1144" s="262">
        <v>-91.421257199999999</v>
      </c>
      <c r="E1144" s="262">
        <v>30.882359999999998</v>
      </c>
      <c r="M1144" s="262">
        <v>18.74324738</v>
      </c>
      <c r="N1144" s="262">
        <v>18.74324738</v>
      </c>
    </row>
    <row r="1145" spans="1:14" x14ac:dyDescent="0.25">
      <c r="A1145" s="262">
        <v>22127</v>
      </c>
      <c r="B1145" s="262" t="s">
        <v>842</v>
      </c>
      <c r="C1145" s="262" t="s">
        <v>906</v>
      </c>
      <c r="D1145" s="262">
        <v>-92.634722199999999</v>
      </c>
      <c r="E1145" s="262">
        <v>31.946809999999999</v>
      </c>
      <c r="M1145" s="262">
        <v>17.479661799999999</v>
      </c>
      <c r="N1145" s="262">
        <v>17.479661799999999</v>
      </c>
    </row>
    <row r="1146" spans="1:14" x14ac:dyDescent="0.25">
      <c r="A1146" s="262">
        <v>23001</v>
      </c>
      <c r="B1146" s="262" t="s">
        <v>907</v>
      </c>
      <c r="C1146" s="262" t="s">
        <v>908</v>
      </c>
      <c r="D1146" s="262">
        <v>-70.2033658</v>
      </c>
      <c r="E1146" s="262">
        <v>44.171619999999997</v>
      </c>
      <c r="M1146" s="262">
        <v>8.8517890210000001</v>
      </c>
      <c r="N1146" s="262">
        <v>8.8517890210000001</v>
      </c>
    </row>
    <row r="1147" spans="1:14" x14ac:dyDescent="0.25">
      <c r="A1147" s="262">
        <v>23003</v>
      </c>
      <c r="B1147" s="262" t="s">
        <v>907</v>
      </c>
      <c r="C1147" s="262" t="s">
        <v>909</v>
      </c>
      <c r="D1147" s="262">
        <v>-68.601910500000002</v>
      </c>
      <c r="E1147" s="262">
        <v>46.665689999999998</v>
      </c>
      <c r="M1147" s="262">
        <v>7.5108759420000002</v>
      </c>
      <c r="N1147" s="262">
        <v>7.5108759420000002</v>
      </c>
    </row>
    <row r="1148" spans="1:14" x14ac:dyDescent="0.25">
      <c r="A1148" s="262">
        <v>23005</v>
      </c>
      <c r="B1148" s="262" t="s">
        <v>907</v>
      </c>
      <c r="C1148" s="262" t="s">
        <v>585</v>
      </c>
      <c r="D1148" s="262">
        <v>-70.427960400000003</v>
      </c>
      <c r="E1148" s="262">
        <v>43.87247</v>
      </c>
      <c r="M1148" s="262">
        <v>9.0764304209999995</v>
      </c>
      <c r="N1148" s="262">
        <v>9.0764304209999995</v>
      </c>
    </row>
    <row r="1149" spans="1:14" x14ac:dyDescent="0.25">
      <c r="A1149" s="262">
        <v>23007</v>
      </c>
      <c r="B1149" s="262" t="s">
        <v>907</v>
      </c>
      <c r="C1149" s="262" t="s">
        <v>142</v>
      </c>
      <c r="D1149" s="262">
        <v>-70.444720500000003</v>
      </c>
      <c r="E1149" s="262">
        <v>44.980600000000003</v>
      </c>
      <c r="M1149" s="262">
        <v>8.2521688229999999</v>
      </c>
      <c r="N1149" s="262">
        <v>8.2521688229999999</v>
      </c>
    </row>
    <row r="1150" spans="1:14" x14ac:dyDescent="0.25">
      <c r="A1150" s="262">
        <v>23009</v>
      </c>
      <c r="B1150" s="262" t="s">
        <v>907</v>
      </c>
      <c r="C1150" s="262" t="s">
        <v>484</v>
      </c>
      <c r="D1150" s="262">
        <v>-68.358664000000005</v>
      </c>
      <c r="E1150" s="262">
        <v>44.714640000000003</v>
      </c>
      <c r="M1150" s="262">
        <v>8.5858748939999998</v>
      </c>
      <c r="N1150" s="262">
        <v>8.5858748939999998</v>
      </c>
    </row>
    <row r="1151" spans="1:14" x14ac:dyDescent="0.25">
      <c r="A1151" s="262">
        <v>23011</v>
      </c>
      <c r="B1151" s="262" t="s">
        <v>907</v>
      </c>
      <c r="C1151" s="262" t="s">
        <v>910</v>
      </c>
      <c r="D1151" s="262">
        <v>-69.766181799999998</v>
      </c>
      <c r="E1151" s="262">
        <v>44.418759999999999</v>
      </c>
      <c r="M1151" s="262">
        <v>8.6954812439999998</v>
      </c>
      <c r="N1151" s="262">
        <v>8.6954812439999998</v>
      </c>
    </row>
    <row r="1152" spans="1:14" x14ac:dyDescent="0.25">
      <c r="A1152" s="262">
        <v>23013</v>
      </c>
      <c r="B1152" s="262" t="s">
        <v>907</v>
      </c>
      <c r="C1152" s="262" t="s">
        <v>601</v>
      </c>
      <c r="D1152" s="262">
        <v>-69.240590600000004</v>
      </c>
      <c r="E1152" s="262">
        <v>44.182940000000002</v>
      </c>
      <c r="M1152" s="262">
        <v>8.9217021719999998</v>
      </c>
      <c r="N1152" s="262">
        <v>8.9217021719999998</v>
      </c>
    </row>
    <row r="1153" spans="1:14" x14ac:dyDescent="0.25">
      <c r="A1153" s="262">
        <v>23015</v>
      </c>
      <c r="B1153" s="262" t="s">
        <v>907</v>
      </c>
      <c r="C1153" s="262" t="s">
        <v>226</v>
      </c>
      <c r="D1153" s="262">
        <v>-69.543115900000004</v>
      </c>
      <c r="E1153" s="262">
        <v>44.088700000000003</v>
      </c>
      <c r="M1153" s="262">
        <v>8.9823713810000001</v>
      </c>
      <c r="N1153" s="262">
        <v>8.9823713810000001</v>
      </c>
    </row>
    <row r="1154" spans="1:14" x14ac:dyDescent="0.25">
      <c r="A1154" s="262">
        <v>23017</v>
      </c>
      <c r="B1154" s="262" t="s">
        <v>907</v>
      </c>
      <c r="C1154" s="262" t="s">
        <v>911</v>
      </c>
      <c r="D1154" s="262">
        <v>-70.764044400000003</v>
      </c>
      <c r="E1154" s="262">
        <v>44.518639999999998</v>
      </c>
      <c r="M1154" s="262">
        <v>8.5127738229999999</v>
      </c>
      <c r="N1154" s="262">
        <v>8.5127738229999999</v>
      </c>
    </row>
    <row r="1155" spans="1:14" x14ac:dyDescent="0.25">
      <c r="A1155" s="262">
        <v>23019</v>
      </c>
      <c r="B1155" s="262" t="s">
        <v>907</v>
      </c>
      <c r="C1155" s="262" t="s">
        <v>912</v>
      </c>
      <c r="D1155" s="262">
        <v>-68.653700099999995</v>
      </c>
      <c r="E1155" s="262">
        <v>45.405349999999999</v>
      </c>
      <c r="M1155" s="262">
        <v>8.0419427030000001</v>
      </c>
      <c r="N1155" s="262">
        <v>8.0419427030000001</v>
      </c>
    </row>
    <row r="1156" spans="1:14" x14ac:dyDescent="0.25">
      <c r="A1156" s="262">
        <v>23021</v>
      </c>
      <c r="B1156" s="262" t="s">
        <v>907</v>
      </c>
      <c r="C1156" s="262" t="s">
        <v>913</v>
      </c>
      <c r="D1156" s="262">
        <v>-69.287827100000001</v>
      </c>
      <c r="E1156" s="262">
        <v>45.839190000000002</v>
      </c>
      <c r="M1156" s="262">
        <v>7.8177067139999998</v>
      </c>
      <c r="N1156" s="262">
        <v>7.8177067139999998</v>
      </c>
    </row>
    <row r="1157" spans="1:14" x14ac:dyDescent="0.25">
      <c r="A1157" s="262">
        <v>23023</v>
      </c>
      <c r="B1157" s="262" t="s">
        <v>907</v>
      </c>
      <c r="C1157" s="262" t="s">
        <v>914</v>
      </c>
      <c r="D1157" s="262">
        <v>-69.868223999999998</v>
      </c>
      <c r="E1157" s="262">
        <v>43.989800000000002</v>
      </c>
      <c r="M1157" s="262">
        <v>9.0334965569999994</v>
      </c>
      <c r="N1157" s="262">
        <v>9.0334965569999994</v>
      </c>
    </row>
    <row r="1158" spans="1:14" x14ac:dyDescent="0.25">
      <c r="A1158" s="262">
        <v>23025</v>
      </c>
      <c r="B1158" s="262" t="s">
        <v>907</v>
      </c>
      <c r="C1158" s="262" t="s">
        <v>915</v>
      </c>
      <c r="D1158" s="262">
        <v>-69.960339899999994</v>
      </c>
      <c r="E1158" s="262">
        <v>45.51979</v>
      </c>
      <c r="M1158" s="262">
        <v>8.0182824509999993</v>
      </c>
      <c r="N1158" s="262">
        <v>8.0182824509999993</v>
      </c>
    </row>
    <row r="1159" spans="1:14" x14ac:dyDescent="0.25">
      <c r="A1159" s="262">
        <v>23027</v>
      </c>
      <c r="B1159" s="262" t="s">
        <v>907</v>
      </c>
      <c r="C1159" s="262" t="s">
        <v>916</v>
      </c>
      <c r="D1159" s="262">
        <v>-69.162323799999996</v>
      </c>
      <c r="E1159" s="262">
        <v>44.518630000000002</v>
      </c>
      <c r="M1159" s="262">
        <v>8.6634845200000008</v>
      </c>
      <c r="N1159" s="262">
        <v>8.6634845200000008</v>
      </c>
    </row>
    <row r="1160" spans="1:14" x14ac:dyDescent="0.25">
      <c r="A1160" s="262">
        <v>23029</v>
      </c>
      <c r="B1160" s="262" t="s">
        <v>907</v>
      </c>
      <c r="C1160" s="262" t="s">
        <v>177</v>
      </c>
      <c r="D1160" s="262">
        <v>-67.645760999999993</v>
      </c>
      <c r="E1160" s="262">
        <v>45.04992</v>
      </c>
      <c r="M1160" s="262">
        <v>8.4953908479999996</v>
      </c>
      <c r="N1160" s="262">
        <v>8.4953908479999996</v>
      </c>
    </row>
    <row r="1161" spans="1:14" x14ac:dyDescent="0.25">
      <c r="A1161" s="262">
        <v>23031</v>
      </c>
      <c r="B1161" s="262" t="s">
        <v>907</v>
      </c>
      <c r="C1161" s="262" t="s">
        <v>917</v>
      </c>
      <c r="D1161" s="262">
        <v>-70.712237799999997</v>
      </c>
      <c r="E1161" s="262">
        <v>43.487200000000001</v>
      </c>
      <c r="M1161" s="262">
        <v>9.4025534010000005</v>
      </c>
      <c r="N1161" s="262">
        <v>9.4025534010000005</v>
      </c>
    </row>
    <row r="1162" spans="1:14" x14ac:dyDescent="0.25">
      <c r="A1162" s="262">
        <v>24001</v>
      </c>
      <c r="B1162" s="262" t="s">
        <v>918</v>
      </c>
      <c r="C1162" s="262" t="s">
        <v>919</v>
      </c>
      <c r="D1162" s="262">
        <v>-78.695798999999994</v>
      </c>
      <c r="E1162" s="262">
        <v>39.624470000000002</v>
      </c>
      <c r="M1162" s="262">
        <v>11.141128500000001</v>
      </c>
      <c r="N1162" s="262">
        <v>11.141128500000001</v>
      </c>
    </row>
    <row r="1163" spans="1:14" x14ac:dyDescent="0.25">
      <c r="A1163" s="262">
        <v>24003</v>
      </c>
      <c r="B1163" s="262" t="s">
        <v>918</v>
      </c>
      <c r="C1163" s="262" t="s">
        <v>920</v>
      </c>
      <c r="D1163" s="262">
        <v>-76.626059400000003</v>
      </c>
      <c r="E1163" s="262">
        <v>39.00517</v>
      </c>
      <c r="M1163" s="262">
        <v>13.568840059999999</v>
      </c>
      <c r="N1163" s="262">
        <v>13.568840059999999</v>
      </c>
    </row>
    <row r="1164" spans="1:14" x14ac:dyDescent="0.25">
      <c r="A1164" s="262">
        <v>24005</v>
      </c>
      <c r="B1164" s="262" t="s">
        <v>918</v>
      </c>
      <c r="C1164" s="262" t="s">
        <v>921</v>
      </c>
      <c r="D1164" s="262">
        <v>-76.649550700000006</v>
      </c>
      <c r="E1164" s="262">
        <v>39.472850000000001</v>
      </c>
      <c r="M1164" s="262">
        <v>12.954788049999999</v>
      </c>
      <c r="N1164" s="262">
        <v>12.954788049999999</v>
      </c>
    </row>
    <row r="1165" spans="1:14" x14ac:dyDescent="0.25">
      <c r="A1165" s="262">
        <v>24009</v>
      </c>
      <c r="B1165" s="262" t="s">
        <v>918</v>
      </c>
      <c r="C1165" s="262" t="s">
        <v>922</v>
      </c>
      <c r="D1165" s="262">
        <v>-76.587450599999997</v>
      </c>
      <c r="E1165" s="262">
        <v>38.553890000000003</v>
      </c>
      <c r="M1165" s="262">
        <v>14.133891009999999</v>
      </c>
      <c r="N1165" s="262">
        <v>14.133891009999999</v>
      </c>
    </row>
    <row r="1166" spans="1:14" x14ac:dyDescent="0.25">
      <c r="A1166" s="262">
        <v>24011</v>
      </c>
      <c r="B1166" s="262" t="s">
        <v>918</v>
      </c>
      <c r="C1166" s="262" t="s">
        <v>923</v>
      </c>
      <c r="D1166" s="262">
        <v>-75.842139200000005</v>
      </c>
      <c r="E1166" s="262">
        <v>38.872410000000002</v>
      </c>
      <c r="M1166" s="262">
        <v>13.89201658</v>
      </c>
      <c r="N1166" s="262">
        <v>13.89201658</v>
      </c>
    </row>
    <row r="1167" spans="1:14" x14ac:dyDescent="0.25">
      <c r="A1167" s="262">
        <v>24013</v>
      </c>
      <c r="B1167" s="262" t="s">
        <v>918</v>
      </c>
      <c r="C1167" s="262" t="s">
        <v>203</v>
      </c>
      <c r="D1167" s="262">
        <v>-77.032976399999995</v>
      </c>
      <c r="E1167" s="262">
        <v>39.564819999999997</v>
      </c>
      <c r="M1167" s="262">
        <v>12.663705350000001</v>
      </c>
      <c r="N1167" s="262">
        <v>12.663705350000001</v>
      </c>
    </row>
    <row r="1168" spans="1:14" x14ac:dyDescent="0.25">
      <c r="A1168" s="262">
        <v>24015</v>
      </c>
      <c r="B1168" s="262" t="s">
        <v>918</v>
      </c>
      <c r="C1168" s="262" t="s">
        <v>924</v>
      </c>
      <c r="D1168" s="262">
        <v>-75.947110199999997</v>
      </c>
      <c r="E1168" s="262">
        <v>39.583889999999997</v>
      </c>
      <c r="M1168" s="262">
        <v>12.970102450000001</v>
      </c>
      <c r="N1168" s="262">
        <v>12.970102450000001</v>
      </c>
    </row>
    <row r="1169" spans="1:14" x14ac:dyDescent="0.25">
      <c r="A1169" s="262">
        <v>24017</v>
      </c>
      <c r="B1169" s="262" t="s">
        <v>918</v>
      </c>
      <c r="C1169" s="262" t="s">
        <v>925</v>
      </c>
      <c r="D1169" s="262">
        <v>-77.041938500000001</v>
      </c>
      <c r="E1169" s="262">
        <v>38.500300000000003</v>
      </c>
      <c r="M1169" s="262">
        <v>14.062278539999999</v>
      </c>
      <c r="N1169" s="262">
        <v>14.062278539999999</v>
      </c>
    </row>
    <row r="1170" spans="1:14" x14ac:dyDescent="0.25">
      <c r="A1170" s="262">
        <v>24019</v>
      </c>
      <c r="B1170" s="262" t="s">
        <v>918</v>
      </c>
      <c r="C1170" s="262" t="s">
        <v>926</v>
      </c>
      <c r="D1170" s="262">
        <v>-76.007094600000002</v>
      </c>
      <c r="E1170" s="262">
        <v>38.485259999999997</v>
      </c>
      <c r="M1170" s="262">
        <v>14.296985169999999</v>
      </c>
      <c r="N1170" s="262">
        <v>14.296985169999999</v>
      </c>
    </row>
    <row r="1171" spans="1:14" x14ac:dyDescent="0.25">
      <c r="A1171" s="262">
        <v>24021</v>
      </c>
      <c r="B1171" s="262" t="s">
        <v>918</v>
      </c>
      <c r="C1171" s="262" t="s">
        <v>927</v>
      </c>
      <c r="D1171" s="262">
        <v>-77.407800899999998</v>
      </c>
      <c r="E1171" s="262">
        <v>39.477359999999997</v>
      </c>
      <c r="M1171" s="262">
        <v>12.480540380000001</v>
      </c>
      <c r="N1171" s="262">
        <v>12.480540380000001</v>
      </c>
    </row>
    <row r="1172" spans="1:14" x14ac:dyDescent="0.25">
      <c r="A1172" s="262">
        <v>24023</v>
      </c>
      <c r="B1172" s="262" t="s">
        <v>918</v>
      </c>
      <c r="C1172" s="262" t="s">
        <v>928</v>
      </c>
      <c r="D1172" s="262">
        <v>-79.273233200000007</v>
      </c>
      <c r="E1172" s="262">
        <v>39.541339999999998</v>
      </c>
      <c r="M1172" s="262">
        <v>10.84030722</v>
      </c>
      <c r="N1172" s="262">
        <v>10.84030722</v>
      </c>
    </row>
    <row r="1173" spans="1:14" x14ac:dyDescent="0.25">
      <c r="A1173" s="262">
        <v>24025</v>
      </c>
      <c r="B1173" s="262" t="s">
        <v>918</v>
      </c>
      <c r="C1173" s="262" t="s">
        <v>929</v>
      </c>
      <c r="D1173" s="262">
        <v>-76.326018500000004</v>
      </c>
      <c r="E1173" s="262">
        <v>39.565660000000001</v>
      </c>
      <c r="M1173" s="262">
        <v>12.94183653</v>
      </c>
      <c r="N1173" s="262">
        <v>12.94183653</v>
      </c>
    </row>
    <row r="1174" spans="1:14" x14ac:dyDescent="0.25">
      <c r="A1174" s="262">
        <v>24027</v>
      </c>
      <c r="B1174" s="262" t="s">
        <v>918</v>
      </c>
      <c r="C1174" s="262" t="s">
        <v>221</v>
      </c>
      <c r="D1174" s="262">
        <v>-76.936043100000006</v>
      </c>
      <c r="E1174" s="262">
        <v>39.249099999999999</v>
      </c>
      <c r="M1174" s="262">
        <v>13.128641350000001</v>
      </c>
      <c r="N1174" s="262">
        <v>13.128641350000001</v>
      </c>
    </row>
    <row r="1175" spans="1:14" x14ac:dyDescent="0.25">
      <c r="A1175" s="262">
        <v>24029</v>
      </c>
      <c r="B1175" s="262" t="s">
        <v>918</v>
      </c>
      <c r="C1175" s="262" t="s">
        <v>377</v>
      </c>
      <c r="D1175" s="262">
        <v>-76.035649899999996</v>
      </c>
      <c r="E1175" s="262">
        <v>39.257210000000001</v>
      </c>
      <c r="M1175" s="262">
        <v>13.401912810000001</v>
      </c>
      <c r="N1175" s="262">
        <v>13.401912810000001</v>
      </c>
    </row>
    <row r="1176" spans="1:14" x14ac:dyDescent="0.25">
      <c r="A1176" s="262">
        <v>24031</v>
      </c>
      <c r="B1176" s="262" t="s">
        <v>918</v>
      </c>
      <c r="C1176" s="262" t="s">
        <v>163</v>
      </c>
      <c r="D1176" s="262">
        <v>-77.2202214</v>
      </c>
      <c r="E1176" s="262">
        <v>39.138300000000001</v>
      </c>
      <c r="M1176" s="262">
        <v>13.05580455</v>
      </c>
      <c r="N1176" s="262">
        <v>13.05580455</v>
      </c>
    </row>
    <row r="1177" spans="1:14" x14ac:dyDescent="0.25">
      <c r="A1177" s="262">
        <v>24033</v>
      </c>
      <c r="B1177" s="262" t="s">
        <v>918</v>
      </c>
      <c r="C1177" s="262" t="s">
        <v>930</v>
      </c>
      <c r="D1177" s="262">
        <v>-76.8638184</v>
      </c>
      <c r="E1177" s="262">
        <v>38.828069999999997</v>
      </c>
      <c r="M1177" s="262">
        <v>13.70408297</v>
      </c>
      <c r="N1177" s="262">
        <v>13.70408297</v>
      </c>
    </row>
    <row r="1178" spans="1:14" x14ac:dyDescent="0.25">
      <c r="A1178" s="262">
        <v>24035</v>
      </c>
      <c r="B1178" s="262" t="s">
        <v>918</v>
      </c>
      <c r="C1178" s="262" t="s">
        <v>931</v>
      </c>
      <c r="D1178" s="262">
        <v>-75.9885752</v>
      </c>
      <c r="E1178" s="262">
        <v>39.083640000000003</v>
      </c>
      <c r="M1178" s="262">
        <v>13.622603870000001</v>
      </c>
      <c r="N1178" s="262">
        <v>13.622603870000001</v>
      </c>
    </row>
    <row r="1179" spans="1:14" x14ac:dyDescent="0.25">
      <c r="A1179" s="262">
        <v>24037</v>
      </c>
      <c r="B1179" s="262" t="s">
        <v>918</v>
      </c>
      <c r="C1179" s="262" t="s">
        <v>932</v>
      </c>
      <c r="D1179" s="262">
        <v>-76.629628400000001</v>
      </c>
      <c r="E1179" s="262">
        <v>38.302289999999999</v>
      </c>
      <c r="M1179" s="262">
        <v>14.4350082</v>
      </c>
      <c r="N1179" s="262">
        <v>14.4350082</v>
      </c>
    </row>
    <row r="1180" spans="1:14" x14ac:dyDescent="0.25">
      <c r="A1180" s="262">
        <v>24039</v>
      </c>
      <c r="B1180" s="262" t="s">
        <v>918</v>
      </c>
      <c r="C1180" s="262" t="s">
        <v>915</v>
      </c>
      <c r="D1180" s="262">
        <v>-75.736494199999996</v>
      </c>
      <c r="E1180" s="262">
        <v>38.122619999999998</v>
      </c>
      <c r="M1180" s="262">
        <v>14.647358130000001</v>
      </c>
      <c r="N1180" s="262">
        <v>14.647358130000001</v>
      </c>
    </row>
    <row r="1181" spans="1:14" x14ac:dyDescent="0.25">
      <c r="A1181" s="262">
        <v>24041</v>
      </c>
      <c r="B1181" s="262" t="s">
        <v>918</v>
      </c>
      <c r="C1181" s="262" t="s">
        <v>518</v>
      </c>
      <c r="D1181" s="262">
        <v>-76.092855099999994</v>
      </c>
      <c r="E1181" s="262">
        <v>38.772730000000003</v>
      </c>
      <c r="M1181" s="262">
        <v>13.970986140000001</v>
      </c>
      <c r="N1181" s="262">
        <v>13.970986140000001</v>
      </c>
    </row>
    <row r="1182" spans="1:14" x14ac:dyDescent="0.25">
      <c r="A1182" s="262">
        <v>24043</v>
      </c>
      <c r="B1182" s="262" t="s">
        <v>918</v>
      </c>
      <c r="C1182" s="262" t="s">
        <v>177</v>
      </c>
      <c r="D1182" s="262">
        <v>-77.820773299999999</v>
      </c>
      <c r="E1182" s="262">
        <v>39.611310000000003</v>
      </c>
      <c r="M1182" s="262">
        <v>11.94663941</v>
      </c>
      <c r="N1182" s="262">
        <v>11.94663941</v>
      </c>
    </row>
    <row r="1183" spans="1:14" x14ac:dyDescent="0.25">
      <c r="A1183" s="262">
        <v>24045</v>
      </c>
      <c r="B1183" s="262" t="s">
        <v>918</v>
      </c>
      <c r="C1183" s="262" t="s">
        <v>933</v>
      </c>
      <c r="D1183" s="262">
        <v>-75.628551700000003</v>
      </c>
      <c r="E1183" s="262">
        <v>38.374160000000003</v>
      </c>
      <c r="M1183" s="262">
        <v>14.406519250000001</v>
      </c>
      <c r="N1183" s="262">
        <v>14.406519250000001</v>
      </c>
    </row>
    <row r="1184" spans="1:14" x14ac:dyDescent="0.25">
      <c r="A1184" s="262">
        <v>24047</v>
      </c>
      <c r="B1184" s="262" t="s">
        <v>918</v>
      </c>
      <c r="C1184" s="262" t="s">
        <v>934</v>
      </c>
      <c r="D1184" s="262">
        <v>-75.344204599999998</v>
      </c>
      <c r="E1184" s="262">
        <v>38.226480000000002</v>
      </c>
      <c r="M1184" s="262">
        <v>14.52237839</v>
      </c>
      <c r="N1184" s="262">
        <v>14.52237839</v>
      </c>
    </row>
    <row r="1185" spans="1:14" x14ac:dyDescent="0.25">
      <c r="A1185" s="262">
        <v>24510</v>
      </c>
      <c r="B1185" s="262" t="s">
        <v>918</v>
      </c>
      <c r="C1185" s="262" t="s">
        <v>935</v>
      </c>
      <c r="D1185" s="262">
        <v>-76.6257442</v>
      </c>
      <c r="E1185" s="262">
        <v>39.314979999999998</v>
      </c>
      <c r="M1185" s="262">
        <v>13.17512715</v>
      </c>
      <c r="N1185" s="262">
        <v>13.17512715</v>
      </c>
    </row>
    <row r="1186" spans="1:14" x14ac:dyDescent="0.25">
      <c r="A1186" s="262">
        <v>25001</v>
      </c>
      <c r="B1186" s="262" t="s">
        <v>936</v>
      </c>
      <c r="C1186" s="262" t="s">
        <v>937</v>
      </c>
      <c r="D1186" s="262">
        <v>-70.286340600000003</v>
      </c>
      <c r="E1186" s="262">
        <v>41.735619999999997</v>
      </c>
      <c r="M1186" s="262">
        <v>11.143058849999999</v>
      </c>
      <c r="N1186" s="262">
        <v>11.143058849999999</v>
      </c>
    </row>
    <row r="1187" spans="1:14" x14ac:dyDescent="0.25">
      <c r="A1187" s="262">
        <v>25003</v>
      </c>
      <c r="B1187" s="262" t="s">
        <v>936</v>
      </c>
      <c r="C1187" s="262" t="s">
        <v>938</v>
      </c>
      <c r="D1187" s="262">
        <v>-73.204920799999996</v>
      </c>
      <c r="E1187" s="262">
        <v>42.367829999999998</v>
      </c>
      <c r="M1187" s="262">
        <v>9.7716902220000001</v>
      </c>
      <c r="N1187" s="262">
        <v>9.7716902220000001</v>
      </c>
    </row>
    <row r="1188" spans="1:14" x14ac:dyDescent="0.25">
      <c r="A1188" s="262">
        <v>25005</v>
      </c>
      <c r="B1188" s="262" t="s">
        <v>936</v>
      </c>
      <c r="C1188" s="262" t="s">
        <v>939</v>
      </c>
      <c r="D1188" s="262">
        <v>-71.109491399999996</v>
      </c>
      <c r="E1188" s="262">
        <v>41.805390000000003</v>
      </c>
      <c r="M1188" s="262">
        <v>11.154347080000001</v>
      </c>
      <c r="N1188" s="262">
        <v>11.154347080000001</v>
      </c>
    </row>
    <row r="1189" spans="1:14" x14ac:dyDescent="0.25">
      <c r="A1189" s="262">
        <v>25007</v>
      </c>
      <c r="B1189" s="262" t="s">
        <v>936</v>
      </c>
      <c r="C1189" s="262" t="s">
        <v>940</v>
      </c>
      <c r="D1189" s="262">
        <v>-70.634756499999995</v>
      </c>
      <c r="E1189" s="262">
        <v>41.385190000000001</v>
      </c>
      <c r="M1189" s="262">
        <v>11.472196029999999</v>
      </c>
      <c r="N1189" s="262">
        <v>11.472196029999999</v>
      </c>
    </row>
    <row r="1190" spans="1:14" x14ac:dyDescent="0.25">
      <c r="A1190" s="262">
        <v>25009</v>
      </c>
      <c r="B1190" s="262" t="s">
        <v>936</v>
      </c>
      <c r="C1190" s="262" t="s">
        <v>941</v>
      </c>
      <c r="D1190" s="262">
        <v>-70.977714199999994</v>
      </c>
      <c r="E1190" s="262">
        <v>42.669800000000002</v>
      </c>
      <c r="M1190" s="262">
        <v>10.26388629</v>
      </c>
      <c r="N1190" s="262">
        <v>10.26388629</v>
      </c>
    </row>
    <row r="1191" spans="1:14" x14ac:dyDescent="0.25">
      <c r="A1191" s="262">
        <v>25011</v>
      </c>
      <c r="B1191" s="262" t="s">
        <v>936</v>
      </c>
      <c r="C1191" s="262" t="s">
        <v>142</v>
      </c>
      <c r="D1191" s="262">
        <v>-72.591409999999996</v>
      </c>
      <c r="E1191" s="262">
        <v>42.583109999999998</v>
      </c>
      <c r="M1191" s="262">
        <v>9.7282250720000008</v>
      </c>
      <c r="N1191" s="262">
        <v>9.7282250720000008</v>
      </c>
    </row>
    <row r="1192" spans="1:14" x14ac:dyDescent="0.25">
      <c r="A1192" s="262">
        <v>25013</v>
      </c>
      <c r="B1192" s="262" t="s">
        <v>936</v>
      </c>
      <c r="C1192" s="262" t="s">
        <v>942</v>
      </c>
      <c r="D1192" s="262">
        <v>-72.625325799999999</v>
      </c>
      <c r="E1192" s="262">
        <v>42.136710000000001</v>
      </c>
      <c r="M1192" s="262">
        <v>10.301776179999999</v>
      </c>
      <c r="N1192" s="262">
        <v>10.301776179999999</v>
      </c>
    </row>
    <row r="1193" spans="1:14" x14ac:dyDescent="0.25">
      <c r="A1193" s="262">
        <v>25015</v>
      </c>
      <c r="B1193" s="262" t="s">
        <v>936</v>
      </c>
      <c r="C1193" s="262" t="s">
        <v>943</v>
      </c>
      <c r="D1193" s="262">
        <v>-72.659099999999995</v>
      </c>
      <c r="E1193" s="262">
        <v>42.33916</v>
      </c>
      <c r="M1193" s="262">
        <v>10.02749017</v>
      </c>
      <c r="N1193" s="262">
        <v>10.02749017</v>
      </c>
    </row>
    <row r="1194" spans="1:14" x14ac:dyDescent="0.25">
      <c r="A1194" s="262">
        <v>25017</v>
      </c>
      <c r="B1194" s="262" t="s">
        <v>936</v>
      </c>
      <c r="C1194" s="262" t="s">
        <v>371</v>
      </c>
      <c r="D1194" s="262">
        <v>-71.389943299999999</v>
      </c>
      <c r="E1194" s="262">
        <v>42.484380000000002</v>
      </c>
      <c r="M1194" s="262">
        <v>10.386819389999999</v>
      </c>
      <c r="N1194" s="262">
        <v>10.386819389999999</v>
      </c>
    </row>
    <row r="1195" spans="1:14" x14ac:dyDescent="0.25">
      <c r="A1195" s="262">
        <v>25019</v>
      </c>
      <c r="B1195" s="262" t="s">
        <v>936</v>
      </c>
      <c r="C1195" s="262" t="s">
        <v>944</v>
      </c>
      <c r="D1195" s="262">
        <v>-70.053033600000006</v>
      </c>
      <c r="E1195" s="262">
        <v>41.289299999999997</v>
      </c>
      <c r="M1195" s="262">
        <v>11.459942590000001</v>
      </c>
      <c r="N1195" s="262">
        <v>11.459942590000001</v>
      </c>
    </row>
    <row r="1196" spans="1:14" x14ac:dyDescent="0.25">
      <c r="A1196" s="262">
        <v>25021</v>
      </c>
      <c r="B1196" s="262" t="s">
        <v>936</v>
      </c>
      <c r="C1196" s="262" t="s">
        <v>945</v>
      </c>
      <c r="D1196" s="262">
        <v>-71.2248266</v>
      </c>
      <c r="E1196" s="262">
        <v>42.15699</v>
      </c>
      <c r="M1196" s="262">
        <v>10.82520787</v>
      </c>
      <c r="N1196" s="262">
        <v>10.82520787</v>
      </c>
    </row>
    <row r="1197" spans="1:14" x14ac:dyDescent="0.25">
      <c r="A1197" s="262">
        <v>25023</v>
      </c>
      <c r="B1197" s="262" t="s">
        <v>936</v>
      </c>
      <c r="C1197" s="262" t="s">
        <v>705</v>
      </c>
      <c r="D1197" s="262">
        <v>-70.815613099999993</v>
      </c>
      <c r="E1197" s="262">
        <v>41.956789999999998</v>
      </c>
      <c r="M1197" s="262">
        <v>11.01179924</v>
      </c>
      <c r="N1197" s="262">
        <v>11.01179924</v>
      </c>
    </row>
    <row r="1198" spans="1:14" x14ac:dyDescent="0.25">
      <c r="A1198" s="262">
        <v>25025</v>
      </c>
      <c r="B1198" s="262" t="s">
        <v>936</v>
      </c>
      <c r="C1198" s="262" t="s">
        <v>946</v>
      </c>
      <c r="D1198" s="262">
        <v>-71.105622600000004</v>
      </c>
      <c r="E1198" s="262">
        <v>42.309280000000001</v>
      </c>
      <c r="M1198" s="262">
        <v>10.71755886</v>
      </c>
      <c r="N1198" s="262">
        <v>10.71755886</v>
      </c>
    </row>
    <row r="1199" spans="1:14" x14ac:dyDescent="0.25">
      <c r="A1199" s="262">
        <v>25027</v>
      </c>
      <c r="B1199" s="262" t="s">
        <v>936</v>
      </c>
      <c r="C1199" s="262" t="s">
        <v>934</v>
      </c>
      <c r="D1199" s="262">
        <v>-71.907440199999996</v>
      </c>
      <c r="E1199" s="262">
        <v>42.354039999999998</v>
      </c>
      <c r="M1199" s="262">
        <v>10.30750692</v>
      </c>
      <c r="N1199" s="262">
        <v>10.30750692</v>
      </c>
    </row>
    <row r="1200" spans="1:14" x14ac:dyDescent="0.25">
      <c r="A1200" s="262">
        <v>26001</v>
      </c>
      <c r="B1200" s="262" t="s">
        <v>947</v>
      </c>
      <c r="C1200" s="262" t="s">
        <v>948</v>
      </c>
      <c r="D1200" s="262">
        <v>-83.594978400000002</v>
      </c>
      <c r="E1200" s="262">
        <v>44.688679999999998</v>
      </c>
      <c r="M1200" s="262">
        <v>9.3675949640000002</v>
      </c>
      <c r="N1200" s="262">
        <v>9.3675949640000002</v>
      </c>
    </row>
    <row r="1201" spans="1:14" x14ac:dyDescent="0.25">
      <c r="A1201" s="262">
        <v>26003</v>
      </c>
      <c r="B1201" s="262" t="s">
        <v>947</v>
      </c>
      <c r="C1201" s="262" t="s">
        <v>949</v>
      </c>
      <c r="D1201" s="262">
        <v>-86.618527499999999</v>
      </c>
      <c r="E1201" s="262">
        <v>46.407530000000001</v>
      </c>
      <c r="M1201" s="262">
        <v>9.0569393520000006</v>
      </c>
      <c r="N1201" s="262">
        <v>9.0569393520000006</v>
      </c>
    </row>
    <row r="1202" spans="1:14" x14ac:dyDescent="0.25">
      <c r="A1202" s="262">
        <v>26005</v>
      </c>
      <c r="B1202" s="262" t="s">
        <v>947</v>
      </c>
      <c r="C1202" s="262" t="s">
        <v>950</v>
      </c>
      <c r="D1202" s="262">
        <v>-85.885165599999993</v>
      </c>
      <c r="E1202" s="262">
        <v>42.589979999999997</v>
      </c>
      <c r="M1202" s="262">
        <v>10.61570743</v>
      </c>
      <c r="N1202" s="262">
        <v>10.61570743</v>
      </c>
    </row>
    <row r="1203" spans="1:14" x14ac:dyDescent="0.25">
      <c r="A1203" s="262">
        <v>26007</v>
      </c>
      <c r="B1203" s="262" t="s">
        <v>947</v>
      </c>
      <c r="C1203" s="262" t="s">
        <v>951</v>
      </c>
      <c r="D1203" s="262">
        <v>-83.629144600000004</v>
      </c>
      <c r="E1203" s="262">
        <v>45.039050000000003</v>
      </c>
      <c r="M1203" s="262">
        <v>9.2699547399999993</v>
      </c>
      <c r="N1203" s="262">
        <v>9.2699547399999993</v>
      </c>
    </row>
    <row r="1204" spans="1:14" x14ac:dyDescent="0.25">
      <c r="A1204" s="262">
        <v>26009</v>
      </c>
      <c r="B1204" s="262" t="s">
        <v>947</v>
      </c>
      <c r="C1204" s="262" t="s">
        <v>952</v>
      </c>
      <c r="D1204" s="262">
        <v>-85.136163400000001</v>
      </c>
      <c r="E1204" s="262">
        <v>45.002400000000002</v>
      </c>
      <c r="M1204" s="262">
        <v>9.1332771509999997</v>
      </c>
      <c r="N1204" s="262">
        <v>9.1332771509999997</v>
      </c>
    </row>
    <row r="1205" spans="1:14" x14ac:dyDescent="0.25">
      <c r="A1205" s="262">
        <v>26011</v>
      </c>
      <c r="B1205" s="262" t="s">
        <v>947</v>
      </c>
      <c r="C1205" s="262" t="s">
        <v>953</v>
      </c>
      <c r="D1205" s="262">
        <v>-83.891978600000002</v>
      </c>
      <c r="E1205" s="262">
        <v>44.070529999999998</v>
      </c>
      <c r="M1205" s="262">
        <v>9.5664029470000003</v>
      </c>
      <c r="N1205" s="262">
        <v>9.5664029470000003</v>
      </c>
    </row>
    <row r="1206" spans="1:14" x14ac:dyDescent="0.25">
      <c r="A1206" s="262">
        <v>26013</v>
      </c>
      <c r="B1206" s="262" t="s">
        <v>947</v>
      </c>
      <c r="C1206" s="262" t="s">
        <v>954</v>
      </c>
      <c r="D1206" s="262">
        <v>-88.376149400000003</v>
      </c>
      <c r="E1206" s="262">
        <v>46.664090000000002</v>
      </c>
      <c r="M1206" s="262">
        <v>8.9594067030000009</v>
      </c>
      <c r="N1206" s="262">
        <v>8.9594067030000009</v>
      </c>
    </row>
    <row r="1207" spans="1:14" x14ac:dyDescent="0.25">
      <c r="A1207" s="262">
        <v>26015</v>
      </c>
      <c r="B1207" s="262" t="s">
        <v>947</v>
      </c>
      <c r="C1207" s="262" t="s">
        <v>955</v>
      </c>
      <c r="D1207" s="262">
        <v>-85.311974500000005</v>
      </c>
      <c r="E1207" s="262">
        <v>42.593330000000002</v>
      </c>
      <c r="M1207" s="262">
        <v>10.485124559999999</v>
      </c>
      <c r="N1207" s="262">
        <v>10.485124559999999</v>
      </c>
    </row>
    <row r="1208" spans="1:14" x14ac:dyDescent="0.25">
      <c r="A1208" s="262">
        <v>26017</v>
      </c>
      <c r="B1208" s="262" t="s">
        <v>947</v>
      </c>
      <c r="C1208" s="262" t="s">
        <v>385</v>
      </c>
      <c r="D1208" s="262">
        <v>-83.987479899999997</v>
      </c>
      <c r="E1208" s="262">
        <v>43.705640000000002</v>
      </c>
      <c r="M1208" s="262">
        <v>9.7221426530000006</v>
      </c>
      <c r="N1208" s="262">
        <v>9.7221426530000006</v>
      </c>
    </row>
    <row r="1209" spans="1:14" x14ac:dyDescent="0.25">
      <c r="A1209" s="262">
        <v>26019</v>
      </c>
      <c r="B1209" s="262" t="s">
        <v>947</v>
      </c>
      <c r="C1209" s="262" t="s">
        <v>956</v>
      </c>
      <c r="D1209" s="262">
        <v>-86.006402499999993</v>
      </c>
      <c r="E1209" s="262">
        <v>44.643160000000002</v>
      </c>
      <c r="M1209" s="262">
        <v>9.3371735289999993</v>
      </c>
      <c r="N1209" s="262">
        <v>9.3371735289999993</v>
      </c>
    </row>
    <row r="1210" spans="1:14" x14ac:dyDescent="0.25">
      <c r="A1210" s="262">
        <v>26021</v>
      </c>
      <c r="B1210" s="262" t="s">
        <v>947</v>
      </c>
      <c r="C1210" s="262" t="s">
        <v>440</v>
      </c>
      <c r="D1210" s="262">
        <v>-86.418460600000003</v>
      </c>
      <c r="E1210" s="262">
        <v>41.959620000000001</v>
      </c>
      <c r="M1210" s="262">
        <v>11.09682667</v>
      </c>
      <c r="N1210" s="262">
        <v>11.09682667</v>
      </c>
    </row>
    <row r="1211" spans="1:14" x14ac:dyDescent="0.25">
      <c r="A1211" s="262">
        <v>26023</v>
      </c>
      <c r="B1211" s="262" t="s">
        <v>947</v>
      </c>
      <c r="C1211" s="262" t="s">
        <v>957</v>
      </c>
      <c r="D1211" s="262">
        <v>-85.064259100000001</v>
      </c>
      <c r="E1211" s="262">
        <v>41.92651</v>
      </c>
      <c r="M1211" s="262">
        <v>10.940634749999999</v>
      </c>
      <c r="N1211" s="262">
        <v>10.940634749999999</v>
      </c>
    </row>
    <row r="1212" spans="1:14" x14ac:dyDescent="0.25">
      <c r="A1212" s="262">
        <v>26025</v>
      </c>
      <c r="B1212" s="262" t="s">
        <v>947</v>
      </c>
      <c r="C1212" s="262" t="s">
        <v>120</v>
      </c>
      <c r="D1212" s="262">
        <v>-85.002697299999994</v>
      </c>
      <c r="E1212" s="262">
        <v>42.245629999999998</v>
      </c>
      <c r="M1212" s="262">
        <v>10.68998212</v>
      </c>
      <c r="N1212" s="262">
        <v>10.68998212</v>
      </c>
    </row>
    <row r="1213" spans="1:14" x14ac:dyDescent="0.25">
      <c r="A1213" s="262">
        <v>26027</v>
      </c>
      <c r="B1213" s="262" t="s">
        <v>947</v>
      </c>
      <c r="C1213" s="262" t="s">
        <v>580</v>
      </c>
      <c r="D1213" s="262">
        <v>-85.990869000000004</v>
      </c>
      <c r="E1213" s="262">
        <v>41.919849999999997</v>
      </c>
      <c r="M1213" s="262">
        <v>11.06807974</v>
      </c>
      <c r="N1213" s="262">
        <v>11.06807974</v>
      </c>
    </row>
    <row r="1214" spans="1:14" x14ac:dyDescent="0.25">
      <c r="A1214" s="262">
        <v>26029</v>
      </c>
      <c r="B1214" s="262" t="s">
        <v>947</v>
      </c>
      <c r="C1214" s="262" t="s">
        <v>958</v>
      </c>
      <c r="D1214" s="262">
        <v>-85.034124899999995</v>
      </c>
      <c r="E1214" s="262">
        <v>45.225099999999998</v>
      </c>
      <c r="M1214" s="262">
        <v>9.1110837809999996</v>
      </c>
      <c r="N1214" s="262">
        <v>9.1110837809999996</v>
      </c>
    </row>
    <row r="1215" spans="1:14" x14ac:dyDescent="0.25">
      <c r="A1215" s="262">
        <v>26031</v>
      </c>
      <c r="B1215" s="262" t="s">
        <v>947</v>
      </c>
      <c r="C1215" s="262" t="s">
        <v>959</v>
      </c>
      <c r="D1215" s="262">
        <v>-84.505764200000002</v>
      </c>
      <c r="E1215" s="262">
        <v>45.447890000000001</v>
      </c>
      <c r="M1215" s="262">
        <v>9.1169240780000003</v>
      </c>
      <c r="N1215" s="262">
        <v>9.1169240780000003</v>
      </c>
    </row>
    <row r="1216" spans="1:14" x14ac:dyDescent="0.25">
      <c r="A1216" s="262">
        <v>26033</v>
      </c>
      <c r="B1216" s="262" t="s">
        <v>947</v>
      </c>
      <c r="C1216" s="262" t="s">
        <v>960</v>
      </c>
      <c r="D1216" s="262">
        <v>-84.724014699999998</v>
      </c>
      <c r="E1216" s="262">
        <v>46.328479999999999</v>
      </c>
      <c r="M1216" s="262">
        <v>9.0452363980000001</v>
      </c>
      <c r="N1216" s="262">
        <v>9.0452363980000001</v>
      </c>
    </row>
    <row r="1217" spans="1:14" x14ac:dyDescent="0.25">
      <c r="A1217" s="262">
        <v>26035</v>
      </c>
      <c r="B1217" s="262" t="s">
        <v>947</v>
      </c>
      <c r="C1217" s="262" t="s">
        <v>961</v>
      </c>
      <c r="D1217" s="262">
        <v>-84.842797899999994</v>
      </c>
      <c r="E1217" s="262">
        <v>43.991349999999997</v>
      </c>
      <c r="M1217" s="262">
        <v>9.5310181669999992</v>
      </c>
      <c r="N1217" s="262">
        <v>9.5310181669999992</v>
      </c>
    </row>
    <row r="1218" spans="1:14" x14ac:dyDescent="0.25">
      <c r="A1218" s="262">
        <v>26037</v>
      </c>
      <c r="B1218" s="262" t="s">
        <v>947</v>
      </c>
      <c r="C1218" s="262" t="s">
        <v>583</v>
      </c>
      <c r="D1218" s="262">
        <v>-84.594337800000005</v>
      </c>
      <c r="E1218" s="262">
        <v>42.948950000000004</v>
      </c>
      <c r="M1218" s="262">
        <v>10.140831560000001</v>
      </c>
      <c r="N1218" s="262">
        <v>10.140831560000001</v>
      </c>
    </row>
    <row r="1219" spans="1:14" x14ac:dyDescent="0.25">
      <c r="A1219" s="262">
        <v>26039</v>
      </c>
      <c r="B1219" s="262" t="s">
        <v>947</v>
      </c>
      <c r="C1219" s="262" t="s">
        <v>210</v>
      </c>
      <c r="D1219" s="262">
        <v>-84.600082</v>
      </c>
      <c r="E1219" s="262">
        <v>44.684980000000003</v>
      </c>
      <c r="M1219" s="262">
        <v>9.2525157829999998</v>
      </c>
      <c r="N1219" s="262">
        <v>9.2525157829999998</v>
      </c>
    </row>
    <row r="1220" spans="1:14" x14ac:dyDescent="0.25">
      <c r="A1220" s="262">
        <v>26041</v>
      </c>
      <c r="B1220" s="262" t="s">
        <v>947</v>
      </c>
      <c r="C1220" s="262" t="s">
        <v>327</v>
      </c>
      <c r="D1220" s="262">
        <v>-86.9351336</v>
      </c>
      <c r="E1220" s="262">
        <v>45.924160000000001</v>
      </c>
      <c r="M1220" s="262">
        <v>9.1468704760000001</v>
      </c>
      <c r="N1220" s="262">
        <v>9.1468704760000001</v>
      </c>
    </row>
    <row r="1221" spans="1:14" x14ac:dyDescent="0.25">
      <c r="A1221" s="262">
        <v>26043</v>
      </c>
      <c r="B1221" s="262" t="s">
        <v>947</v>
      </c>
      <c r="C1221" s="262" t="s">
        <v>686</v>
      </c>
      <c r="D1221" s="262">
        <v>-87.8834102</v>
      </c>
      <c r="E1221" s="262">
        <v>46.01173</v>
      </c>
      <c r="M1221" s="262">
        <v>9.1442192789999996</v>
      </c>
      <c r="N1221" s="262">
        <v>9.1442192789999996</v>
      </c>
    </row>
    <row r="1222" spans="1:14" x14ac:dyDescent="0.25">
      <c r="A1222" s="262">
        <v>26045</v>
      </c>
      <c r="B1222" s="262" t="s">
        <v>947</v>
      </c>
      <c r="C1222" s="262" t="s">
        <v>962</v>
      </c>
      <c r="D1222" s="262">
        <v>-84.837919799999995</v>
      </c>
      <c r="E1222" s="262">
        <v>42.599029999999999</v>
      </c>
      <c r="M1222" s="262">
        <v>10.40055167</v>
      </c>
      <c r="N1222" s="262">
        <v>10.40055167</v>
      </c>
    </row>
    <row r="1223" spans="1:14" x14ac:dyDescent="0.25">
      <c r="A1223" s="262">
        <v>26047</v>
      </c>
      <c r="B1223" s="262" t="s">
        <v>947</v>
      </c>
      <c r="C1223" s="262" t="s">
        <v>688</v>
      </c>
      <c r="D1223" s="262">
        <v>-84.8896455</v>
      </c>
      <c r="E1223" s="262">
        <v>45.513350000000003</v>
      </c>
      <c r="M1223" s="262">
        <v>9.0871053350000004</v>
      </c>
      <c r="N1223" s="262">
        <v>9.0871053350000004</v>
      </c>
    </row>
    <row r="1224" spans="1:14" x14ac:dyDescent="0.25">
      <c r="A1224" s="262">
        <v>26049</v>
      </c>
      <c r="B1224" s="262" t="s">
        <v>947</v>
      </c>
      <c r="C1224" s="262" t="s">
        <v>963</v>
      </c>
      <c r="D1224" s="262">
        <v>-83.703460899999996</v>
      </c>
      <c r="E1224" s="262">
        <v>43.027999999999999</v>
      </c>
      <c r="M1224" s="262">
        <v>10.10247317</v>
      </c>
      <c r="N1224" s="262">
        <v>10.10247317</v>
      </c>
    </row>
    <row r="1225" spans="1:14" x14ac:dyDescent="0.25">
      <c r="A1225" s="262">
        <v>26051</v>
      </c>
      <c r="B1225" s="262" t="s">
        <v>947</v>
      </c>
      <c r="C1225" s="262" t="s">
        <v>964</v>
      </c>
      <c r="D1225" s="262">
        <v>-84.378624299999998</v>
      </c>
      <c r="E1225" s="262">
        <v>43.992930000000001</v>
      </c>
      <c r="M1225" s="262">
        <v>9.556801085</v>
      </c>
      <c r="N1225" s="262">
        <v>9.556801085</v>
      </c>
    </row>
    <row r="1226" spans="1:14" x14ac:dyDescent="0.25">
      <c r="A1226" s="262">
        <v>26053</v>
      </c>
      <c r="B1226" s="262" t="s">
        <v>947</v>
      </c>
      <c r="C1226" s="262" t="s">
        <v>965</v>
      </c>
      <c r="D1226" s="262">
        <v>-89.686565900000005</v>
      </c>
      <c r="E1226" s="262">
        <v>46.400959999999998</v>
      </c>
      <c r="M1226" s="262">
        <v>8.8319375040000008</v>
      </c>
      <c r="N1226" s="262">
        <v>8.8319375040000008</v>
      </c>
    </row>
    <row r="1227" spans="1:14" x14ac:dyDescent="0.25">
      <c r="A1227" s="262">
        <v>26055</v>
      </c>
      <c r="B1227" s="262" t="s">
        <v>947</v>
      </c>
      <c r="C1227" s="262" t="s">
        <v>966</v>
      </c>
      <c r="D1227" s="262">
        <v>-85.554438700000006</v>
      </c>
      <c r="E1227" s="262">
        <v>44.673900000000003</v>
      </c>
      <c r="M1227" s="262">
        <v>9.2132846050000001</v>
      </c>
      <c r="N1227" s="262">
        <v>9.2132846050000001</v>
      </c>
    </row>
    <row r="1228" spans="1:14" x14ac:dyDescent="0.25">
      <c r="A1228" s="262">
        <v>26057</v>
      </c>
      <c r="B1228" s="262" t="s">
        <v>947</v>
      </c>
      <c r="C1228" s="262" t="s">
        <v>967</v>
      </c>
      <c r="D1228" s="262">
        <v>-84.604370299999999</v>
      </c>
      <c r="E1228" s="262">
        <v>43.29692</v>
      </c>
      <c r="M1228" s="262">
        <v>9.9379301160000004</v>
      </c>
      <c r="N1228" s="262">
        <v>9.9379301160000004</v>
      </c>
    </row>
    <row r="1229" spans="1:14" x14ac:dyDescent="0.25">
      <c r="A1229" s="262">
        <v>26059</v>
      </c>
      <c r="B1229" s="262" t="s">
        <v>947</v>
      </c>
      <c r="C1229" s="262" t="s">
        <v>968</v>
      </c>
      <c r="D1229" s="262">
        <v>-84.596612500000006</v>
      </c>
      <c r="E1229" s="262">
        <v>41.896630000000002</v>
      </c>
      <c r="M1229" s="262">
        <v>10.95017035</v>
      </c>
      <c r="N1229" s="262">
        <v>10.95017035</v>
      </c>
    </row>
    <row r="1230" spans="1:14" x14ac:dyDescent="0.25">
      <c r="A1230" s="262">
        <v>26061</v>
      </c>
      <c r="B1230" s="262" t="s">
        <v>947</v>
      </c>
      <c r="C1230" s="262" t="s">
        <v>969</v>
      </c>
      <c r="D1230" s="262">
        <v>-88.684922799999995</v>
      </c>
      <c r="E1230" s="262">
        <v>46.896070000000002</v>
      </c>
      <c r="M1230" s="262">
        <v>8.8840125329999999</v>
      </c>
      <c r="N1230" s="262">
        <v>8.8840125329999999</v>
      </c>
    </row>
    <row r="1231" spans="1:14" x14ac:dyDescent="0.25">
      <c r="A1231" s="262">
        <v>26063</v>
      </c>
      <c r="B1231" s="262" t="s">
        <v>947</v>
      </c>
      <c r="C1231" s="262" t="s">
        <v>970</v>
      </c>
      <c r="D1231" s="262">
        <v>-83.013039000000006</v>
      </c>
      <c r="E1231" s="262">
        <v>43.839199999999998</v>
      </c>
      <c r="M1231" s="262">
        <v>9.7109231279999992</v>
      </c>
      <c r="N1231" s="262">
        <v>9.7109231279999992</v>
      </c>
    </row>
    <row r="1232" spans="1:14" x14ac:dyDescent="0.25">
      <c r="A1232" s="262">
        <v>26065</v>
      </c>
      <c r="B1232" s="262" t="s">
        <v>947</v>
      </c>
      <c r="C1232" s="262" t="s">
        <v>971</v>
      </c>
      <c r="D1232" s="262">
        <v>-84.368191800000005</v>
      </c>
      <c r="E1232" s="262">
        <v>42.60398</v>
      </c>
      <c r="M1232" s="262">
        <v>10.3551898</v>
      </c>
      <c r="N1232" s="262">
        <v>10.3551898</v>
      </c>
    </row>
    <row r="1233" spans="1:14" x14ac:dyDescent="0.25">
      <c r="A1233" s="262">
        <v>26067</v>
      </c>
      <c r="B1233" s="262" t="s">
        <v>947</v>
      </c>
      <c r="C1233" s="262" t="s">
        <v>972</v>
      </c>
      <c r="D1233" s="262">
        <v>-85.070583099999993</v>
      </c>
      <c r="E1233" s="262">
        <v>42.947490000000002</v>
      </c>
      <c r="M1233" s="262">
        <v>10.193111010000001</v>
      </c>
      <c r="N1233" s="262">
        <v>10.193111010000001</v>
      </c>
    </row>
    <row r="1234" spans="1:14" x14ac:dyDescent="0.25">
      <c r="A1234" s="262">
        <v>26069</v>
      </c>
      <c r="B1234" s="262" t="s">
        <v>947</v>
      </c>
      <c r="C1234" s="262" t="s">
        <v>973</v>
      </c>
      <c r="D1234" s="262">
        <v>-83.636356199999994</v>
      </c>
      <c r="E1234" s="262">
        <v>44.359200000000001</v>
      </c>
      <c r="M1234" s="262">
        <v>9.4740923709999993</v>
      </c>
      <c r="N1234" s="262">
        <v>9.4740923709999993</v>
      </c>
    </row>
    <row r="1235" spans="1:14" x14ac:dyDescent="0.25">
      <c r="A1235" s="262">
        <v>26071</v>
      </c>
      <c r="B1235" s="262" t="s">
        <v>947</v>
      </c>
      <c r="C1235" s="262" t="s">
        <v>974</v>
      </c>
      <c r="D1235" s="262">
        <v>-88.537982600000007</v>
      </c>
      <c r="E1235" s="262">
        <v>46.211919999999999</v>
      </c>
      <c r="M1235" s="262">
        <v>9.0499835950000005</v>
      </c>
      <c r="N1235" s="262">
        <v>9.0499835950000005</v>
      </c>
    </row>
    <row r="1236" spans="1:14" x14ac:dyDescent="0.25">
      <c r="A1236" s="262">
        <v>26073</v>
      </c>
      <c r="B1236" s="262" t="s">
        <v>947</v>
      </c>
      <c r="C1236" s="262" t="s">
        <v>975</v>
      </c>
      <c r="D1236" s="262">
        <v>-84.843609400000005</v>
      </c>
      <c r="E1236" s="262">
        <v>43.64076</v>
      </c>
      <c r="M1236" s="262">
        <v>9.747120121</v>
      </c>
      <c r="N1236" s="262">
        <v>9.747120121</v>
      </c>
    </row>
    <row r="1237" spans="1:14" x14ac:dyDescent="0.25">
      <c r="A1237" s="262">
        <v>26075</v>
      </c>
      <c r="B1237" s="262" t="s">
        <v>947</v>
      </c>
      <c r="C1237" s="262" t="s">
        <v>148</v>
      </c>
      <c r="D1237" s="262">
        <v>-84.419296399999993</v>
      </c>
      <c r="E1237" s="262">
        <v>42.250480000000003</v>
      </c>
      <c r="M1237" s="262">
        <v>10.634496410000001</v>
      </c>
      <c r="N1237" s="262">
        <v>10.634496410000001</v>
      </c>
    </row>
    <row r="1238" spans="1:14" x14ac:dyDescent="0.25">
      <c r="A1238" s="262">
        <v>26077</v>
      </c>
      <c r="B1238" s="262" t="s">
        <v>947</v>
      </c>
      <c r="C1238" s="262" t="s">
        <v>976</v>
      </c>
      <c r="D1238" s="262">
        <v>-85.525409699999997</v>
      </c>
      <c r="E1238" s="262">
        <v>42.247039999999998</v>
      </c>
      <c r="M1238" s="262">
        <v>10.772505130000001</v>
      </c>
      <c r="N1238" s="262">
        <v>10.772505130000001</v>
      </c>
    </row>
    <row r="1239" spans="1:14" x14ac:dyDescent="0.25">
      <c r="A1239" s="262">
        <v>26079</v>
      </c>
      <c r="B1239" s="262" t="s">
        <v>947</v>
      </c>
      <c r="C1239" s="262" t="s">
        <v>977</v>
      </c>
      <c r="D1239" s="262">
        <v>-85.079254000000006</v>
      </c>
      <c r="E1239" s="262">
        <v>44.688339999999997</v>
      </c>
      <c r="M1239" s="262">
        <v>9.1862338430000001</v>
      </c>
      <c r="N1239" s="262">
        <v>9.1862338430000001</v>
      </c>
    </row>
    <row r="1240" spans="1:14" x14ac:dyDescent="0.25">
      <c r="A1240" s="262">
        <v>26081</v>
      </c>
      <c r="B1240" s="262" t="s">
        <v>947</v>
      </c>
      <c r="C1240" s="262" t="s">
        <v>377</v>
      </c>
      <c r="D1240" s="262">
        <v>-85.545700999999994</v>
      </c>
      <c r="E1240" s="262">
        <v>43.032580000000003</v>
      </c>
      <c r="M1240" s="262">
        <v>10.240561120000001</v>
      </c>
      <c r="N1240" s="262">
        <v>10.240561120000001</v>
      </c>
    </row>
    <row r="1241" spans="1:14" x14ac:dyDescent="0.25">
      <c r="A1241" s="262">
        <v>26083</v>
      </c>
      <c r="B1241" s="262" t="s">
        <v>947</v>
      </c>
      <c r="C1241" s="262" t="s">
        <v>978</v>
      </c>
      <c r="D1241" s="262">
        <v>-88.118338699999995</v>
      </c>
      <c r="E1241" s="262">
        <v>47.356839999999998</v>
      </c>
      <c r="M1241" s="262">
        <v>8.8800381440000002</v>
      </c>
      <c r="N1241" s="262">
        <v>8.8800381440000002</v>
      </c>
    </row>
    <row r="1242" spans="1:14" x14ac:dyDescent="0.25">
      <c r="A1242" s="262">
        <v>26085</v>
      </c>
      <c r="B1242" s="262" t="s">
        <v>947</v>
      </c>
      <c r="C1242" s="262" t="s">
        <v>271</v>
      </c>
      <c r="D1242" s="262">
        <v>-85.804747899999995</v>
      </c>
      <c r="E1242" s="262">
        <v>43.993490000000001</v>
      </c>
      <c r="M1242" s="262">
        <v>9.6353648700000001</v>
      </c>
      <c r="N1242" s="262">
        <v>9.6353648700000001</v>
      </c>
    </row>
    <row r="1243" spans="1:14" x14ac:dyDescent="0.25">
      <c r="A1243" s="262">
        <v>26087</v>
      </c>
      <c r="B1243" s="262" t="s">
        <v>947</v>
      </c>
      <c r="C1243" s="262" t="s">
        <v>979</v>
      </c>
      <c r="D1243" s="262">
        <v>-83.221314000000007</v>
      </c>
      <c r="E1243" s="262">
        <v>43.099110000000003</v>
      </c>
      <c r="M1243" s="262">
        <v>10.08590981</v>
      </c>
      <c r="N1243" s="262">
        <v>10.08590981</v>
      </c>
    </row>
    <row r="1244" spans="1:14" x14ac:dyDescent="0.25">
      <c r="A1244" s="262">
        <v>26089</v>
      </c>
      <c r="B1244" s="262" t="s">
        <v>947</v>
      </c>
      <c r="C1244" s="262" t="s">
        <v>980</v>
      </c>
      <c r="D1244" s="262">
        <v>-85.770045300000007</v>
      </c>
      <c r="E1244" s="262">
        <v>44.920940000000002</v>
      </c>
      <c r="M1244" s="262">
        <v>9.2046514750000004</v>
      </c>
      <c r="N1244" s="262">
        <v>9.2046514750000004</v>
      </c>
    </row>
    <row r="1245" spans="1:14" x14ac:dyDescent="0.25">
      <c r="A1245" s="262">
        <v>26091</v>
      </c>
      <c r="B1245" s="262" t="s">
        <v>947</v>
      </c>
      <c r="C1245" s="262" t="s">
        <v>981</v>
      </c>
      <c r="D1245" s="262">
        <v>-84.066885200000002</v>
      </c>
      <c r="E1245" s="262">
        <v>41.907040000000002</v>
      </c>
      <c r="M1245" s="262">
        <v>10.96029326</v>
      </c>
      <c r="N1245" s="262">
        <v>10.96029326</v>
      </c>
    </row>
    <row r="1246" spans="1:14" x14ac:dyDescent="0.25">
      <c r="A1246" s="262">
        <v>26093</v>
      </c>
      <c r="B1246" s="262" t="s">
        <v>947</v>
      </c>
      <c r="C1246" s="262" t="s">
        <v>603</v>
      </c>
      <c r="D1246" s="262">
        <v>-83.906697699999995</v>
      </c>
      <c r="E1246" s="262">
        <v>42.608919999999998</v>
      </c>
      <c r="M1246" s="262">
        <v>10.3727213</v>
      </c>
      <c r="N1246" s="262">
        <v>10.3727213</v>
      </c>
    </row>
    <row r="1247" spans="1:14" x14ac:dyDescent="0.25">
      <c r="A1247" s="262">
        <v>26095</v>
      </c>
      <c r="B1247" s="262" t="s">
        <v>947</v>
      </c>
      <c r="C1247" s="262" t="s">
        <v>982</v>
      </c>
      <c r="D1247" s="262">
        <v>-85.547082500000002</v>
      </c>
      <c r="E1247" s="262">
        <v>46.466929999999998</v>
      </c>
      <c r="M1247" s="262">
        <v>9.0271029679999994</v>
      </c>
      <c r="N1247" s="262">
        <v>9.0271029679999994</v>
      </c>
    </row>
    <row r="1248" spans="1:14" x14ac:dyDescent="0.25">
      <c r="A1248" s="262">
        <v>26097</v>
      </c>
      <c r="B1248" s="262" t="s">
        <v>947</v>
      </c>
      <c r="C1248" s="262" t="s">
        <v>983</v>
      </c>
      <c r="D1248" s="262">
        <v>-85.121196900000001</v>
      </c>
      <c r="E1248" s="262">
        <v>46.093730000000001</v>
      </c>
      <c r="M1248" s="262">
        <v>9.0505150539999999</v>
      </c>
      <c r="N1248" s="262">
        <v>9.0505150539999999</v>
      </c>
    </row>
    <row r="1249" spans="1:14" x14ac:dyDescent="0.25">
      <c r="A1249" s="262">
        <v>26099</v>
      </c>
      <c r="B1249" s="262" t="s">
        <v>947</v>
      </c>
      <c r="C1249" s="262" t="s">
        <v>984</v>
      </c>
      <c r="D1249" s="262">
        <v>-82.928126800000001</v>
      </c>
      <c r="E1249" s="262">
        <v>42.703449999999997</v>
      </c>
      <c r="M1249" s="262">
        <v>10.34107614</v>
      </c>
      <c r="N1249" s="262">
        <v>10.34107614</v>
      </c>
    </row>
    <row r="1250" spans="1:14" x14ac:dyDescent="0.25">
      <c r="A1250" s="262">
        <v>26101</v>
      </c>
      <c r="B1250" s="262" t="s">
        <v>947</v>
      </c>
      <c r="C1250" s="262" t="s">
        <v>985</v>
      </c>
      <c r="D1250" s="262">
        <v>-86.052505499999995</v>
      </c>
      <c r="E1250" s="262">
        <v>44.337090000000003</v>
      </c>
      <c r="M1250" s="262">
        <v>9.4853892809999998</v>
      </c>
      <c r="N1250" s="262">
        <v>9.4853892809999998</v>
      </c>
    </row>
    <row r="1251" spans="1:14" x14ac:dyDescent="0.25">
      <c r="A1251" s="262">
        <v>26103</v>
      </c>
      <c r="B1251" s="262" t="s">
        <v>947</v>
      </c>
      <c r="C1251" s="262" t="s">
        <v>986</v>
      </c>
      <c r="D1251" s="262">
        <v>-87.648274000000001</v>
      </c>
      <c r="E1251" s="262">
        <v>46.432589999999998</v>
      </c>
      <c r="M1251" s="262">
        <v>9.049596781</v>
      </c>
      <c r="N1251" s="262">
        <v>9.049596781</v>
      </c>
    </row>
    <row r="1252" spans="1:14" x14ac:dyDescent="0.25">
      <c r="A1252" s="262">
        <v>26105</v>
      </c>
      <c r="B1252" s="262" t="s">
        <v>947</v>
      </c>
      <c r="C1252" s="262" t="s">
        <v>608</v>
      </c>
      <c r="D1252" s="262">
        <v>-86.247139399999995</v>
      </c>
      <c r="E1252" s="262">
        <v>43.994489999999999</v>
      </c>
      <c r="M1252" s="262">
        <v>9.7480072920000005</v>
      </c>
      <c r="N1252" s="262">
        <v>9.7480072920000005</v>
      </c>
    </row>
    <row r="1253" spans="1:14" x14ac:dyDescent="0.25">
      <c r="A1253" s="262">
        <v>26107</v>
      </c>
      <c r="B1253" s="262" t="s">
        <v>947</v>
      </c>
      <c r="C1253" s="262" t="s">
        <v>987</v>
      </c>
      <c r="D1253" s="262">
        <v>-85.325538199999997</v>
      </c>
      <c r="E1253" s="262">
        <v>43.64076</v>
      </c>
      <c r="M1253" s="262">
        <v>9.7912068110000003</v>
      </c>
      <c r="N1253" s="262">
        <v>9.7912068110000003</v>
      </c>
    </row>
    <row r="1254" spans="1:14" x14ac:dyDescent="0.25">
      <c r="A1254" s="262">
        <v>26109</v>
      </c>
      <c r="B1254" s="262" t="s">
        <v>947</v>
      </c>
      <c r="C1254" s="262" t="s">
        <v>988</v>
      </c>
      <c r="D1254" s="262">
        <v>-87.566998900000002</v>
      </c>
      <c r="E1254" s="262">
        <v>45.574840000000002</v>
      </c>
      <c r="M1254" s="262">
        <v>9.2680538719999994</v>
      </c>
      <c r="N1254" s="262">
        <v>9.2680538719999994</v>
      </c>
    </row>
    <row r="1255" spans="1:14" x14ac:dyDescent="0.25">
      <c r="A1255" s="262">
        <v>26111</v>
      </c>
      <c r="B1255" s="262" t="s">
        <v>947</v>
      </c>
      <c r="C1255" s="262" t="s">
        <v>989</v>
      </c>
      <c r="D1255" s="262">
        <v>-84.383921599999994</v>
      </c>
      <c r="E1255" s="262">
        <v>43.647910000000003</v>
      </c>
      <c r="M1255" s="262">
        <v>9.7370061549999996</v>
      </c>
      <c r="N1255" s="262">
        <v>9.7370061549999996</v>
      </c>
    </row>
    <row r="1256" spans="1:14" x14ac:dyDescent="0.25">
      <c r="A1256" s="262">
        <v>26113</v>
      </c>
      <c r="B1256" s="262" t="s">
        <v>947</v>
      </c>
      <c r="C1256" s="262" t="s">
        <v>990</v>
      </c>
      <c r="D1256" s="262">
        <v>-85.081367499999999</v>
      </c>
      <c r="E1256" s="262">
        <v>44.341200000000001</v>
      </c>
      <c r="M1256" s="262">
        <v>9.3120841920000004</v>
      </c>
      <c r="N1256" s="262">
        <v>9.3120841920000004</v>
      </c>
    </row>
    <row r="1257" spans="1:14" x14ac:dyDescent="0.25">
      <c r="A1257" s="262">
        <v>26115</v>
      </c>
      <c r="B1257" s="262" t="s">
        <v>947</v>
      </c>
      <c r="C1257" s="262" t="s">
        <v>162</v>
      </c>
      <c r="D1257" s="262">
        <v>-83.537148200000004</v>
      </c>
      <c r="E1257" s="262">
        <v>41.94229</v>
      </c>
      <c r="M1257" s="262">
        <v>10.970863489999999</v>
      </c>
      <c r="N1257" s="262">
        <v>10.970863489999999</v>
      </c>
    </row>
    <row r="1258" spans="1:14" x14ac:dyDescent="0.25">
      <c r="A1258" s="262">
        <v>26117</v>
      </c>
      <c r="B1258" s="262" t="s">
        <v>947</v>
      </c>
      <c r="C1258" s="262" t="s">
        <v>991</v>
      </c>
      <c r="D1258" s="262">
        <v>-85.154048200000005</v>
      </c>
      <c r="E1258" s="262">
        <v>43.311</v>
      </c>
      <c r="M1258" s="262">
        <v>9.9832378869999996</v>
      </c>
      <c r="N1258" s="262">
        <v>9.9832378869999996</v>
      </c>
    </row>
    <row r="1259" spans="1:14" x14ac:dyDescent="0.25">
      <c r="A1259" s="262">
        <v>26119</v>
      </c>
      <c r="B1259" s="262" t="s">
        <v>947</v>
      </c>
      <c r="C1259" s="262" t="s">
        <v>992</v>
      </c>
      <c r="D1259" s="262">
        <v>-84.120965100000006</v>
      </c>
      <c r="E1259" s="262">
        <v>45.029110000000003</v>
      </c>
      <c r="M1259" s="262">
        <v>9.2242575290000008</v>
      </c>
      <c r="N1259" s="262">
        <v>9.2242575290000008</v>
      </c>
    </row>
    <row r="1260" spans="1:14" x14ac:dyDescent="0.25">
      <c r="A1260" s="262">
        <v>26121</v>
      </c>
      <c r="B1260" s="262" t="s">
        <v>947</v>
      </c>
      <c r="C1260" s="262" t="s">
        <v>993</v>
      </c>
      <c r="D1260" s="262">
        <v>-86.136994000000001</v>
      </c>
      <c r="E1260" s="262">
        <v>43.287869999999998</v>
      </c>
      <c r="M1260" s="262">
        <v>10.227173219999999</v>
      </c>
      <c r="N1260" s="262">
        <v>10.227173219999999</v>
      </c>
    </row>
    <row r="1261" spans="1:14" x14ac:dyDescent="0.25">
      <c r="A1261" s="262">
        <v>26123</v>
      </c>
      <c r="B1261" s="262" t="s">
        <v>947</v>
      </c>
      <c r="C1261" s="262" t="s">
        <v>994</v>
      </c>
      <c r="D1261" s="262">
        <v>-85.804728499999996</v>
      </c>
      <c r="E1261" s="262">
        <v>43.55359</v>
      </c>
      <c r="M1261" s="262">
        <v>9.9570140340000002</v>
      </c>
      <c r="N1261" s="262">
        <v>9.9570140340000002</v>
      </c>
    </row>
    <row r="1262" spans="1:14" x14ac:dyDescent="0.25">
      <c r="A1262" s="262">
        <v>26125</v>
      </c>
      <c r="B1262" s="262" t="s">
        <v>947</v>
      </c>
      <c r="C1262" s="262" t="s">
        <v>995</v>
      </c>
      <c r="D1262" s="262">
        <v>-83.382444100000001</v>
      </c>
      <c r="E1262" s="262">
        <v>42.667729999999999</v>
      </c>
      <c r="M1262" s="262">
        <v>10.353799779999999</v>
      </c>
      <c r="N1262" s="262">
        <v>10.353799779999999</v>
      </c>
    </row>
    <row r="1263" spans="1:14" x14ac:dyDescent="0.25">
      <c r="A1263" s="262">
        <v>26127</v>
      </c>
      <c r="B1263" s="262" t="s">
        <v>947</v>
      </c>
      <c r="C1263" s="262" t="s">
        <v>996</v>
      </c>
      <c r="D1263" s="262">
        <v>-86.254418700000002</v>
      </c>
      <c r="E1263" s="262">
        <v>43.636760000000002</v>
      </c>
      <c r="M1263" s="262">
        <v>10.00398751</v>
      </c>
      <c r="N1263" s="262">
        <v>10.00398751</v>
      </c>
    </row>
    <row r="1264" spans="1:14" x14ac:dyDescent="0.25">
      <c r="A1264" s="262">
        <v>26129</v>
      </c>
      <c r="B1264" s="262" t="s">
        <v>947</v>
      </c>
      <c r="C1264" s="262" t="s">
        <v>997</v>
      </c>
      <c r="D1264" s="262">
        <v>-84.121663100000006</v>
      </c>
      <c r="E1264" s="262">
        <v>44.339820000000003</v>
      </c>
      <c r="M1264" s="262">
        <v>9.4349226880000003</v>
      </c>
      <c r="N1264" s="262">
        <v>9.4349226880000003</v>
      </c>
    </row>
    <row r="1265" spans="1:14" x14ac:dyDescent="0.25">
      <c r="A1265" s="262">
        <v>26131</v>
      </c>
      <c r="B1265" s="262" t="s">
        <v>947</v>
      </c>
      <c r="C1265" s="262" t="s">
        <v>998</v>
      </c>
      <c r="D1265" s="262">
        <v>-89.319719500000005</v>
      </c>
      <c r="E1265" s="262">
        <v>46.664200000000001</v>
      </c>
      <c r="M1265" s="262">
        <v>8.8312751110000001</v>
      </c>
      <c r="N1265" s="262">
        <v>8.8312751110000001</v>
      </c>
    </row>
    <row r="1266" spans="1:14" x14ac:dyDescent="0.25">
      <c r="A1266" s="262">
        <v>26133</v>
      </c>
      <c r="B1266" s="262" t="s">
        <v>947</v>
      </c>
      <c r="C1266" s="262" t="s">
        <v>417</v>
      </c>
      <c r="D1266" s="262">
        <v>-85.323445300000003</v>
      </c>
      <c r="E1266" s="262">
        <v>43.991340000000001</v>
      </c>
      <c r="M1266" s="262">
        <v>9.542390803</v>
      </c>
      <c r="N1266" s="262">
        <v>9.542390803</v>
      </c>
    </row>
    <row r="1267" spans="1:14" x14ac:dyDescent="0.25">
      <c r="A1267" s="262">
        <v>26135</v>
      </c>
      <c r="B1267" s="262" t="s">
        <v>947</v>
      </c>
      <c r="C1267" s="262" t="s">
        <v>999</v>
      </c>
      <c r="D1267" s="262">
        <v>-84.125182499999994</v>
      </c>
      <c r="E1267" s="262">
        <v>44.683540000000001</v>
      </c>
      <c r="M1267" s="262">
        <v>9.3144523269999997</v>
      </c>
      <c r="N1267" s="262">
        <v>9.3144523269999997</v>
      </c>
    </row>
    <row r="1268" spans="1:14" x14ac:dyDescent="0.25">
      <c r="A1268" s="262">
        <v>26137</v>
      </c>
      <c r="B1268" s="262" t="s">
        <v>947</v>
      </c>
      <c r="C1268" s="262" t="s">
        <v>1000</v>
      </c>
      <c r="D1268" s="262">
        <v>-84.593541799999997</v>
      </c>
      <c r="E1268" s="262">
        <v>45.0182</v>
      </c>
      <c r="M1268" s="262">
        <v>9.1722883189999997</v>
      </c>
      <c r="N1268" s="262">
        <v>9.1722883189999997</v>
      </c>
    </row>
    <row r="1269" spans="1:14" x14ac:dyDescent="0.25">
      <c r="A1269" s="262">
        <v>26139</v>
      </c>
      <c r="B1269" s="262" t="s">
        <v>947</v>
      </c>
      <c r="C1269" s="262" t="s">
        <v>760</v>
      </c>
      <c r="D1269" s="262">
        <v>-85.9867591</v>
      </c>
      <c r="E1269" s="262">
        <v>42.961539999999999</v>
      </c>
      <c r="M1269" s="262">
        <v>10.407431150000001</v>
      </c>
      <c r="N1269" s="262">
        <v>10.407431150000001</v>
      </c>
    </row>
    <row r="1270" spans="1:14" x14ac:dyDescent="0.25">
      <c r="A1270" s="262">
        <v>26141</v>
      </c>
      <c r="B1270" s="262" t="s">
        <v>947</v>
      </c>
      <c r="C1270" s="262" t="s">
        <v>1001</v>
      </c>
      <c r="D1270" s="262">
        <v>-83.914831699999993</v>
      </c>
      <c r="E1270" s="262">
        <v>45.345529999999997</v>
      </c>
      <c r="M1270" s="262">
        <v>9.1792184159999994</v>
      </c>
      <c r="N1270" s="262">
        <v>9.1792184159999994</v>
      </c>
    </row>
    <row r="1271" spans="1:14" x14ac:dyDescent="0.25">
      <c r="A1271" s="262">
        <v>26143</v>
      </c>
      <c r="B1271" s="262" t="s">
        <v>947</v>
      </c>
      <c r="C1271" s="262" t="s">
        <v>1002</v>
      </c>
      <c r="D1271" s="262">
        <v>-84.597214399999999</v>
      </c>
      <c r="E1271" s="262">
        <v>44.336919999999999</v>
      </c>
      <c r="M1271" s="262">
        <v>9.3769823389999996</v>
      </c>
      <c r="N1271" s="262">
        <v>9.3769823389999996</v>
      </c>
    </row>
    <row r="1272" spans="1:14" x14ac:dyDescent="0.25">
      <c r="A1272" s="262">
        <v>26145</v>
      </c>
      <c r="B1272" s="262" t="s">
        <v>947</v>
      </c>
      <c r="C1272" s="262" t="s">
        <v>1003</v>
      </c>
      <c r="D1272" s="262">
        <v>-84.049988499999998</v>
      </c>
      <c r="E1272" s="262">
        <v>43.337609999999998</v>
      </c>
      <c r="M1272" s="262">
        <v>9.9133787180000006</v>
      </c>
      <c r="N1272" s="262">
        <v>9.9133787180000006</v>
      </c>
    </row>
    <row r="1273" spans="1:14" x14ac:dyDescent="0.25">
      <c r="A1273" s="262">
        <v>26147</v>
      </c>
      <c r="B1273" s="262" t="s">
        <v>947</v>
      </c>
      <c r="C1273" s="262" t="s">
        <v>170</v>
      </c>
      <c r="D1273" s="262">
        <v>-82.698564500000003</v>
      </c>
      <c r="E1273" s="262">
        <v>42.957819999999998</v>
      </c>
      <c r="M1273" s="262">
        <v>10.17441895</v>
      </c>
      <c r="N1273" s="262">
        <v>10.17441895</v>
      </c>
    </row>
    <row r="1274" spans="1:14" x14ac:dyDescent="0.25">
      <c r="A1274" s="262">
        <v>26149</v>
      </c>
      <c r="B1274" s="262" t="s">
        <v>947</v>
      </c>
      <c r="C1274" s="262" t="s">
        <v>658</v>
      </c>
      <c r="D1274" s="262">
        <v>-85.526598399999997</v>
      </c>
      <c r="E1274" s="262">
        <v>41.927030000000002</v>
      </c>
      <c r="M1274" s="262">
        <v>10.990001940000001</v>
      </c>
      <c r="N1274" s="262">
        <v>10.990001940000001</v>
      </c>
    </row>
    <row r="1275" spans="1:14" x14ac:dyDescent="0.25">
      <c r="A1275" s="262">
        <v>26151</v>
      </c>
      <c r="B1275" s="262" t="s">
        <v>947</v>
      </c>
      <c r="C1275" s="262" t="s">
        <v>1004</v>
      </c>
      <c r="D1275" s="262">
        <v>-82.821027099999995</v>
      </c>
      <c r="E1275" s="262">
        <v>43.42783</v>
      </c>
      <c r="M1275" s="262">
        <v>9.9153138839999997</v>
      </c>
      <c r="N1275" s="262">
        <v>9.9153138839999997</v>
      </c>
    </row>
    <row r="1276" spans="1:14" x14ac:dyDescent="0.25">
      <c r="A1276" s="262">
        <v>26153</v>
      </c>
      <c r="B1276" s="262" t="s">
        <v>947</v>
      </c>
      <c r="C1276" s="262" t="s">
        <v>1005</v>
      </c>
      <c r="D1276" s="262">
        <v>-86.213792999999995</v>
      </c>
      <c r="E1276" s="262">
        <v>46.196460000000002</v>
      </c>
      <c r="M1276" s="262">
        <v>9.0673259510000008</v>
      </c>
      <c r="N1276" s="262">
        <v>9.0673259510000008</v>
      </c>
    </row>
    <row r="1277" spans="1:14" x14ac:dyDescent="0.25">
      <c r="A1277" s="262">
        <v>26155</v>
      </c>
      <c r="B1277" s="262" t="s">
        <v>947</v>
      </c>
      <c r="C1277" s="262" t="s">
        <v>1006</v>
      </c>
      <c r="D1277" s="262">
        <v>-84.138171299999996</v>
      </c>
      <c r="E1277" s="262">
        <v>42.957520000000002</v>
      </c>
      <c r="M1277" s="262">
        <v>10.132300000000001</v>
      </c>
      <c r="N1277" s="262">
        <v>10.132300000000001</v>
      </c>
    </row>
    <row r="1278" spans="1:14" x14ac:dyDescent="0.25">
      <c r="A1278" s="262">
        <v>26157</v>
      </c>
      <c r="B1278" s="262" t="s">
        <v>947</v>
      </c>
      <c r="C1278" s="262" t="s">
        <v>1007</v>
      </c>
      <c r="D1278" s="262">
        <v>-83.415215599999996</v>
      </c>
      <c r="E1278" s="262">
        <v>43.471200000000003</v>
      </c>
      <c r="M1278" s="262">
        <v>9.8700048119999995</v>
      </c>
      <c r="N1278" s="262">
        <v>9.8700048119999995</v>
      </c>
    </row>
    <row r="1279" spans="1:14" x14ac:dyDescent="0.25">
      <c r="A1279" s="262">
        <v>26159</v>
      </c>
      <c r="B1279" s="262" t="s">
        <v>947</v>
      </c>
      <c r="C1279" s="262" t="s">
        <v>250</v>
      </c>
      <c r="D1279" s="262">
        <v>-86.014811699999996</v>
      </c>
      <c r="E1279" s="262">
        <v>42.249079999999999</v>
      </c>
      <c r="M1279" s="262">
        <v>10.857604220000001</v>
      </c>
      <c r="N1279" s="262">
        <v>10.857604220000001</v>
      </c>
    </row>
    <row r="1280" spans="1:14" x14ac:dyDescent="0.25">
      <c r="A1280" s="262">
        <v>26161</v>
      </c>
      <c r="B1280" s="262" t="s">
        <v>947</v>
      </c>
      <c r="C1280" s="262" t="s">
        <v>1008</v>
      </c>
      <c r="D1280" s="262">
        <v>-83.835411500000006</v>
      </c>
      <c r="E1280" s="262">
        <v>42.260440000000003</v>
      </c>
      <c r="M1280" s="262">
        <v>10.66112309</v>
      </c>
      <c r="N1280" s="262">
        <v>10.66112309</v>
      </c>
    </row>
    <row r="1281" spans="1:14" x14ac:dyDescent="0.25">
      <c r="A1281" s="262">
        <v>26163</v>
      </c>
      <c r="B1281" s="262" t="s">
        <v>947</v>
      </c>
      <c r="C1281" s="262" t="s">
        <v>534</v>
      </c>
      <c r="D1281" s="262">
        <v>-83.285900600000005</v>
      </c>
      <c r="E1281" s="262">
        <v>42.295369999999998</v>
      </c>
      <c r="M1281" s="262">
        <v>10.648578029999999</v>
      </c>
      <c r="N1281" s="262">
        <v>10.648578029999999</v>
      </c>
    </row>
    <row r="1282" spans="1:14" x14ac:dyDescent="0.25">
      <c r="A1282" s="262">
        <v>26165</v>
      </c>
      <c r="B1282" s="262" t="s">
        <v>947</v>
      </c>
      <c r="C1282" s="262" t="s">
        <v>1009</v>
      </c>
      <c r="D1282" s="262">
        <v>-85.571231499999996</v>
      </c>
      <c r="E1282" s="262">
        <v>44.343389999999999</v>
      </c>
      <c r="M1282" s="262">
        <v>9.3430881140000004</v>
      </c>
      <c r="N1282" s="262">
        <v>9.3430881140000004</v>
      </c>
    </row>
    <row r="1283" spans="1:14" x14ac:dyDescent="0.25">
      <c r="A1283" s="262">
        <v>27001</v>
      </c>
      <c r="B1283" s="262" t="s">
        <v>1010</v>
      </c>
      <c r="C1283" s="262" t="s">
        <v>1011</v>
      </c>
      <c r="D1283" s="262">
        <v>-93.405605300000005</v>
      </c>
      <c r="E1283" s="262">
        <v>46.607680000000002</v>
      </c>
      <c r="M1283" s="262">
        <v>8.5029257860000005</v>
      </c>
      <c r="N1283" s="262">
        <v>8.5029257860000005</v>
      </c>
    </row>
    <row r="1284" spans="1:14" x14ac:dyDescent="0.25">
      <c r="A1284" s="262">
        <v>27003</v>
      </c>
      <c r="B1284" s="262" t="s">
        <v>1010</v>
      </c>
      <c r="C1284" s="262" t="s">
        <v>1012</v>
      </c>
      <c r="D1284" s="262">
        <v>-93.248793699999993</v>
      </c>
      <c r="E1284" s="262">
        <v>45.283540000000002</v>
      </c>
      <c r="M1284" s="262">
        <v>9.3226057900000008</v>
      </c>
      <c r="N1284" s="262">
        <v>9.3226057900000008</v>
      </c>
    </row>
    <row r="1285" spans="1:14" x14ac:dyDescent="0.25">
      <c r="A1285" s="262">
        <v>27005</v>
      </c>
      <c r="B1285" s="262" t="s">
        <v>1010</v>
      </c>
      <c r="C1285" s="262" t="s">
        <v>1013</v>
      </c>
      <c r="D1285" s="262">
        <v>-95.658574200000004</v>
      </c>
      <c r="E1285" s="262">
        <v>46.935049999999997</v>
      </c>
      <c r="M1285" s="262">
        <v>9.00897054</v>
      </c>
      <c r="N1285" s="262">
        <v>9.00897054</v>
      </c>
    </row>
    <row r="1286" spans="1:14" x14ac:dyDescent="0.25">
      <c r="A1286" s="262">
        <v>27007</v>
      </c>
      <c r="B1286" s="262" t="s">
        <v>1010</v>
      </c>
      <c r="C1286" s="262" t="s">
        <v>1014</v>
      </c>
      <c r="D1286" s="262">
        <v>-94.915595499999995</v>
      </c>
      <c r="E1286" s="262">
        <v>47.96752</v>
      </c>
      <c r="M1286" s="262">
        <v>8.5315080380000001</v>
      </c>
      <c r="N1286" s="262">
        <v>8.5315080380000001</v>
      </c>
    </row>
    <row r="1287" spans="1:14" x14ac:dyDescent="0.25">
      <c r="A1287" s="262">
        <v>27009</v>
      </c>
      <c r="B1287" s="262" t="s">
        <v>1010</v>
      </c>
      <c r="C1287" s="262" t="s">
        <v>200</v>
      </c>
      <c r="D1287" s="262">
        <v>-94.005472600000004</v>
      </c>
      <c r="E1287" s="262">
        <v>45.712890000000002</v>
      </c>
      <c r="M1287" s="262">
        <v>9.1196631329999995</v>
      </c>
      <c r="N1287" s="262">
        <v>9.1196631329999995</v>
      </c>
    </row>
    <row r="1288" spans="1:14" x14ac:dyDescent="0.25">
      <c r="A1288" s="262">
        <v>27011</v>
      </c>
      <c r="B1288" s="262" t="s">
        <v>1010</v>
      </c>
      <c r="C1288" s="262" t="s">
        <v>1015</v>
      </c>
      <c r="D1288" s="262">
        <v>-96.390843200000006</v>
      </c>
      <c r="E1288" s="262">
        <v>45.426929999999999</v>
      </c>
      <c r="M1288" s="262">
        <v>9.7860986019999991</v>
      </c>
      <c r="N1288" s="262">
        <v>9.7860986019999991</v>
      </c>
    </row>
    <row r="1289" spans="1:14" x14ac:dyDescent="0.25">
      <c r="A1289" s="262">
        <v>27013</v>
      </c>
      <c r="B1289" s="262" t="s">
        <v>1010</v>
      </c>
      <c r="C1289" s="262" t="s">
        <v>1016</v>
      </c>
      <c r="D1289" s="262">
        <v>-94.073673099999993</v>
      </c>
      <c r="E1289" s="262">
        <v>44.049019999999999</v>
      </c>
      <c r="M1289" s="262">
        <v>10.098770529999999</v>
      </c>
      <c r="N1289" s="262">
        <v>10.098770529999999</v>
      </c>
    </row>
    <row r="1290" spans="1:14" x14ac:dyDescent="0.25">
      <c r="A1290" s="262">
        <v>27015</v>
      </c>
      <c r="B1290" s="262" t="s">
        <v>1010</v>
      </c>
      <c r="C1290" s="262" t="s">
        <v>578</v>
      </c>
      <c r="D1290" s="262">
        <v>-94.725753800000007</v>
      </c>
      <c r="E1290" s="262">
        <v>44.254300000000001</v>
      </c>
      <c r="M1290" s="262">
        <v>10.050776539999999</v>
      </c>
      <c r="N1290" s="262">
        <v>10.050776539999999</v>
      </c>
    </row>
    <row r="1291" spans="1:14" x14ac:dyDescent="0.25">
      <c r="A1291" s="262">
        <v>27017</v>
      </c>
      <c r="B1291" s="262" t="s">
        <v>1010</v>
      </c>
      <c r="C1291" s="262" t="s">
        <v>1017</v>
      </c>
      <c r="D1291" s="262">
        <v>-92.670672499999995</v>
      </c>
      <c r="E1291" s="262">
        <v>46.594790000000003</v>
      </c>
      <c r="M1291" s="262">
        <v>8.3053736469999997</v>
      </c>
      <c r="N1291" s="262">
        <v>8.3053736469999997</v>
      </c>
    </row>
    <row r="1292" spans="1:14" x14ac:dyDescent="0.25">
      <c r="A1292" s="262">
        <v>27019</v>
      </c>
      <c r="B1292" s="262" t="s">
        <v>1010</v>
      </c>
      <c r="C1292" s="262" t="s">
        <v>1018</v>
      </c>
      <c r="D1292" s="262">
        <v>-93.804796899999999</v>
      </c>
      <c r="E1292" s="262">
        <v>44.831400000000002</v>
      </c>
      <c r="M1292" s="262">
        <v>9.6814864069999995</v>
      </c>
      <c r="N1292" s="262">
        <v>9.6814864069999995</v>
      </c>
    </row>
    <row r="1293" spans="1:14" x14ac:dyDescent="0.25">
      <c r="A1293" s="262">
        <v>27021</v>
      </c>
      <c r="B1293" s="262" t="s">
        <v>1010</v>
      </c>
      <c r="C1293" s="262" t="s">
        <v>580</v>
      </c>
      <c r="D1293" s="262">
        <v>-94.315509300000002</v>
      </c>
      <c r="E1293" s="262">
        <v>46.957259999999998</v>
      </c>
      <c r="M1293" s="262">
        <v>8.6027991890000006</v>
      </c>
      <c r="N1293" s="262">
        <v>8.6027991890000006</v>
      </c>
    </row>
    <row r="1294" spans="1:14" x14ac:dyDescent="0.25">
      <c r="A1294" s="262">
        <v>27023</v>
      </c>
      <c r="B1294" s="262" t="s">
        <v>1010</v>
      </c>
      <c r="C1294" s="262" t="s">
        <v>960</v>
      </c>
      <c r="D1294" s="262">
        <v>-95.561195100000006</v>
      </c>
      <c r="E1294" s="262">
        <v>45.026899999999998</v>
      </c>
      <c r="M1294" s="262">
        <v>9.7772522570000007</v>
      </c>
      <c r="N1294" s="262">
        <v>9.7772522570000007</v>
      </c>
    </row>
    <row r="1295" spans="1:14" x14ac:dyDescent="0.25">
      <c r="A1295" s="262">
        <v>27025</v>
      </c>
      <c r="B1295" s="262" t="s">
        <v>1010</v>
      </c>
      <c r="C1295" s="262" t="s">
        <v>1019</v>
      </c>
      <c r="D1295" s="262">
        <v>-92.918651999999994</v>
      </c>
      <c r="E1295" s="262">
        <v>45.511339999999997</v>
      </c>
      <c r="M1295" s="262">
        <v>9.0772051830000002</v>
      </c>
      <c r="N1295" s="262">
        <v>9.0772051830000002</v>
      </c>
    </row>
    <row r="1296" spans="1:14" x14ac:dyDescent="0.25">
      <c r="A1296" s="262">
        <v>27027</v>
      </c>
      <c r="B1296" s="262" t="s">
        <v>1010</v>
      </c>
      <c r="C1296" s="262" t="s">
        <v>126</v>
      </c>
      <c r="D1296" s="262">
        <v>-96.473547600000003</v>
      </c>
      <c r="E1296" s="262">
        <v>46.893479999999997</v>
      </c>
      <c r="M1296" s="262">
        <v>9.2207951940000008</v>
      </c>
      <c r="N1296" s="262">
        <v>9.2207951940000008</v>
      </c>
    </row>
    <row r="1297" spans="1:14" x14ac:dyDescent="0.25">
      <c r="A1297" s="262">
        <v>27029</v>
      </c>
      <c r="B1297" s="262" t="s">
        <v>1010</v>
      </c>
      <c r="C1297" s="262" t="s">
        <v>556</v>
      </c>
      <c r="D1297" s="262">
        <v>-95.3690091</v>
      </c>
      <c r="E1297" s="262">
        <v>47.580030000000001</v>
      </c>
      <c r="M1297" s="262">
        <v>8.7465657239999999</v>
      </c>
      <c r="N1297" s="262">
        <v>8.7465657239999999</v>
      </c>
    </row>
    <row r="1298" spans="1:14" x14ac:dyDescent="0.25">
      <c r="A1298" s="262">
        <v>27031</v>
      </c>
      <c r="B1298" s="262" t="s">
        <v>1010</v>
      </c>
      <c r="C1298" s="262" t="s">
        <v>459</v>
      </c>
      <c r="D1298" s="262">
        <v>-90.5091185</v>
      </c>
      <c r="E1298" s="262">
        <v>47.903860000000002</v>
      </c>
      <c r="M1298" s="262">
        <v>8.3885531199999992</v>
      </c>
      <c r="N1298" s="262">
        <v>8.3885531199999992</v>
      </c>
    </row>
    <row r="1299" spans="1:14" x14ac:dyDescent="0.25">
      <c r="A1299" s="262">
        <v>27033</v>
      </c>
      <c r="B1299" s="262" t="s">
        <v>1010</v>
      </c>
      <c r="C1299" s="262" t="s">
        <v>1020</v>
      </c>
      <c r="D1299" s="262">
        <v>-95.189435000000003</v>
      </c>
      <c r="E1299" s="262">
        <v>44.019779999999997</v>
      </c>
      <c r="M1299" s="262">
        <v>10.230486450000001</v>
      </c>
      <c r="N1299" s="262">
        <v>10.230486450000001</v>
      </c>
    </row>
    <row r="1300" spans="1:14" x14ac:dyDescent="0.25">
      <c r="A1300" s="262">
        <v>27035</v>
      </c>
      <c r="B1300" s="262" t="s">
        <v>1010</v>
      </c>
      <c r="C1300" s="262" t="s">
        <v>1021</v>
      </c>
      <c r="D1300" s="262">
        <v>-94.070072499999995</v>
      </c>
      <c r="E1300" s="262">
        <v>46.481319999999997</v>
      </c>
      <c r="M1300" s="262">
        <v>8.7388630000000003</v>
      </c>
      <c r="N1300" s="262">
        <v>8.7388630000000003</v>
      </c>
    </row>
    <row r="1301" spans="1:14" x14ac:dyDescent="0.25">
      <c r="A1301" s="262">
        <v>27037</v>
      </c>
      <c r="B1301" s="262" t="s">
        <v>1010</v>
      </c>
      <c r="C1301" s="262" t="s">
        <v>1022</v>
      </c>
      <c r="D1301" s="262">
        <v>-93.068927900000006</v>
      </c>
      <c r="E1301" s="262">
        <v>44.683909999999997</v>
      </c>
      <c r="M1301" s="262">
        <v>9.7774195440000007</v>
      </c>
      <c r="N1301" s="262">
        <v>9.7774195440000007</v>
      </c>
    </row>
    <row r="1302" spans="1:14" x14ac:dyDescent="0.25">
      <c r="A1302" s="262">
        <v>27039</v>
      </c>
      <c r="B1302" s="262" t="s">
        <v>1010</v>
      </c>
      <c r="C1302" s="262" t="s">
        <v>465</v>
      </c>
      <c r="D1302" s="262">
        <v>-92.862674499999997</v>
      </c>
      <c r="E1302" s="262">
        <v>44.030439999999999</v>
      </c>
      <c r="M1302" s="262">
        <v>9.9068885430000009</v>
      </c>
      <c r="N1302" s="262">
        <v>9.9068885430000009</v>
      </c>
    </row>
    <row r="1303" spans="1:14" x14ac:dyDescent="0.25">
      <c r="A1303" s="262">
        <v>27041</v>
      </c>
      <c r="B1303" s="262" t="s">
        <v>1010</v>
      </c>
      <c r="C1303" s="262" t="s">
        <v>330</v>
      </c>
      <c r="D1303" s="262">
        <v>-95.452628000000004</v>
      </c>
      <c r="E1303" s="262">
        <v>45.93967</v>
      </c>
      <c r="M1303" s="262">
        <v>9.3370389740000004</v>
      </c>
      <c r="N1303" s="262">
        <v>9.3370389740000004</v>
      </c>
    </row>
    <row r="1304" spans="1:14" x14ac:dyDescent="0.25">
      <c r="A1304" s="262">
        <v>27043</v>
      </c>
      <c r="B1304" s="262" t="s">
        <v>1010</v>
      </c>
      <c r="C1304" s="262" t="s">
        <v>1023</v>
      </c>
      <c r="D1304" s="262">
        <v>-93.9558581</v>
      </c>
      <c r="E1304" s="262">
        <v>43.684229999999999</v>
      </c>
      <c r="M1304" s="262">
        <v>10.270894330000001</v>
      </c>
      <c r="N1304" s="262">
        <v>10.270894330000001</v>
      </c>
    </row>
    <row r="1305" spans="1:14" x14ac:dyDescent="0.25">
      <c r="A1305" s="262">
        <v>27045</v>
      </c>
      <c r="B1305" s="262" t="s">
        <v>1010</v>
      </c>
      <c r="C1305" s="262" t="s">
        <v>1024</v>
      </c>
      <c r="D1305" s="262">
        <v>-92.090991099999997</v>
      </c>
      <c r="E1305" s="262">
        <v>43.683190000000003</v>
      </c>
      <c r="M1305" s="262">
        <v>9.9288037780000007</v>
      </c>
      <c r="N1305" s="262">
        <v>9.9288037780000007</v>
      </c>
    </row>
    <row r="1306" spans="1:14" x14ac:dyDescent="0.25">
      <c r="A1306" s="262">
        <v>27047</v>
      </c>
      <c r="B1306" s="262" t="s">
        <v>1010</v>
      </c>
      <c r="C1306" s="262" t="s">
        <v>1025</v>
      </c>
      <c r="D1306" s="262">
        <v>-93.352887699999997</v>
      </c>
      <c r="E1306" s="262">
        <v>43.684869999999997</v>
      </c>
      <c r="M1306" s="262">
        <v>10.140160870000001</v>
      </c>
      <c r="N1306" s="262">
        <v>10.140160870000001</v>
      </c>
    </row>
    <row r="1307" spans="1:14" x14ac:dyDescent="0.25">
      <c r="A1307" s="262">
        <v>27049</v>
      </c>
      <c r="B1307" s="262" t="s">
        <v>1010</v>
      </c>
      <c r="C1307" s="262" t="s">
        <v>1026</v>
      </c>
      <c r="D1307" s="262">
        <v>-92.727177100000006</v>
      </c>
      <c r="E1307" s="262">
        <v>44.417949999999998</v>
      </c>
      <c r="M1307" s="262">
        <v>9.7691242129999996</v>
      </c>
      <c r="N1307" s="262">
        <v>9.7691242129999996</v>
      </c>
    </row>
    <row r="1308" spans="1:14" x14ac:dyDescent="0.25">
      <c r="A1308" s="262">
        <v>27051</v>
      </c>
      <c r="B1308" s="262" t="s">
        <v>1010</v>
      </c>
      <c r="C1308" s="262" t="s">
        <v>218</v>
      </c>
      <c r="D1308" s="262">
        <v>-96.004986799999998</v>
      </c>
      <c r="E1308" s="262">
        <v>45.939810000000001</v>
      </c>
      <c r="M1308" s="262">
        <v>9.4731687309999995</v>
      </c>
      <c r="N1308" s="262">
        <v>9.4731687309999995</v>
      </c>
    </row>
    <row r="1309" spans="1:14" x14ac:dyDescent="0.25">
      <c r="A1309" s="262">
        <v>27053</v>
      </c>
      <c r="B1309" s="262" t="s">
        <v>1010</v>
      </c>
      <c r="C1309" s="262" t="s">
        <v>1027</v>
      </c>
      <c r="D1309" s="262">
        <v>-93.478741200000002</v>
      </c>
      <c r="E1309" s="262">
        <v>45.016010000000001</v>
      </c>
      <c r="M1309" s="262">
        <v>9.5604809520000007</v>
      </c>
      <c r="N1309" s="262">
        <v>9.5604809520000007</v>
      </c>
    </row>
    <row r="1310" spans="1:14" x14ac:dyDescent="0.25">
      <c r="A1310" s="262">
        <v>27055</v>
      </c>
      <c r="B1310" s="262" t="s">
        <v>1010</v>
      </c>
      <c r="C1310" s="262" t="s">
        <v>147</v>
      </c>
      <c r="D1310" s="262">
        <v>-91.485801899999998</v>
      </c>
      <c r="E1310" s="262">
        <v>43.680320000000002</v>
      </c>
      <c r="M1310" s="262">
        <v>10.077933160000001</v>
      </c>
      <c r="N1310" s="262">
        <v>10.077933160000001</v>
      </c>
    </row>
    <row r="1311" spans="1:14" x14ac:dyDescent="0.25">
      <c r="A1311" s="262">
        <v>27057</v>
      </c>
      <c r="B1311" s="262" t="s">
        <v>1010</v>
      </c>
      <c r="C1311" s="262" t="s">
        <v>1028</v>
      </c>
      <c r="D1311" s="262">
        <v>-94.907452899999996</v>
      </c>
      <c r="E1311" s="262">
        <v>47.105510000000002</v>
      </c>
      <c r="M1311" s="262">
        <v>8.7363650120000003</v>
      </c>
      <c r="N1311" s="262">
        <v>8.7363650120000003</v>
      </c>
    </row>
    <row r="1312" spans="1:14" x14ac:dyDescent="0.25">
      <c r="A1312" s="262">
        <v>27059</v>
      </c>
      <c r="B1312" s="262" t="s">
        <v>1010</v>
      </c>
      <c r="C1312" s="262" t="s">
        <v>1029</v>
      </c>
      <c r="D1312" s="262">
        <v>-93.294431399999993</v>
      </c>
      <c r="E1312" s="262">
        <v>45.573279999999997</v>
      </c>
      <c r="M1312" s="262">
        <v>9.1071569859999997</v>
      </c>
      <c r="N1312" s="262">
        <v>9.1071569859999997</v>
      </c>
    </row>
    <row r="1313" spans="1:14" x14ac:dyDescent="0.25">
      <c r="A1313" s="262">
        <v>27061</v>
      </c>
      <c r="B1313" s="262" t="s">
        <v>1010</v>
      </c>
      <c r="C1313" s="262" t="s">
        <v>1030</v>
      </c>
      <c r="D1313" s="262">
        <v>-93.610415700000004</v>
      </c>
      <c r="E1313" s="262">
        <v>47.50273</v>
      </c>
      <c r="M1313" s="262">
        <v>8.2028987410000003</v>
      </c>
      <c r="N1313" s="262">
        <v>8.2028987410000003</v>
      </c>
    </row>
    <row r="1314" spans="1:14" x14ac:dyDescent="0.25">
      <c r="A1314" s="262">
        <v>27063</v>
      </c>
      <c r="B1314" s="262" t="s">
        <v>1010</v>
      </c>
      <c r="C1314" s="262" t="s">
        <v>148</v>
      </c>
      <c r="D1314" s="262">
        <v>-95.168300099999996</v>
      </c>
      <c r="E1314" s="262">
        <v>43.682859999999998</v>
      </c>
      <c r="M1314" s="262">
        <v>10.41622263</v>
      </c>
      <c r="N1314" s="262">
        <v>10.41622263</v>
      </c>
    </row>
    <row r="1315" spans="1:14" x14ac:dyDescent="0.25">
      <c r="A1315" s="262">
        <v>27065</v>
      </c>
      <c r="B1315" s="262" t="s">
        <v>1010</v>
      </c>
      <c r="C1315" s="262" t="s">
        <v>1031</v>
      </c>
      <c r="D1315" s="262">
        <v>-93.291197199999999</v>
      </c>
      <c r="E1315" s="262">
        <v>45.957180000000001</v>
      </c>
      <c r="M1315" s="262">
        <v>8.8502967510000001</v>
      </c>
      <c r="N1315" s="262">
        <v>8.8502967510000001</v>
      </c>
    </row>
    <row r="1316" spans="1:14" x14ac:dyDescent="0.25">
      <c r="A1316" s="262">
        <v>27067</v>
      </c>
      <c r="B1316" s="262" t="s">
        <v>1010</v>
      </c>
      <c r="C1316" s="262" t="s">
        <v>1032</v>
      </c>
      <c r="D1316" s="262">
        <v>-95.000502699999998</v>
      </c>
      <c r="E1316" s="262">
        <v>45.158149999999999</v>
      </c>
      <c r="M1316" s="262">
        <v>9.6040604510000005</v>
      </c>
      <c r="N1316" s="262">
        <v>9.6040604510000005</v>
      </c>
    </row>
    <row r="1317" spans="1:14" x14ac:dyDescent="0.25">
      <c r="A1317" s="262">
        <v>27069</v>
      </c>
      <c r="B1317" s="262" t="s">
        <v>1010</v>
      </c>
      <c r="C1317" s="262" t="s">
        <v>1033</v>
      </c>
      <c r="D1317" s="262">
        <v>-96.764908000000005</v>
      </c>
      <c r="E1317" s="262">
        <v>48.77581</v>
      </c>
      <c r="M1317" s="262">
        <v>8.9113704719999998</v>
      </c>
      <c r="N1317" s="262">
        <v>8.9113704719999998</v>
      </c>
    </row>
    <row r="1318" spans="1:14" x14ac:dyDescent="0.25">
      <c r="A1318" s="262">
        <v>27071</v>
      </c>
      <c r="B1318" s="262" t="s">
        <v>1010</v>
      </c>
      <c r="C1318" s="262" t="s">
        <v>1034</v>
      </c>
      <c r="D1318" s="262">
        <v>-93.758741499999999</v>
      </c>
      <c r="E1318" s="262">
        <v>48.244230000000002</v>
      </c>
      <c r="M1318" s="262">
        <v>8.0887413170000002</v>
      </c>
      <c r="N1318" s="262">
        <v>8.0887413170000002</v>
      </c>
    </row>
    <row r="1319" spans="1:14" x14ac:dyDescent="0.25">
      <c r="A1319" s="262">
        <v>27073</v>
      </c>
      <c r="B1319" s="262" t="s">
        <v>1010</v>
      </c>
      <c r="C1319" s="262" t="s">
        <v>1035</v>
      </c>
      <c r="D1319" s="262">
        <v>-96.163866499999997</v>
      </c>
      <c r="E1319" s="262">
        <v>45.002119999999998</v>
      </c>
      <c r="M1319" s="262">
        <v>9.9213395789999996</v>
      </c>
      <c r="N1319" s="262">
        <v>9.9213395789999996</v>
      </c>
    </row>
    <row r="1320" spans="1:14" x14ac:dyDescent="0.25">
      <c r="A1320" s="262">
        <v>27075</v>
      </c>
      <c r="B1320" s="262" t="s">
        <v>1010</v>
      </c>
      <c r="C1320" s="262" t="s">
        <v>271</v>
      </c>
      <c r="D1320" s="262">
        <v>-91.428511900000004</v>
      </c>
      <c r="E1320" s="262">
        <v>47.635739999999998</v>
      </c>
      <c r="M1320" s="262">
        <v>8.1849115339999994</v>
      </c>
      <c r="N1320" s="262">
        <v>8.1849115339999994</v>
      </c>
    </row>
    <row r="1321" spans="1:14" x14ac:dyDescent="0.25">
      <c r="A1321" s="262">
        <v>27077</v>
      </c>
      <c r="B1321" s="262" t="s">
        <v>1010</v>
      </c>
      <c r="C1321" s="262" t="s">
        <v>1036</v>
      </c>
      <c r="D1321" s="262">
        <v>-94.885263600000002</v>
      </c>
      <c r="E1321" s="262">
        <v>48.775770000000001</v>
      </c>
      <c r="M1321" s="262">
        <v>8.4675606119999998</v>
      </c>
      <c r="N1321" s="262">
        <v>8.4675606119999998</v>
      </c>
    </row>
    <row r="1322" spans="1:14" x14ac:dyDescent="0.25">
      <c r="A1322" s="262">
        <v>27079</v>
      </c>
      <c r="B1322" s="262" t="s">
        <v>1010</v>
      </c>
      <c r="C1322" s="262" t="s">
        <v>1037</v>
      </c>
      <c r="D1322" s="262">
        <v>-93.726484999999997</v>
      </c>
      <c r="E1322" s="262">
        <v>44.382759999999998</v>
      </c>
      <c r="M1322" s="262">
        <v>9.9321287550000008</v>
      </c>
      <c r="N1322" s="262">
        <v>9.9321287550000008</v>
      </c>
    </row>
    <row r="1323" spans="1:14" x14ac:dyDescent="0.25">
      <c r="A1323" s="262">
        <v>27081</v>
      </c>
      <c r="B1323" s="262" t="s">
        <v>1010</v>
      </c>
      <c r="C1323" s="262" t="s">
        <v>226</v>
      </c>
      <c r="D1323" s="262">
        <v>-96.246538700000002</v>
      </c>
      <c r="E1323" s="262">
        <v>44.423200000000001</v>
      </c>
      <c r="M1323" s="262">
        <v>10.19139266</v>
      </c>
      <c r="N1323" s="262">
        <v>10.19139266</v>
      </c>
    </row>
    <row r="1324" spans="1:14" x14ac:dyDescent="0.25">
      <c r="A1324" s="262">
        <v>27083</v>
      </c>
      <c r="B1324" s="262" t="s">
        <v>1010</v>
      </c>
      <c r="C1324" s="262" t="s">
        <v>697</v>
      </c>
      <c r="D1324" s="262">
        <v>-95.828189300000005</v>
      </c>
      <c r="E1324" s="262">
        <v>44.428550000000001</v>
      </c>
      <c r="M1324" s="262">
        <v>10.113037029999999</v>
      </c>
      <c r="N1324" s="262">
        <v>10.113037029999999</v>
      </c>
    </row>
    <row r="1325" spans="1:14" x14ac:dyDescent="0.25">
      <c r="A1325" s="262">
        <v>27085</v>
      </c>
      <c r="B1325" s="262" t="s">
        <v>1010</v>
      </c>
      <c r="C1325" s="262" t="s">
        <v>1038</v>
      </c>
      <c r="D1325" s="262">
        <v>-94.273100200000002</v>
      </c>
      <c r="E1325" s="262">
        <v>44.829340000000002</v>
      </c>
      <c r="M1325" s="262">
        <v>9.6811126240000007</v>
      </c>
      <c r="N1325" s="262">
        <v>9.6811126240000007</v>
      </c>
    </row>
    <row r="1326" spans="1:14" x14ac:dyDescent="0.25">
      <c r="A1326" s="262">
        <v>27087</v>
      </c>
      <c r="B1326" s="262" t="s">
        <v>1010</v>
      </c>
      <c r="C1326" s="262" t="s">
        <v>1039</v>
      </c>
      <c r="D1326" s="262">
        <v>-95.799946899999995</v>
      </c>
      <c r="E1326" s="262">
        <v>47.326329999999999</v>
      </c>
      <c r="M1326" s="262">
        <v>8.9326265490000001</v>
      </c>
      <c r="N1326" s="262">
        <v>8.9326265490000001</v>
      </c>
    </row>
    <row r="1327" spans="1:14" x14ac:dyDescent="0.25">
      <c r="A1327" s="262">
        <v>27089</v>
      </c>
      <c r="B1327" s="262" t="s">
        <v>1010</v>
      </c>
      <c r="C1327" s="262" t="s">
        <v>160</v>
      </c>
      <c r="D1327" s="262">
        <v>-96.367040099999997</v>
      </c>
      <c r="E1327" s="262">
        <v>48.3553</v>
      </c>
      <c r="M1327" s="262">
        <v>8.8666019120000001</v>
      </c>
      <c r="N1327" s="262">
        <v>8.8666019120000001</v>
      </c>
    </row>
    <row r="1328" spans="1:14" x14ac:dyDescent="0.25">
      <c r="A1328" s="262">
        <v>27091</v>
      </c>
      <c r="B1328" s="262" t="s">
        <v>1010</v>
      </c>
      <c r="C1328" s="262" t="s">
        <v>412</v>
      </c>
      <c r="D1328" s="262">
        <v>-94.563819899999999</v>
      </c>
      <c r="E1328" s="262">
        <v>43.682299999999998</v>
      </c>
      <c r="M1328" s="262">
        <v>10.3537754</v>
      </c>
      <c r="N1328" s="262">
        <v>10.3537754</v>
      </c>
    </row>
    <row r="1329" spans="1:14" x14ac:dyDescent="0.25">
      <c r="A1329" s="262">
        <v>27093</v>
      </c>
      <c r="B1329" s="262" t="s">
        <v>1010</v>
      </c>
      <c r="C1329" s="262" t="s">
        <v>1040</v>
      </c>
      <c r="D1329" s="262">
        <v>-94.523292600000005</v>
      </c>
      <c r="E1329" s="262">
        <v>45.129089999999998</v>
      </c>
      <c r="M1329" s="262">
        <v>9.5244530130000005</v>
      </c>
      <c r="N1329" s="262">
        <v>9.5244530130000005</v>
      </c>
    </row>
    <row r="1330" spans="1:14" x14ac:dyDescent="0.25">
      <c r="A1330" s="262">
        <v>27095</v>
      </c>
      <c r="B1330" s="262" t="s">
        <v>1010</v>
      </c>
      <c r="C1330" s="262" t="s">
        <v>1041</v>
      </c>
      <c r="D1330" s="262">
        <v>-93.633289599999998</v>
      </c>
      <c r="E1330" s="262">
        <v>45.94932</v>
      </c>
      <c r="M1330" s="262">
        <v>8.9145437520000002</v>
      </c>
      <c r="N1330" s="262">
        <v>8.9145437520000002</v>
      </c>
    </row>
    <row r="1331" spans="1:14" x14ac:dyDescent="0.25">
      <c r="A1331" s="262">
        <v>27097</v>
      </c>
      <c r="B1331" s="262" t="s">
        <v>1010</v>
      </c>
      <c r="C1331" s="262" t="s">
        <v>1042</v>
      </c>
      <c r="D1331" s="262">
        <v>-94.268936800000006</v>
      </c>
      <c r="E1331" s="262">
        <v>46.022570000000002</v>
      </c>
      <c r="M1331" s="262">
        <v>9.0083527379999992</v>
      </c>
      <c r="N1331" s="262">
        <v>9.0083527379999992</v>
      </c>
    </row>
    <row r="1332" spans="1:14" x14ac:dyDescent="0.25">
      <c r="A1332" s="262">
        <v>27099</v>
      </c>
      <c r="B1332" s="262" t="s">
        <v>1010</v>
      </c>
      <c r="C1332" s="262" t="s">
        <v>1043</v>
      </c>
      <c r="D1332" s="262">
        <v>-92.759888599999996</v>
      </c>
      <c r="E1332" s="262">
        <v>43.680529999999997</v>
      </c>
      <c r="M1332" s="262">
        <v>9.9992444240000005</v>
      </c>
      <c r="N1332" s="262">
        <v>9.9992444240000005</v>
      </c>
    </row>
    <row r="1333" spans="1:14" x14ac:dyDescent="0.25">
      <c r="A1333" s="262">
        <v>27101</v>
      </c>
      <c r="B1333" s="262" t="s">
        <v>1010</v>
      </c>
      <c r="C1333" s="262" t="s">
        <v>502</v>
      </c>
      <c r="D1333" s="262">
        <v>-95.761291600000007</v>
      </c>
      <c r="E1333" s="262">
        <v>44.038119999999999</v>
      </c>
      <c r="M1333" s="262">
        <v>10.290016489999999</v>
      </c>
      <c r="N1333" s="262">
        <v>10.290016489999999</v>
      </c>
    </row>
    <row r="1334" spans="1:14" x14ac:dyDescent="0.25">
      <c r="A1334" s="262">
        <v>27103</v>
      </c>
      <c r="B1334" s="262" t="s">
        <v>1010</v>
      </c>
      <c r="C1334" s="262" t="s">
        <v>1044</v>
      </c>
      <c r="D1334" s="262">
        <v>-94.246142899999995</v>
      </c>
      <c r="E1334" s="262">
        <v>44.365020000000001</v>
      </c>
      <c r="M1334" s="262">
        <v>9.9473946620000007</v>
      </c>
      <c r="N1334" s="262">
        <v>9.9473946620000007</v>
      </c>
    </row>
    <row r="1335" spans="1:14" x14ac:dyDescent="0.25">
      <c r="A1335" s="262">
        <v>27105</v>
      </c>
      <c r="B1335" s="262" t="s">
        <v>1010</v>
      </c>
      <c r="C1335" s="262" t="s">
        <v>1045</v>
      </c>
      <c r="D1335" s="262">
        <v>-95.760458</v>
      </c>
      <c r="E1335" s="262">
        <v>43.681539999999998</v>
      </c>
      <c r="M1335" s="262">
        <v>10.46461663</v>
      </c>
      <c r="N1335" s="262">
        <v>10.46461663</v>
      </c>
    </row>
    <row r="1336" spans="1:14" x14ac:dyDescent="0.25">
      <c r="A1336" s="262">
        <v>27107</v>
      </c>
      <c r="B1336" s="262" t="s">
        <v>1010</v>
      </c>
      <c r="C1336" s="262" t="s">
        <v>1046</v>
      </c>
      <c r="D1336" s="262">
        <v>-96.440018499999994</v>
      </c>
      <c r="E1336" s="262">
        <v>47.32696</v>
      </c>
      <c r="M1336" s="262">
        <v>9.0858124769999993</v>
      </c>
      <c r="N1336" s="262">
        <v>9.0858124769999993</v>
      </c>
    </row>
    <row r="1337" spans="1:14" x14ac:dyDescent="0.25">
      <c r="A1337" s="262">
        <v>27109</v>
      </c>
      <c r="B1337" s="262" t="s">
        <v>1010</v>
      </c>
      <c r="C1337" s="262" t="s">
        <v>1047</v>
      </c>
      <c r="D1337" s="262">
        <v>-92.400918300000001</v>
      </c>
      <c r="E1337" s="262">
        <v>44.014029999999998</v>
      </c>
      <c r="M1337" s="262">
        <v>9.7971171750000003</v>
      </c>
      <c r="N1337" s="262">
        <v>9.7971171750000003</v>
      </c>
    </row>
    <row r="1338" spans="1:14" x14ac:dyDescent="0.25">
      <c r="A1338" s="262">
        <v>27111</v>
      </c>
      <c r="B1338" s="262" t="s">
        <v>1010</v>
      </c>
      <c r="C1338" s="262" t="s">
        <v>1048</v>
      </c>
      <c r="D1338" s="262">
        <v>-95.695693599999998</v>
      </c>
      <c r="E1338" s="262">
        <v>46.410440000000001</v>
      </c>
      <c r="M1338" s="262">
        <v>9.2097913909999995</v>
      </c>
      <c r="N1338" s="262">
        <v>9.2097913909999995</v>
      </c>
    </row>
    <row r="1339" spans="1:14" x14ac:dyDescent="0.25">
      <c r="A1339" s="262">
        <v>27113</v>
      </c>
      <c r="B1339" s="262" t="s">
        <v>1010</v>
      </c>
      <c r="C1339" s="262" t="s">
        <v>1049</v>
      </c>
      <c r="D1339" s="262">
        <v>-96.005710399999998</v>
      </c>
      <c r="E1339" s="262">
        <v>48.065930000000002</v>
      </c>
      <c r="M1339" s="262">
        <v>8.8229131699999996</v>
      </c>
      <c r="N1339" s="262">
        <v>8.8229131699999996</v>
      </c>
    </row>
    <row r="1340" spans="1:14" x14ac:dyDescent="0.25">
      <c r="A1340" s="262">
        <v>27115</v>
      </c>
      <c r="B1340" s="262" t="s">
        <v>1010</v>
      </c>
      <c r="C1340" s="262" t="s">
        <v>1050</v>
      </c>
      <c r="D1340" s="262">
        <v>-92.736083699999995</v>
      </c>
      <c r="E1340" s="262">
        <v>46.127369999999999</v>
      </c>
      <c r="M1340" s="262">
        <v>8.5894038899999998</v>
      </c>
      <c r="N1340" s="262">
        <v>8.5894038899999998</v>
      </c>
    </row>
    <row r="1341" spans="1:14" x14ac:dyDescent="0.25">
      <c r="A1341" s="262">
        <v>27117</v>
      </c>
      <c r="B1341" s="262" t="s">
        <v>1010</v>
      </c>
      <c r="C1341" s="262" t="s">
        <v>1051</v>
      </c>
      <c r="D1341" s="262">
        <v>-96.239206999999993</v>
      </c>
      <c r="E1341" s="262">
        <v>44.033250000000002</v>
      </c>
      <c r="M1341" s="262">
        <v>10.35821318</v>
      </c>
      <c r="N1341" s="262">
        <v>10.35821318</v>
      </c>
    </row>
    <row r="1342" spans="1:14" x14ac:dyDescent="0.25">
      <c r="A1342" s="262">
        <v>27119</v>
      </c>
      <c r="B1342" s="262" t="s">
        <v>1010</v>
      </c>
      <c r="C1342" s="262" t="s">
        <v>237</v>
      </c>
      <c r="D1342" s="262">
        <v>-96.392702099999994</v>
      </c>
      <c r="E1342" s="262">
        <v>47.775979999999997</v>
      </c>
      <c r="M1342" s="262">
        <v>8.9629680539999992</v>
      </c>
      <c r="N1342" s="262">
        <v>8.9629680539999992</v>
      </c>
    </row>
    <row r="1343" spans="1:14" x14ac:dyDescent="0.25">
      <c r="A1343" s="262">
        <v>27121</v>
      </c>
      <c r="B1343" s="262" t="s">
        <v>1010</v>
      </c>
      <c r="C1343" s="262" t="s">
        <v>238</v>
      </c>
      <c r="D1343" s="262">
        <v>-95.442499299999994</v>
      </c>
      <c r="E1343" s="262">
        <v>45.593249999999998</v>
      </c>
      <c r="M1343" s="262">
        <v>9.4895337059999996</v>
      </c>
      <c r="N1343" s="262">
        <v>9.4895337059999996</v>
      </c>
    </row>
    <row r="1344" spans="1:14" x14ac:dyDescent="0.25">
      <c r="A1344" s="262">
        <v>27123</v>
      </c>
      <c r="B1344" s="262" t="s">
        <v>1010</v>
      </c>
      <c r="C1344" s="262" t="s">
        <v>1052</v>
      </c>
      <c r="D1344" s="262">
        <v>-93.097464599999995</v>
      </c>
      <c r="E1344" s="262">
        <v>45.028770000000002</v>
      </c>
      <c r="M1344" s="262">
        <v>9.5096908259999999</v>
      </c>
      <c r="N1344" s="262">
        <v>9.5096908259999999</v>
      </c>
    </row>
    <row r="1345" spans="1:14" x14ac:dyDescent="0.25">
      <c r="A1345" s="262">
        <v>27125</v>
      </c>
      <c r="B1345" s="262" t="s">
        <v>1010</v>
      </c>
      <c r="C1345" s="262" t="s">
        <v>1053</v>
      </c>
      <c r="D1345" s="262">
        <v>-96.076570200000006</v>
      </c>
      <c r="E1345" s="262">
        <v>47.873179999999998</v>
      </c>
      <c r="M1345" s="262">
        <v>8.8792311329999993</v>
      </c>
      <c r="N1345" s="262">
        <v>8.8792311329999993</v>
      </c>
    </row>
    <row r="1346" spans="1:14" x14ac:dyDescent="0.25">
      <c r="A1346" s="262">
        <v>27127</v>
      </c>
      <c r="B1346" s="262" t="s">
        <v>1010</v>
      </c>
      <c r="C1346" s="262" t="s">
        <v>1054</v>
      </c>
      <c r="D1346" s="262">
        <v>-95.250874100000004</v>
      </c>
      <c r="E1346" s="262">
        <v>44.41948</v>
      </c>
      <c r="M1346" s="262">
        <v>10.02699761</v>
      </c>
      <c r="N1346" s="262">
        <v>10.02699761</v>
      </c>
    </row>
    <row r="1347" spans="1:14" x14ac:dyDescent="0.25">
      <c r="A1347" s="262">
        <v>27129</v>
      </c>
      <c r="B1347" s="262" t="s">
        <v>1010</v>
      </c>
      <c r="C1347" s="262" t="s">
        <v>1055</v>
      </c>
      <c r="D1347" s="262">
        <v>-94.942196300000006</v>
      </c>
      <c r="E1347" s="262">
        <v>44.736870000000003</v>
      </c>
      <c r="M1347" s="262">
        <v>9.8124662980000004</v>
      </c>
      <c r="N1347" s="262">
        <v>9.8124662980000004</v>
      </c>
    </row>
    <row r="1348" spans="1:14" x14ac:dyDescent="0.25">
      <c r="A1348" s="262">
        <v>27131</v>
      </c>
      <c r="B1348" s="262" t="s">
        <v>1010</v>
      </c>
      <c r="C1348" s="262" t="s">
        <v>767</v>
      </c>
      <c r="D1348" s="262">
        <v>-93.297079699999998</v>
      </c>
      <c r="E1348" s="262">
        <v>44.363480000000003</v>
      </c>
      <c r="M1348" s="262">
        <v>9.9506302309999999</v>
      </c>
      <c r="N1348" s="262">
        <v>9.9506302309999999</v>
      </c>
    </row>
    <row r="1349" spans="1:14" x14ac:dyDescent="0.25">
      <c r="A1349" s="262">
        <v>27133</v>
      </c>
      <c r="B1349" s="262" t="s">
        <v>1010</v>
      </c>
      <c r="C1349" s="262" t="s">
        <v>1056</v>
      </c>
      <c r="D1349" s="262">
        <v>-96.2382755</v>
      </c>
      <c r="E1349" s="262">
        <v>43.676119999999997</v>
      </c>
      <c r="M1349" s="262">
        <v>10.50103189</v>
      </c>
      <c r="N1349" s="262">
        <v>10.50103189</v>
      </c>
    </row>
    <row r="1350" spans="1:14" x14ac:dyDescent="0.25">
      <c r="A1350" s="262">
        <v>27135</v>
      </c>
      <c r="B1350" s="262" t="s">
        <v>1010</v>
      </c>
      <c r="C1350" s="262" t="s">
        <v>1057</v>
      </c>
      <c r="D1350" s="262">
        <v>-95.786641500000002</v>
      </c>
      <c r="E1350" s="262">
        <v>48.773269999999997</v>
      </c>
      <c r="M1350" s="262">
        <v>8.7033080530000007</v>
      </c>
      <c r="N1350" s="262">
        <v>8.7033080530000007</v>
      </c>
    </row>
    <row r="1351" spans="1:14" x14ac:dyDescent="0.25">
      <c r="A1351" s="262">
        <v>27137</v>
      </c>
      <c r="B1351" s="262" t="s">
        <v>1010</v>
      </c>
      <c r="C1351" s="262" t="s">
        <v>1058</v>
      </c>
      <c r="D1351" s="262">
        <v>-92.459926199999998</v>
      </c>
      <c r="E1351" s="262">
        <v>47.6098</v>
      </c>
      <c r="M1351" s="262">
        <v>8.0494744970000003</v>
      </c>
      <c r="N1351" s="262">
        <v>8.0494744970000003</v>
      </c>
    </row>
    <row r="1352" spans="1:14" x14ac:dyDescent="0.25">
      <c r="A1352" s="262">
        <v>27139</v>
      </c>
      <c r="B1352" s="262" t="s">
        <v>1010</v>
      </c>
      <c r="C1352" s="262" t="s">
        <v>243</v>
      </c>
      <c r="D1352" s="262">
        <v>-93.534519299999999</v>
      </c>
      <c r="E1352" s="262">
        <v>44.659579999999998</v>
      </c>
      <c r="M1352" s="262">
        <v>9.8151328539999998</v>
      </c>
      <c r="N1352" s="262">
        <v>9.8151328539999998</v>
      </c>
    </row>
    <row r="1353" spans="1:14" x14ac:dyDescent="0.25">
      <c r="A1353" s="262">
        <v>27141</v>
      </c>
      <c r="B1353" s="262" t="s">
        <v>1010</v>
      </c>
      <c r="C1353" s="262" t="s">
        <v>1059</v>
      </c>
      <c r="D1353" s="262">
        <v>-93.781088400000002</v>
      </c>
      <c r="E1353" s="262">
        <v>45.457599999999999</v>
      </c>
      <c r="M1353" s="262">
        <v>9.2566728959999995</v>
      </c>
      <c r="N1353" s="262">
        <v>9.2566728959999995</v>
      </c>
    </row>
    <row r="1354" spans="1:14" x14ac:dyDescent="0.25">
      <c r="A1354" s="262">
        <v>27143</v>
      </c>
      <c r="B1354" s="262" t="s">
        <v>1010</v>
      </c>
      <c r="C1354" s="262" t="s">
        <v>1060</v>
      </c>
      <c r="D1354" s="262">
        <v>-94.226104500000005</v>
      </c>
      <c r="E1354" s="262">
        <v>44.591099999999997</v>
      </c>
      <c r="M1354" s="262">
        <v>9.8217659810000004</v>
      </c>
      <c r="N1354" s="262">
        <v>9.8217659810000004</v>
      </c>
    </row>
    <row r="1355" spans="1:14" x14ac:dyDescent="0.25">
      <c r="A1355" s="262">
        <v>27145</v>
      </c>
      <c r="B1355" s="262" t="s">
        <v>1010</v>
      </c>
      <c r="C1355" s="262" t="s">
        <v>1061</v>
      </c>
      <c r="D1355" s="262">
        <v>-94.613776400000006</v>
      </c>
      <c r="E1355" s="262">
        <v>45.561100000000003</v>
      </c>
      <c r="M1355" s="262">
        <v>9.3110703770000001</v>
      </c>
      <c r="N1355" s="262">
        <v>9.3110703770000001</v>
      </c>
    </row>
    <row r="1356" spans="1:14" x14ac:dyDescent="0.25">
      <c r="A1356" s="262">
        <v>27147</v>
      </c>
      <c r="B1356" s="262" t="s">
        <v>1010</v>
      </c>
      <c r="C1356" s="262" t="s">
        <v>1062</v>
      </c>
      <c r="D1356" s="262">
        <v>-93.231194299999999</v>
      </c>
      <c r="E1356" s="262">
        <v>44.030360000000002</v>
      </c>
      <c r="M1356" s="262">
        <v>9.9812594029999993</v>
      </c>
      <c r="N1356" s="262">
        <v>9.9812594029999993</v>
      </c>
    </row>
    <row r="1357" spans="1:14" x14ac:dyDescent="0.25">
      <c r="A1357" s="262">
        <v>27149</v>
      </c>
      <c r="B1357" s="262" t="s">
        <v>1010</v>
      </c>
      <c r="C1357" s="262" t="s">
        <v>777</v>
      </c>
      <c r="D1357" s="262">
        <v>-95.995340200000001</v>
      </c>
      <c r="E1357" s="262">
        <v>45.59243</v>
      </c>
      <c r="M1357" s="262">
        <v>9.6230319099999999</v>
      </c>
      <c r="N1357" s="262">
        <v>9.6230319099999999</v>
      </c>
    </row>
    <row r="1358" spans="1:14" x14ac:dyDescent="0.25">
      <c r="A1358" s="262">
        <v>27151</v>
      </c>
      <c r="B1358" s="262" t="s">
        <v>1010</v>
      </c>
      <c r="C1358" s="262" t="s">
        <v>1063</v>
      </c>
      <c r="D1358" s="262">
        <v>-95.675934999999996</v>
      </c>
      <c r="E1358" s="262">
        <v>45.286940000000001</v>
      </c>
      <c r="M1358" s="262">
        <v>9.6839916800000001</v>
      </c>
      <c r="N1358" s="262">
        <v>9.6839916800000001</v>
      </c>
    </row>
    <row r="1359" spans="1:14" x14ac:dyDescent="0.25">
      <c r="A1359" s="262">
        <v>27153</v>
      </c>
      <c r="B1359" s="262" t="s">
        <v>1010</v>
      </c>
      <c r="C1359" s="262" t="s">
        <v>838</v>
      </c>
      <c r="D1359" s="262">
        <v>-94.894558200000006</v>
      </c>
      <c r="E1359" s="262">
        <v>46.078090000000003</v>
      </c>
      <c r="M1359" s="262">
        <v>9.1238099170000009</v>
      </c>
      <c r="N1359" s="262">
        <v>9.1238099170000009</v>
      </c>
    </row>
    <row r="1360" spans="1:14" x14ac:dyDescent="0.25">
      <c r="A1360" s="262">
        <v>27155</v>
      </c>
      <c r="B1360" s="262" t="s">
        <v>1010</v>
      </c>
      <c r="C1360" s="262" t="s">
        <v>1064</v>
      </c>
      <c r="D1360" s="262">
        <v>-96.465217300000006</v>
      </c>
      <c r="E1360" s="262">
        <v>45.776780000000002</v>
      </c>
      <c r="M1360" s="262">
        <v>9.6433565310000002</v>
      </c>
      <c r="N1360" s="262">
        <v>9.6433565310000002</v>
      </c>
    </row>
    <row r="1361" spans="1:14" x14ac:dyDescent="0.25">
      <c r="A1361" s="262">
        <v>27157</v>
      </c>
      <c r="B1361" s="262" t="s">
        <v>1010</v>
      </c>
      <c r="C1361" s="262" t="s">
        <v>1065</v>
      </c>
      <c r="D1361" s="262">
        <v>-92.222719699999999</v>
      </c>
      <c r="E1361" s="262">
        <v>44.293239999999997</v>
      </c>
      <c r="M1361" s="262">
        <v>9.6697652079999994</v>
      </c>
      <c r="N1361" s="262">
        <v>9.6697652079999994</v>
      </c>
    </row>
    <row r="1362" spans="1:14" x14ac:dyDescent="0.25">
      <c r="A1362" s="262">
        <v>27159</v>
      </c>
      <c r="B1362" s="262" t="s">
        <v>1010</v>
      </c>
      <c r="C1362" s="262" t="s">
        <v>1066</v>
      </c>
      <c r="D1362" s="262">
        <v>-94.959496599999994</v>
      </c>
      <c r="E1362" s="262">
        <v>46.589039999999997</v>
      </c>
      <c r="M1362" s="262">
        <v>8.928077729</v>
      </c>
      <c r="N1362" s="262">
        <v>8.928077729</v>
      </c>
    </row>
    <row r="1363" spans="1:14" x14ac:dyDescent="0.25">
      <c r="A1363" s="262">
        <v>27161</v>
      </c>
      <c r="B1363" s="262" t="s">
        <v>1010</v>
      </c>
      <c r="C1363" s="262" t="s">
        <v>1067</v>
      </c>
      <c r="D1363" s="262">
        <v>-93.594083800000007</v>
      </c>
      <c r="E1363" s="262">
        <v>44.032260000000001</v>
      </c>
      <c r="M1363" s="262">
        <v>10.049541</v>
      </c>
      <c r="N1363" s="262">
        <v>10.049541</v>
      </c>
    </row>
    <row r="1364" spans="1:14" x14ac:dyDescent="0.25">
      <c r="A1364" s="262">
        <v>27163</v>
      </c>
      <c r="B1364" s="262" t="s">
        <v>1010</v>
      </c>
      <c r="C1364" s="262" t="s">
        <v>177</v>
      </c>
      <c r="D1364" s="262">
        <v>-92.889515700000004</v>
      </c>
      <c r="E1364" s="262">
        <v>45.039619999999999</v>
      </c>
      <c r="M1364" s="262">
        <v>9.4405309210000006</v>
      </c>
      <c r="N1364" s="262">
        <v>9.4405309210000006</v>
      </c>
    </row>
    <row r="1365" spans="1:14" x14ac:dyDescent="0.25">
      <c r="A1365" s="262">
        <v>27165</v>
      </c>
      <c r="B1365" s="262" t="s">
        <v>1010</v>
      </c>
      <c r="C1365" s="262" t="s">
        <v>1068</v>
      </c>
      <c r="D1365" s="262">
        <v>-94.618251799999996</v>
      </c>
      <c r="E1365" s="262">
        <v>43.98883</v>
      </c>
      <c r="M1365" s="262">
        <v>10.1911396</v>
      </c>
      <c r="N1365" s="262">
        <v>10.1911396</v>
      </c>
    </row>
    <row r="1366" spans="1:14" x14ac:dyDescent="0.25">
      <c r="A1366" s="262">
        <v>27167</v>
      </c>
      <c r="B1366" s="262" t="s">
        <v>1010</v>
      </c>
      <c r="C1366" s="262" t="s">
        <v>1069</v>
      </c>
      <c r="D1366" s="262">
        <v>-96.4567792</v>
      </c>
      <c r="E1366" s="262">
        <v>46.364699999999999</v>
      </c>
      <c r="M1366" s="262">
        <v>9.4038399800000008</v>
      </c>
      <c r="N1366" s="262">
        <v>9.4038399800000008</v>
      </c>
    </row>
    <row r="1367" spans="1:14" x14ac:dyDescent="0.25">
      <c r="A1367" s="262">
        <v>27169</v>
      </c>
      <c r="B1367" s="262" t="s">
        <v>1010</v>
      </c>
      <c r="C1367" s="262" t="s">
        <v>1070</v>
      </c>
      <c r="D1367" s="262">
        <v>-91.779209899999998</v>
      </c>
      <c r="E1367" s="262">
        <v>43.997030000000002</v>
      </c>
      <c r="M1367" s="262">
        <v>9.8085779160000008</v>
      </c>
      <c r="N1367" s="262">
        <v>9.8085779160000008</v>
      </c>
    </row>
    <row r="1368" spans="1:14" x14ac:dyDescent="0.25">
      <c r="A1368" s="262">
        <v>27171</v>
      </c>
      <c r="B1368" s="262" t="s">
        <v>1010</v>
      </c>
      <c r="C1368" s="262" t="s">
        <v>717</v>
      </c>
      <c r="D1368" s="262">
        <v>-93.963918300000003</v>
      </c>
      <c r="E1368" s="262">
        <v>45.182580000000002</v>
      </c>
      <c r="M1368" s="262">
        <v>9.4544813229999995</v>
      </c>
      <c r="N1368" s="262">
        <v>9.4544813229999995</v>
      </c>
    </row>
    <row r="1369" spans="1:14" x14ac:dyDescent="0.25">
      <c r="A1369" s="262">
        <v>27173</v>
      </c>
      <c r="B1369" s="262" t="s">
        <v>1010</v>
      </c>
      <c r="C1369" s="262" t="s">
        <v>1071</v>
      </c>
      <c r="D1369" s="262">
        <v>-95.857506799999996</v>
      </c>
      <c r="E1369" s="262">
        <v>44.725569999999998</v>
      </c>
      <c r="M1369" s="262">
        <v>9.9729113169999994</v>
      </c>
      <c r="N1369" s="262">
        <v>9.9729113169999994</v>
      </c>
    </row>
    <row r="1370" spans="1:14" x14ac:dyDescent="0.25">
      <c r="A1370" s="262">
        <v>28001</v>
      </c>
      <c r="B1370" s="262" t="s">
        <v>1072</v>
      </c>
      <c r="C1370" s="262" t="s">
        <v>312</v>
      </c>
      <c r="D1370" s="262">
        <v>-91.353437200000002</v>
      </c>
      <c r="E1370" s="262">
        <v>31.487880000000001</v>
      </c>
      <c r="M1370" s="262">
        <v>18.143402340000002</v>
      </c>
      <c r="N1370" s="262">
        <v>18.143402340000002</v>
      </c>
    </row>
    <row r="1371" spans="1:14" x14ac:dyDescent="0.25">
      <c r="A1371" s="262">
        <v>28003</v>
      </c>
      <c r="B1371" s="262" t="s">
        <v>1072</v>
      </c>
      <c r="C1371" s="262" t="s">
        <v>1073</v>
      </c>
      <c r="D1371" s="262">
        <v>-88.5811882</v>
      </c>
      <c r="E1371" s="262">
        <v>34.880409999999998</v>
      </c>
      <c r="M1371" s="262">
        <v>15.83628161</v>
      </c>
      <c r="N1371" s="262">
        <v>15.83628161</v>
      </c>
    </row>
    <row r="1372" spans="1:14" x14ac:dyDescent="0.25">
      <c r="A1372" s="262">
        <v>28005</v>
      </c>
      <c r="B1372" s="262" t="s">
        <v>1072</v>
      </c>
      <c r="C1372" s="262" t="s">
        <v>1074</v>
      </c>
      <c r="D1372" s="262">
        <v>-90.809482700000004</v>
      </c>
      <c r="E1372" s="262">
        <v>31.17634</v>
      </c>
      <c r="M1372" s="262">
        <v>18.622071460000001</v>
      </c>
      <c r="N1372" s="262">
        <v>18.622071460000001</v>
      </c>
    </row>
    <row r="1373" spans="1:14" x14ac:dyDescent="0.25">
      <c r="A1373" s="262">
        <v>28007</v>
      </c>
      <c r="B1373" s="262" t="s">
        <v>1072</v>
      </c>
      <c r="C1373" s="262" t="s">
        <v>1075</v>
      </c>
      <c r="D1373" s="262">
        <v>-89.583907600000003</v>
      </c>
      <c r="E1373" s="262">
        <v>33.085760000000001</v>
      </c>
      <c r="M1373" s="262">
        <v>16.849277449999999</v>
      </c>
      <c r="N1373" s="262">
        <v>16.849277449999999</v>
      </c>
    </row>
    <row r="1374" spans="1:14" x14ac:dyDescent="0.25">
      <c r="A1374" s="262">
        <v>28009</v>
      </c>
      <c r="B1374" s="262" t="s">
        <v>1072</v>
      </c>
      <c r="C1374" s="262" t="s">
        <v>200</v>
      </c>
      <c r="D1374" s="262">
        <v>-89.188927300000003</v>
      </c>
      <c r="E1374" s="262">
        <v>34.818559999999998</v>
      </c>
      <c r="M1374" s="262">
        <v>15.92030235</v>
      </c>
      <c r="N1374" s="262">
        <v>15.92030235</v>
      </c>
    </row>
    <row r="1375" spans="1:14" x14ac:dyDescent="0.25">
      <c r="A1375" s="262">
        <v>28011</v>
      </c>
      <c r="B1375" s="262" t="s">
        <v>1072</v>
      </c>
      <c r="C1375" s="262" t="s">
        <v>1076</v>
      </c>
      <c r="D1375" s="262">
        <v>-90.887512599999994</v>
      </c>
      <c r="E1375" s="262">
        <v>33.800449999999998</v>
      </c>
      <c r="M1375" s="262">
        <v>16.406602849999999</v>
      </c>
      <c r="N1375" s="262">
        <v>16.406602849999999</v>
      </c>
    </row>
    <row r="1376" spans="1:14" x14ac:dyDescent="0.25">
      <c r="A1376" s="262">
        <v>28013</v>
      </c>
      <c r="B1376" s="262" t="s">
        <v>1072</v>
      </c>
      <c r="C1376" s="262" t="s">
        <v>120</v>
      </c>
      <c r="D1376" s="262">
        <v>-89.333510899999993</v>
      </c>
      <c r="E1376" s="262">
        <v>33.94117</v>
      </c>
      <c r="M1376" s="262">
        <v>16.350125330000001</v>
      </c>
      <c r="N1376" s="262">
        <v>16.350125330000001</v>
      </c>
    </row>
    <row r="1377" spans="1:14" x14ac:dyDescent="0.25">
      <c r="A1377" s="262">
        <v>28015</v>
      </c>
      <c r="B1377" s="262" t="s">
        <v>1072</v>
      </c>
      <c r="C1377" s="262" t="s">
        <v>203</v>
      </c>
      <c r="D1377" s="262">
        <v>-89.922986699999996</v>
      </c>
      <c r="E1377" s="262">
        <v>33.45102</v>
      </c>
      <c r="M1377" s="262">
        <v>16.622655559999998</v>
      </c>
      <c r="N1377" s="262">
        <v>16.622655559999998</v>
      </c>
    </row>
    <row r="1378" spans="1:14" x14ac:dyDescent="0.25">
      <c r="A1378" s="262">
        <v>28017</v>
      </c>
      <c r="B1378" s="262" t="s">
        <v>1072</v>
      </c>
      <c r="C1378" s="262" t="s">
        <v>683</v>
      </c>
      <c r="D1378" s="262">
        <v>-88.942633999999998</v>
      </c>
      <c r="E1378" s="262">
        <v>33.920920000000002</v>
      </c>
      <c r="M1378" s="262">
        <v>16.34549354</v>
      </c>
      <c r="N1378" s="262">
        <v>16.34549354</v>
      </c>
    </row>
    <row r="1379" spans="1:14" x14ac:dyDescent="0.25">
      <c r="A1379" s="262">
        <v>28019</v>
      </c>
      <c r="B1379" s="262" t="s">
        <v>1072</v>
      </c>
      <c r="C1379" s="262" t="s">
        <v>124</v>
      </c>
      <c r="D1379" s="262">
        <v>-89.245921699999997</v>
      </c>
      <c r="E1379" s="262">
        <v>33.344259999999998</v>
      </c>
      <c r="M1379" s="262">
        <v>16.67882041</v>
      </c>
      <c r="N1379" s="262">
        <v>16.67882041</v>
      </c>
    </row>
    <row r="1380" spans="1:14" x14ac:dyDescent="0.25">
      <c r="A1380" s="262">
        <v>28021</v>
      </c>
      <c r="B1380" s="262" t="s">
        <v>1072</v>
      </c>
      <c r="C1380" s="262" t="s">
        <v>1077</v>
      </c>
      <c r="D1380" s="262">
        <v>-90.911716799999994</v>
      </c>
      <c r="E1380" s="262">
        <v>31.981290000000001</v>
      </c>
      <c r="M1380" s="262">
        <v>17.678358670000001</v>
      </c>
      <c r="N1380" s="262">
        <v>17.678358670000001</v>
      </c>
    </row>
    <row r="1381" spans="1:14" x14ac:dyDescent="0.25">
      <c r="A1381" s="262">
        <v>28023</v>
      </c>
      <c r="B1381" s="262" t="s">
        <v>1072</v>
      </c>
      <c r="C1381" s="262" t="s">
        <v>125</v>
      </c>
      <c r="D1381" s="262">
        <v>-88.686073100000002</v>
      </c>
      <c r="E1381" s="262">
        <v>32.044780000000003</v>
      </c>
      <c r="M1381" s="262">
        <v>17.677700309999999</v>
      </c>
      <c r="N1381" s="262">
        <v>17.677700309999999</v>
      </c>
    </row>
    <row r="1382" spans="1:14" x14ac:dyDescent="0.25">
      <c r="A1382" s="262">
        <v>28025</v>
      </c>
      <c r="B1382" s="262" t="s">
        <v>1072</v>
      </c>
      <c r="C1382" s="262" t="s">
        <v>126</v>
      </c>
      <c r="D1382" s="262">
        <v>-88.782285200000004</v>
      </c>
      <c r="E1382" s="262">
        <v>33.657029999999999</v>
      </c>
      <c r="M1382" s="262">
        <v>16.495529980000001</v>
      </c>
      <c r="N1382" s="262">
        <v>16.495529980000001</v>
      </c>
    </row>
    <row r="1383" spans="1:14" x14ac:dyDescent="0.25">
      <c r="A1383" s="262">
        <v>28027</v>
      </c>
      <c r="B1383" s="262" t="s">
        <v>1072</v>
      </c>
      <c r="C1383" s="262" t="s">
        <v>1078</v>
      </c>
      <c r="D1383" s="262">
        <v>-90.608255099999994</v>
      </c>
      <c r="E1383" s="262">
        <v>34.236130000000003</v>
      </c>
      <c r="M1383" s="262">
        <v>16.19070408</v>
      </c>
      <c r="N1383" s="262">
        <v>16.19070408</v>
      </c>
    </row>
    <row r="1384" spans="1:14" x14ac:dyDescent="0.25">
      <c r="A1384" s="262">
        <v>28029</v>
      </c>
      <c r="B1384" s="262" t="s">
        <v>1072</v>
      </c>
      <c r="C1384" s="262" t="s">
        <v>1079</v>
      </c>
      <c r="D1384" s="262">
        <v>-90.457510200000002</v>
      </c>
      <c r="E1384" s="262">
        <v>31.873729999999998</v>
      </c>
      <c r="M1384" s="262">
        <v>17.850800700000001</v>
      </c>
      <c r="N1384" s="262">
        <v>17.850800700000001</v>
      </c>
    </row>
    <row r="1385" spans="1:14" x14ac:dyDescent="0.25">
      <c r="A1385" s="262">
        <v>28031</v>
      </c>
      <c r="B1385" s="262" t="s">
        <v>1072</v>
      </c>
      <c r="C1385" s="262" t="s">
        <v>132</v>
      </c>
      <c r="D1385" s="262">
        <v>-89.558940199999995</v>
      </c>
      <c r="E1385" s="262">
        <v>31.640149999999998</v>
      </c>
      <c r="M1385" s="262">
        <v>18.266713800000002</v>
      </c>
      <c r="N1385" s="262">
        <v>18.266713800000002</v>
      </c>
    </row>
    <row r="1386" spans="1:14" x14ac:dyDescent="0.25">
      <c r="A1386" s="262">
        <v>28033</v>
      </c>
      <c r="B1386" s="262" t="s">
        <v>1072</v>
      </c>
      <c r="C1386" s="262" t="s">
        <v>392</v>
      </c>
      <c r="D1386" s="262">
        <v>-89.993370900000002</v>
      </c>
      <c r="E1386" s="262">
        <v>34.87668</v>
      </c>
      <c r="M1386" s="262">
        <v>15.89469506</v>
      </c>
      <c r="N1386" s="262">
        <v>15.89469506</v>
      </c>
    </row>
    <row r="1387" spans="1:14" x14ac:dyDescent="0.25">
      <c r="A1387" s="262">
        <v>28035</v>
      </c>
      <c r="B1387" s="262" t="s">
        <v>1072</v>
      </c>
      <c r="C1387" s="262" t="s">
        <v>1080</v>
      </c>
      <c r="D1387" s="262">
        <v>-89.258405999999994</v>
      </c>
      <c r="E1387" s="262">
        <v>31.194649999999999</v>
      </c>
      <c r="M1387" s="262">
        <v>18.923156160000001</v>
      </c>
      <c r="N1387" s="262">
        <v>18.923156160000001</v>
      </c>
    </row>
    <row r="1388" spans="1:14" x14ac:dyDescent="0.25">
      <c r="A1388" s="262">
        <v>28037</v>
      </c>
      <c r="B1388" s="262" t="s">
        <v>1072</v>
      </c>
      <c r="C1388" s="262" t="s">
        <v>142</v>
      </c>
      <c r="D1388" s="262">
        <v>-90.9066641</v>
      </c>
      <c r="E1388" s="262">
        <v>31.479749999999999</v>
      </c>
      <c r="M1388" s="262">
        <v>18.24979394</v>
      </c>
      <c r="N1388" s="262">
        <v>18.24979394</v>
      </c>
    </row>
    <row r="1389" spans="1:14" x14ac:dyDescent="0.25">
      <c r="A1389" s="262">
        <v>28039</v>
      </c>
      <c r="B1389" s="262" t="s">
        <v>1072</v>
      </c>
      <c r="C1389" s="262" t="s">
        <v>1081</v>
      </c>
      <c r="D1389" s="262">
        <v>-88.639921000000001</v>
      </c>
      <c r="E1389" s="262">
        <v>30.863779999999998</v>
      </c>
      <c r="M1389" s="262">
        <v>19.44834157</v>
      </c>
      <c r="N1389" s="262">
        <v>19.44834157</v>
      </c>
    </row>
    <row r="1390" spans="1:14" x14ac:dyDescent="0.25">
      <c r="A1390" s="262">
        <v>28041</v>
      </c>
      <c r="B1390" s="262" t="s">
        <v>1072</v>
      </c>
      <c r="C1390" s="262" t="s">
        <v>144</v>
      </c>
      <c r="D1390" s="262">
        <v>-88.638719600000002</v>
      </c>
      <c r="E1390" s="262">
        <v>31.213619999999999</v>
      </c>
      <c r="M1390" s="262">
        <v>18.91407753</v>
      </c>
      <c r="N1390" s="262">
        <v>18.91407753</v>
      </c>
    </row>
    <row r="1391" spans="1:14" x14ac:dyDescent="0.25">
      <c r="A1391" s="262">
        <v>28043</v>
      </c>
      <c r="B1391" s="262" t="s">
        <v>1072</v>
      </c>
      <c r="C1391" s="262" t="s">
        <v>1082</v>
      </c>
      <c r="D1391" s="262">
        <v>-89.7985051</v>
      </c>
      <c r="E1391" s="262">
        <v>33.77122</v>
      </c>
      <c r="M1391" s="262">
        <v>16.449098540000001</v>
      </c>
      <c r="N1391" s="262">
        <v>16.449098540000001</v>
      </c>
    </row>
    <row r="1392" spans="1:14" x14ac:dyDescent="0.25">
      <c r="A1392" s="262">
        <v>28045</v>
      </c>
      <c r="B1392" s="262" t="s">
        <v>1072</v>
      </c>
      <c r="C1392" s="262" t="s">
        <v>484</v>
      </c>
      <c r="D1392" s="262">
        <v>-89.487788499999994</v>
      </c>
      <c r="E1392" s="262">
        <v>30.429510000000001</v>
      </c>
      <c r="M1392" s="262">
        <v>19.897450240000001</v>
      </c>
      <c r="N1392" s="262">
        <v>19.897450240000001</v>
      </c>
    </row>
    <row r="1393" spans="1:14" x14ac:dyDescent="0.25">
      <c r="A1393" s="262">
        <v>28047</v>
      </c>
      <c r="B1393" s="262" t="s">
        <v>1072</v>
      </c>
      <c r="C1393" s="262" t="s">
        <v>641</v>
      </c>
      <c r="D1393" s="262">
        <v>-89.115122400000004</v>
      </c>
      <c r="E1393" s="262">
        <v>30.525099999999998</v>
      </c>
      <c r="M1393" s="262">
        <v>19.839487949999999</v>
      </c>
      <c r="N1393" s="262">
        <v>19.839487949999999</v>
      </c>
    </row>
    <row r="1394" spans="1:14" x14ac:dyDescent="0.25">
      <c r="A1394" s="262">
        <v>28049</v>
      </c>
      <c r="B1394" s="262" t="s">
        <v>1072</v>
      </c>
      <c r="C1394" s="262" t="s">
        <v>1083</v>
      </c>
      <c r="D1394" s="262">
        <v>-90.451669100000004</v>
      </c>
      <c r="E1394" s="262">
        <v>32.271250000000002</v>
      </c>
      <c r="M1394" s="262">
        <v>17.420937519999999</v>
      </c>
      <c r="N1394" s="262">
        <v>17.420937519999999</v>
      </c>
    </row>
    <row r="1395" spans="1:14" x14ac:dyDescent="0.25">
      <c r="A1395" s="262">
        <v>28051</v>
      </c>
      <c r="B1395" s="262" t="s">
        <v>1072</v>
      </c>
      <c r="C1395" s="262" t="s">
        <v>406</v>
      </c>
      <c r="D1395" s="262">
        <v>-90.097793699999997</v>
      </c>
      <c r="E1395" s="262">
        <v>33.127690000000001</v>
      </c>
      <c r="M1395" s="262">
        <v>16.826961669999999</v>
      </c>
      <c r="N1395" s="262">
        <v>16.826961669999999</v>
      </c>
    </row>
    <row r="1396" spans="1:14" x14ac:dyDescent="0.25">
      <c r="A1396" s="262">
        <v>28053</v>
      </c>
      <c r="B1396" s="262" t="s">
        <v>1072</v>
      </c>
      <c r="C1396" s="262" t="s">
        <v>1084</v>
      </c>
      <c r="D1396" s="262">
        <v>-90.531716900000006</v>
      </c>
      <c r="E1396" s="262">
        <v>33.134639999999997</v>
      </c>
      <c r="M1396" s="262">
        <v>16.807563040000002</v>
      </c>
      <c r="N1396" s="262">
        <v>16.807563040000002</v>
      </c>
    </row>
    <row r="1397" spans="1:14" x14ac:dyDescent="0.25">
      <c r="A1397" s="262">
        <v>28055</v>
      </c>
      <c r="B1397" s="262" t="s">
        <v>1072</v>
      </c>
      <c r="C1397" s="262" t="s">
        <v>1085</v>
      </c>
      <c r="D1397" s="262">
        <v>-90.992808100000005</v>
      </c>
      <c r="E1397" s="262">
        <v>32.740380000000002</v>
      </c>
      <c r="M1397" s="262">
        <v>17.04878982</v>
      </c>
      <c r="N1397" s="262">
        <v>17.04878982</v>
      </c>
    </row>
    <row r="1398" spans="1:14" x14ac:dyDescent="0.25">
      <c r="A1398" s="262">
        <v>28057</v>
      </c>
      <c r="B1398" s="262" t="s">
        <v>1072</v>
      </c>
      <c r="C1398" s="262" t="s">
        <v>1086</v>
      </c>
      <c r="D1398" s="262">
        <v>-88.361334299999996</v>
      </c>
      <c r="E1398" s="262">
        <v>34.27807</v>
      </c>
      <c r="M1398" s="262">
        <v>16.124448090000001</v>
      </c>
      <c r="N1398" s="262">
        <v>16.124448090000001</v>
      </c>
    </row>
    <row r="1399" spans="1:14" x14ac:dyDescent="0.25">
      <c r="A1399" s="262">
        <v>28059</v>
      </c>
      <c r="B1399" s="262" t="s">
        <v>1072</v>
      </c>
      <c r="C1399" s="262" t="s">
        <v>148</v>
      </c>
      <c r="D1399" s="262">
        <v>-88.632073399999996</v>
      </c>
      <c r="E1399" s="262">
        <v>30.56119</v>
      </c>
      <c r="M1399" s="262">
        <v>19.874947809999998</v>
      </c>
      <c r="N1399" s="262">
        <v>19.874947809999998</v>
      </c>
    </row>
    <row r="1400" spans="1:14" x14ac:dyDescent="0.25">
      <c r="A1400" s="262">
        <v>28061</v>
      </c>
      <c r="B1400" s="262" t="s">
        <v>1072</v>
      </c>
      <c r="C1400" s="262" t="s">
        <v>490</v>
      </c>
      <c r="D1400" s="262">
        <v>-89.114201600000001</v>
      </c>
      <c r="E1400" s="262">
        <v>32.025889999999997</v>
      </c>
      <c r="M1400" s="262">
        <v>17.773614460000001</v>
      </c>
      <c r="N1400" s="262">
        <v>17.773614460000001</v>
      </c>
    </row>
    <row r="1401" spans="1:14" x14ac:dyDescent="0.25">
      <c r="A1401" s="262">
        <v>28063</v>
      </c>
      <c r="B1401" s="262" t="s">
        <v>1072</v>
      </c>
      <c r="C1401" s="262" t="s">
        <v>149</v>
      </c>
      <c r="D1401" s="262">
        <v>-91.036547400000003</v>
      </c>
      <c r="E1401" s="262">
        <v>31.73809</v>
      </c>
      <c r="M1401" s="262">
        <v>17.934111600000001</v>
      </c>
      <c r="N1401" s="262">
        <v>17.934111600000001</v>
      </c>
    </row>
    <row r="1402" spans="1:14" x14ac:dyDescent="0.25">
      <c r="A1402" s="262">
        <v>28065</v>
      </c>
      <c r="B1402" s="262" t="s">
        <v>1072</v>
      </c>
      <c r="C1402" s="262" t="s">
        <v>1087</v>
      </c>
      <c r="D1402" s="262">
        <v>-89.8308021</v>
      </c>
      <c r="E1402" s="262">
        <v>31.576270000000001</v>
      </c>
      <c r="M1402" s="262">
        <v>18.320361519999999</v>
      </c>
      <c r="N1402" s="262">
        <v>18.320361519999999</v>
      </c>
    </row>
    <row r="1403" spans="1:14" x14ac:dyDescent="0.25">
      <c r="A1403" s="262">
        <v>28067</v>
      </c>
      <c r="B1403" s="262" t="s">
        <v>1072</v>
      </c>
      <c r="C1403" s="262" t="s">
        <v>493</v>
      </c>
      <c r="D1403" s="262">
        <v>-89.169407899999996</v>
      </c>
      <c r="E1403" s="262">
        <v>31.628900000000002</v>
      </c>
      <c r="M1403" s="262">
        <v>18.300855949999999</v>
      </c>
      <c r="N1403" s="262">
        <v>18.300855949999999</v>
      </c>
    </row>
    <row r="1404" spans="1:14" x14ac:dyDescent="0.25">
      <c r="A1404" s="262">
        <v>28069</v>
      </c>
      <c r="B1404" s="262" t="s">
        <v>1072</v>
      </c>
      <c r="C1404" s="262" t="s">
        <v>1088</v>
      </c>
      <c r="D1404" s="262">
        <v>-88.641541599999996</v>
      </c>
      <c r="E1404" s="262">
        <v>32.754150000000003</v>
      </c>
      <c r="M1404" s="262">
        <v>17.03125034</v>
      </c>
      <c r="N1404" s="262">
        <v>17.03125034</v>
      </c>
    </row>
    <row r="1405" spans="1:14" x14ac:dyDescent="0.25">
      <c r="A1405" s="262">
        <v>28071</v>
      </c>
      <c r="B1405" s="262" t="s">
        <v>1072</v>
      </c>
      <c r="C1405" s="262" t="s">
        <v>225</v>
      </c>
      <c r="D1405" s="262">
        <v>-89.484511699999999</v>
      </c>
      <c r="E1405" s="262">
        <v>34.362310000000001</v>
      </c>
      <c r="M1405" s="262">
        <v>16.148699879999999</v>
      </c>
      <c r="N1405" s="262">
        <v>16.148699879999999</v>
      </c>
    </row>
    <row r="1406" spans="1:14" x14ac:dyDescent="0.25">
      <c r="A1406" s="262">
        <v>28073</v>
      </c>
      <c r="B1406" s="262" t="s">
        <v>1072</v>
      </c>
      <c r="C1406" s="262" t="s">
        <v>150</v>
      </c>
      <c r="D1406" s="262">
        <v>-89.515029499999997</v>
      </c>
      <c r="E1406" s="262">
        <v>31.21509</v>
      </c>
      <c r="M1406" s="262">
        <v>18.856924079999999</v>
      </c>
      <c r="N1406" s="262">
        <v>18.856924079999999</v>
      </c>
    </row>
    <row r="1407" spans="1:14" x14ac:dyDescent="0.25">
      <c r="A1407" s="262">
        <v>28075</v>
      </c>
      <c r="B1407" s="262" t="s">
        <v>1072</v>
      </c>
      <c r="C1407" s="262" t="s">
        <v>151</v>
      </c>
      <c r="D1407" s="262">
        <v>-88.661047699999997</v>
      </c>
      <c r="E1407" s="262">
        <v>32.40522</v>
      </c>
      <c r="M1407" s="262">
        <v>17.28935967</v>
      </c>
      <c r="N1407" s="262">
        <v>17.28935967</v>
      </c>
    </row>
    <row r="1408" spans="1:14" x14ac:dyDescent="0.25">
      <c r="A1408" s="262">
        <v>28077</v>
      </c>
      <c r="B1408" s="262" t="s">
        <v>1072</v>
      </c>
      <c r="C1408" s="262" t="s">
        <v>152</v>
      </c>
      <c r="D1408" s="262">
        <v>-90.115527599999993</v>
      </c>
      <c r="E1408" s="262">
        <v>31.5581</v>
      </c>
      <c r="M1408" s="262">
        <v>18.298433580000001</v>
      </c>
      <c r="N1408" s="262">
        <v>18.298433580000001</v>
      </c>
    </row>
    <row r="1409" spans="1:14" x14ac:dyDescent="0.25">
      <c r="A1409" s="262">
        <v>28079</v>
      </c>
      <c r="B1409" s="262" t="s">
        <v>1072</v>
      </c>
      <c r="C1409" s="262" t="s">
        <v>1089</v>
      </c>
      <c r="D1409" s="262">
        <v>-89.528710700000005</v>
      </c>
      <c r="E1409" s="262">
        <v>32.758420000000001</v>
      </c>
      <c r="M1409" s="262">
        <v>17.088601539999999</v>
      </c>
      <c r="N1409" s="262">
        <v>17.088601539999999</v>
      </c>
    </row>
    <row r="1410" spans="1:14" x14ac:dyDescent="0.25">
      <c r="A1410" s="262">
        <v>28081</v>
      </c>
      <c r="B1410" s="262" t="s">
        <v>1072</v>
      </c>
      <c r="C1410" s="262" t="s">
        <v>153</v>
      </c>
      <c r="D1410" s="262">
        <v>-88.6776014</v>
      </c>
      <c r="E1410" s="262">
        <v>34.284199999999998</v>
      </c>
      <c r="M1410" s="262">
        <v>16.144740550000002</v>
      </c>
      <c r="N1410" s="262">
        <v>16.144740550000002</v>
      </c>
    </row>
    <row r="1411" spans="1:14" x14ac:dyDescent="0.25">
      <c r="A1411" s="262">
        <v>28083</v>
      </c>
      <c r="B1411" s="262" t="s">
        <v>1072</v>
      </c>
      <c r="C1411" s="262" t="s">
        <v>1090</v>
      </c>
      <c r="D1411" s="262">
        <v>-90.305375100000006</v>
      </c>
      <c r="E1411" s="262">
        <v>33.552819999999997</v>
      </c>
      <c r="M1411" s="262">
        <v>16.576476339999999</v>
      </c>
      <c r="N1411" s="262">
        <v>16.576476339999999</v>
      </c>
    </row>
    <row r="1412" spans="1:14" x14ac:dyDescent="0.25">
      <c r="A1412" s="262">
        <v>28085</v>
      </c>
      <c r="B1412" s="262" t="s">
        <v>1072</v>
      </c>
      <c r="C1412" s="262" t="s">
        <v>226</v>
      </c>
      <c r="D1412" s="262">
        <v>-90.463436000000002</v>
      </c>
      <c r="E1412" s="262">
        <v>31.539149999999999</v>
      </c>
      <c r="M1412" s="262">
        <v>18.262434509999999</v>
      </c>
      <c r="N1412" s="262">
        <v>18.262434509999999</v>
      </c>
    </row>
    <row r="1413" spans="1:14" x14ac:dyDescent="0.25">
      <c r="A1413" s="262">
        <v>28087</v>
      </c>
      <c r="B1413" s="262" t="s">
        <v>1072</v>
      </c>
      <c r="C1413" s="262" t="s">
        <v>155</v>
      </c>
      <c r="D1413" s="262">
        <v>-88.443435100000002</v>
      </c>
      <c r="E1413" s="262">
        <v>33.468330000000002</v>
      </c>
      <c r="M1413" s="262">
        <v>16.584073320000002</v>
      </c>
      <c r="N1413" s="262">
        <v>16.584073320000002</v>
      </c>
    </row>
    <row r="1414" spans="1:14" x14ac:dyDescent="0.25">
      <c r="A1414" s="262">
        <v>28089</v>
      </c>
      <c r="B1414" s="262" t="s">
        <v>1072</v>
      </c>
      <c r="C1414" s="262" t="s">
        <v>157</v>
      </c>
      <c r="D1414" s="262">
        <v>-90.044646599999993</v>
      </c>
      <c r="E1414" s="262">
        <v>32.638019999999997</v>
      </c>
      <c r="M1414" s="262">
        <v>17.167490600000001</v>
      </c>
      <c r="N1414" s="262">
        <v>17.167490600000001</v>
      </c>
    </row>
    <row r="1415" spans="1:14" x14ac:dyDescent="0.25">
      <c r="A1415" s="262">
        <v>28091</v>
      </c>
      <c r="B1415" s="262" t="s">
        <v>1072</v>
      </c>
      <c r="C1415" s="262" t="s">
        <v>159</v>
      </c>
      <c r="D1415" s="262">
        <v>-89.832572400000004</v>
      </c>
      <c r="E1415" s="262">
        <v>31.236910000000002</v>
      </c>
      <c r="M1415" s="262">
        <v>18.779847629999999</v>
      </c>
      <c r="N1415" s="262">
        <v>18.779847629999999</v>
      </c>
    </row>
    <row r="1416" spans="1:14" x14ac:dyDescent="0.25">
      <c r="A1416" s="262">
        <v>28093</v>
      </c>
      <c r="B1416" s="262" t="s">
        <v>1072</v>
      </c>
      <c r="C1416" s="262" t="s">
        <v>160</v>
      </c>
      <c r="D1416" s="262">
        <v>-89.503202599999995</v>
      </c>
      <c r="E1416" s="262">
        <v>34.764940000000003</v>
      </c>
      <c r="M1416" s="262">
        <v>15.958918410000001</v>
      </c>
      <c r="N1416" s="262">
        <v>15.958918410000001</v>
      </c>
    </row>
    <row r="1417" spans="1:14" x14ac:dyDescent="0.25">
      <c r="A1417" s="262">
        <v>28095</v>
      </c>
      <c r="B1417" s="262" t="s">
        <v>1072</v>
      </c>
      <c r="C1417" s="262" t="s">
        <v>162</v>
      </c>
      <c r="D1417" s="262">
        <v>-88.476564400000001</v>
      </c>
      <c r="E1417" s="262">
        <v>33.889740000000003</v>
      </c>
      <c r="M1417" s="262">
        <v>16.341941129999999</v>
      </c>
      <c r="N1417" s="262">
        <v>16.341941129999999</v>
      </c>
    </row>
    <row r="1418" spans="1:14" x14ac:dyDescent="0.25">
      <c r="A1418" s="262">
        <v>28097</v>
      </c>
      <c r="B1418" s="262" t="s">
        <v>1072</v>
      </c>
      <c r="C1418" s="262" t="s">
        <v>163</v>
      </c>
      <c r="D1418" s="262">
        <v>-89.614212899999998</v>
      </c>
      <c r="E1418" s="262">
        <v>33.493389999999998</v>
      </c>
      <c r="M1418" s="262">
        <v>16.60132814</v>
      </c>
      <c r="N1418" s="262">
        <v>16.60132814</v>
      </c>
    </row>
    <row r="1419" spans="1:14" x14ac:dyDescent="0.25">
      <c r="A1419" s="262">
        <v>28099</v>
      </c>
      <c r="B1419" s="262" t="s">
        <v>1072</v>
      </c>
      <c r="C1419" s="262" t="s">
        <v>1091</v>
      </c>
      <c r="D1419" s="262">
        <v>-89.116683899999998</v>
      </c>
      <c r="E1419" s="262">
        <v>32.756419999999999</v>
      </c>
      <c r="M1419" s="262">
        <v>17.065339439999999</v>
      </c>
      <c r="N1419" s="262">
        <v>17.065339439999999</v>
      </c>
    </row>
    <row r="1420" spans="1:14" x14ac:dyDescent="0.25">
      <c r="A1420" s="262">
        <v>28101</v>
      </c>
      <c r="B1420" s="262" t="s">
        <v>1072</v>
      </c>
      <c r="C1420" s="262" t="s">
        <v>233</v>
      </c>
      <c r="D1420" s="262">
        <v>-89.114990199999994</v>
      </c>
      <c r="E1420" s="262">
        <v>32.40363</v>
      </c>
      <c r="M1420" s="262">
        <v>17.359065820000001</v>
      </c>
      <c r="N1420" s="262">
        <v>17.359065820000001</v>
      </c>
    </row>
    <row r="1421" spans="1:14" x14ac:dyDescent="0.25">
      <c r="A1421" s="262">
        <v>28103</v>
      </c>
      <c r="B1421" s="262" t="s">
        <v>1072</v>
      </c>
      <c r="C1421" s="262" t="s">
        <v>1092</v>
      </c>
      <c r="D1421" s="262">
        <v>-88.562018499999994</v>
      </c>
      <c r="E1421" s="262">
        <v>33.107140000000001</v>
      </c>
      <c r="M1421" s="262">
        <v>16.800095930000001</v>
      </c>
      <c r="N1421" s="262">
        <v>16.800095930000001</v>
      </c>
    </row>
    <row r="1422" spans="1:14" x14ac:dyDescent="0.25">
      <c r="A1422" s="262">
        <v>28105</v>
      </c>
      <c r="B1422" s="262" t="s">
        <v>1072</v>
      </c>
      <c r="C1422" s="262" t="s">
        <v>1093</v>
      </c>
      <c r="D1422" s="262">
        <v>-88.873109600000006</v>
      </c>
      <c r="E1422" s="262">
        <v>33.421970000000002</v>
      </c>
      <c r="M1422" s="262">
        <v>16.625813560000001</v>
      </c>
      <c r="N1422" s="262">
        <v>16.625813560000001</v>
      </c>
    </row>
    <row r="1423" spans="1:14" x14ac:dyDescent="0.25">
      <c r="A1423" s="262">
        <v>28107</v>
      </c>
      <c r="B1423" s="262" t="s">
        <v>1072</v>
      </c>
      <c r="C1423" s="262" t="s">
        <v>1094</v>
      </c>
      <c r="D1423" s="262">
        <v>-89.948974100000001</v>
      </c>
      <c r="E1423" s="262">
        <v>34.369759999999999</v>
      </c>
      <c r="M1423" s="262">
        <v>16.148751359999999</v>
      </c>
      <c r="N1423" s="262">
        <v>16.148751359999999</v>
      </c>
    </row>
    <row r="1424" spans="1:14" x14ac:dyDescent="0.25">
      <c r="A1424" s="262">
        <v>28109</v>
      </c>
      <c r="B1424" s="262" t="s">
        <v>1072</v>
      </c>
      <c r="C1424" s="262" t="s">
        <v>1095</v>
      </c>
      <c r="D1424" s="262">
        <v>-89.579889499999993</v>
      </c>
      <c r="E1424" s="262">
        <v>30.778009999999998</v>
      </c>
      <c r="M1424" s="262">
        <v>19.44962838</v>
      </c>
      <c r="N1424" s="262">
        <v>19.44962838</v>
      </c>
    </row>
    <row r="1425" spans="1:14" x14ac:dyDescent="0.25">
      <c r="A1425" s="262">
        <v>28111</v>
      </c>
      <c r="B1425" s="262" t="s">
        <v>1072</v>
      </c>
      <c r="C1425" s="262" t="s">
        <v>165</v>
      </c>
      <c r="D1425" s="262">
        <v>-88.992317200000002</v>
      </c>
      <c r="E1425" s="262">
        <v>31.178280000000001</v>
      </c>
      <c r="M1425" s="262">
        <v>18.974882050000001</v>
      </c>
      <c r="N1425" s="262">
        <v>18.974882050000001</v>
      </c>
    </row>
    <row r="1426" spans="1:14" x14ac:dyDescent="0.25">
      <c r="A1426" s="262">
        <v>28113</v>
      </c>
      <c r="B1426" s="262" t="s">
        <v>1072</v>
      </c>
      <c r="C1426" s="262" t="s">
        <v>167</v>
      </c>
      <c r="D1426" s="262">
        <v>-90.412629800000005</v>
      </c>
      <c r="E1426" s="262">
        <v>31.176459999999999</v>
      </c>
      <c r="M1426" s="262">
        <v>18.732159070000002</v>
      </c>
      <c r="N1426" s="262">
        <v>18.732159070000002</v>
      </c>
    </row>
    <row r="1427" spans="1:14" x14ac:dyDescent="0.25">
      <c r="A1427" s="262">
        <v>28115</v>
      </c>
      <c r="B1427" s="262" t="s">
        <v>1072</v>
      </c>
      <c r="C1427" s="262" t="s">
        <v>1096</v>
      </c>
      <c r="D1427" s="262">
        <v>-89.038783199999997</v>
      </c>
      <c r="E1427" s="262">
        <v>34.227930000000001</v>
      </c>
      <c r="M1427" s="262">
        <v>16.188036019999998</v>
      </c>
      <c r="N1427" s="262">
        <v>16.188036019999998</v>
      </c>
    </row>
    <row r="1428" spans="1:14" x14ac:dyDescent="0.25">
      <c r="A1428" s="262">
        <v>28117</v>
      </c>
      <c r="B1428" s="262" t="s">
        <v>1072</v>
      </c>
      <c r="C1428" s="262" t="s">
        <v>1097</v>
      </c>
      <c r="D1428" s="262">
        <v>-88.523392900000005</v>
      </c>
      <c r="E1428" s="262">
        <v>34.616010000000003</v>
      </c>
      <c r="M1428" s="262">
        <v>15.96697831</v>
      </c>
      <c r="N1428" s="262">
        <v>15.96697831</v>
      </c>
    </row>
    <row r="1429" spans="1:14" x14ac:dyDescent="0.25">
      <c r="A1429" s="262">
        <v>28119</v>
      </c>
      <c r="B1429" s="262" t="s">
        <v>1072</v>
      </c>
      <c r="C1429" s="262" t="s">
        <v>509</v>
      </c>
      <c r="D1429" s="262">
        <v>-90.2924443</v>
      </c>
      <c r="E1429" s="262">
        <v>34.254989999999999</v>
      </c>
      <c r="M1429" s="262">
        <v>16.184250120000002</v>
      </c>
      <c r="N1429" s="262">
        <v>16.184250120000002</v>
      </c>
    </row>
    <row r="1430" spans="1:14" x14ac:dyDescent="0.25">
      <c r="A1430" s="262">
        <v>28121</v>
      </c>
      <c r="B1430" s="262" t="s">
        <v>1072</v>
      </c>
      <c r="C1430" s="262" t="s">
        <v>1098</v>
      </c>
      <c r="D1430" s="262">
        <v>-89.952943200000007</v>
      </c>
      <c r="E1430" s="262">
        <v>32.26737</v>
      </c>
      <c r="M1430" s="262">
        <v>17.508915689999998</v>
      </c>
      <c r="N1430" s="262">
        <v>17.508915689999998</v>
      </c>
    </row>
    <row r="1431" spans="1:14" x14ac:dyDescent="0.25">
      <c r="A1431" s="262">
        <v>28123</v>
      </c>
      <c r="B1431" s="262" t="s">
        <v>1072</v>
      </c>
      <c r="C1431" s="262" t="s">
        <v>243</v>
      </c>
      <c r="D1431" s="262">
        <v>-89.539549100000002</v>
      </c>
      <c r="E1431" s="262">
        <v>32.41093</v>
      </c>
      <c r="M1431" s="262">
        <v>17.379268769999999</v>
      </c>
      <c r="N1431" s="262">
        <v>17.379268769999999</v>
      </c>
    </row>
    <row r="1432" spans="1:14" x14ac:dyDescent="0.25">
      <c r="A1432" s="262">
        <v>28125</v>
      </c>
      <c r="B1432" s="262" t="s">
        <v>1072</v>
      </c>
      <c r="C1432" s="262" t="s">
        <v>1099</v>
      </c>
      <c r="D1432" s="262">
        <v>-90.813184300000003</v>
      </c>
      <c r="E1432" s="262">
        <v>32.881250000000001</v>
      </c>
      <c r="M1432" s="262">
        <v>16.971263159999999</v>
      </c>
      <c r="N1432" s="262">
        <v>16.971263159999999</v>
      </c>
    </row>
    <row r="1433" spans="1:14" x14ac:dyDescent="0.25">
      <c r="A1433" s="262">
        <v>28127</v>
      </c>
      <c r="B1433" s="262" t="s">
        <v>1072</v>
      </c>
      <c r="C1433" s="262" t="s">
        <v>837</v>
      </c>
      <c r="D1433" s="262">
        <v>-89.925175999999993</v>
      </c>
      <c r="E1433" s="262">
        <v>31.916340000000002</v>
      </c>
      <c r="M1433" s="262">
        <v>17.88178134</v>
      </c>
      <c r="N1433" s="262">
        <v>17.88178134</v>
      </c>
    </row>
    <row r="1434" spans="1:14" x14ac:dyDescent="0.25">
      <c r="A1434" s="262">
        <v>28129</v>
      </c>
      <c r="B1434" s="262" t="s">
        <v>1072</v>
      </c>
      <c r="C1434" s="262" t="s">
        <v>774</v>
      </c>
      <c r="D1434" s="262">
        <v>-89.508447700000005</v>
      </c>
      <c r="E1434" s="262">
        <v>32.024990000000003</v>
      </c>
      <c r="M1434" s="262">
        <v>17.7979801</v>
      </c>
      <c r="N1434" s="262">
        <v>17.7979801</v>
      </c>
    </row>
    <row r="1435" spans="1:14" x14ac:dyDescent="0.25">
      <c r="A1435" s="262">
        <v>28131</v>
      </c>
      <c r="B1435" s="262" t="s">
        <v>1072</v>
      </c>
      <c r="C1435" s="262" t="s">
        <v>248</v>
      </c>
      <c r="D1435" s="262">
        <v>-89.111141599999996</v>
      </c>
      <c r="E1435" s="262">
        <v>30.794509999999999</v>
      </c>
      <c r="M1435" s="262">
        <v>19.50677731</v>
      </c>
      <c r="N1435" s="262">
        <v>19.50677731</v>
      </c>
    </row>
    <row r="1436" spans="1:14" x14ac:dyDescent="0.25">
      <c r="A1436" s="262">
        <v>28133</v>
      </c>
      <c r="B1436" s="262" t="s">
        <v>1072</v>
      </c>
      <c r="C1436" s="262" t="s">
        <v>1100</v>
      </c>
      <c r="D1436" s="262">
        <v>-90.590114099999994</v>
      </c>
      <c r="E1436" s="262">
        <v>33.606160000000003</v>
      </c>
      <c r="M1436" s="262">
        <v>16.52575701</v>
      </c>
      <c r="N1436" s="262">
        <v>16.52575701</v>
      </c>
    </row>
    <row r="1437" spans="1:14" x14ac:dyDescent="0.25">
      <c r="A1437" s="262">
        <v>28135</v>
      </c>
      <c r="B1437" s="262" t="s">
        <v>1072</v>
      </c>
      <c r="C1437" s="262" t="s">
        <v>1101</v>
      </c>
      <c r="D1437" s="262">
        <v>-90.173749900000004</v>
      </c>
      <c r="E1437" s="262">
        <v>33.953470000000003</v>
      </c>
      <c r="M1437" s="262">
        <v>16.352903120000001</v>
      </c>
      <c r="N1437" s="262">
        <v>16.352903120000001</v>
      </c>
    </row>
    <row r="1438" spans="1:14" x14ac:dyDescent="0.25">
      <c r="A1438" s="262">
        <v>28137</v>
      </c>
      <c r="B1438" s="262" t="s">
        <v>1072</v>
      </c>
      <c r="C1438" s="262" t="s">
        <v>1102</v>
      </c>
      <c r="D1438" s="262">
        <v>-89.948177700000002</v>
      </c>
      <c r="E1438" s="262">
        <v>34.655270000000002</v>
      </c>
      <c r="M1438" s="262">
        <v>16.005937670000002</v>
      </c>
      <c r="N1438" s="262">
        <v>16.005937670000002</v>
      </c>
    </row>
    <row r="1439" spans="1:14" x14ac:dyDescent="0.25">
      <c r="A1439" s="262">
        <v>28139</v>
      </c>
      <c r="B1439" s="262" t="s">
        <v>1072</v>
      </c>
      <c r="C1439" s="262" t="s">
        <v>1103</v>
      </c>
      <c r="D1439" s="262">
        <v>-88.910845499999994</v>
      </c>
      <c r="E1439" s="262">
        <v>34.768659999999997</v>
      </c>
      <c r="M1439" s="262">
        <v>15.91775554</v>
      </c>
      <c r="N1439" s="262">
        <v>15.91775554</v>
      </c>
    </row>
    <row r="1440" spans="1:14" x14ac:dyDescent="0.25">
      <c r="A1440" s="262">
        <v>28141</v>
      </c>
      <c r="B1440" s="262" t="s">
        <v>1072</v>
      </c>
      <c r="C1440" s="262" t="s">
        <v>1104</v>
      </c>
      <c r="D1440" s="262">
        <v>-88.2445223</v>
      </c>
      <c r="E1440" s="262">
        <v>34.743929999999999</v>
      </c>
      <c r="M1440" s="262">
        <v>15.87101818</v>
      </c>
      <c r="N1440" s="262">
        <v>15.87101818</v>
      </c>
    </row>
    <row r="1441" spans="1:14" x14ac:dyDescent="0.25">
      <c r="A1441" s="262">
        <v>28143</v>
      </c>
      <c r="B1441" s="262" t="s">
        <v>1072</v>
      </c>
      <c r="C1441" s="262" t="s">
        <v>1105</v>
      </c>
      <c r="D1441" s="262">
        <v>-90.367724199999998</v>
      </c>
      <c r="E1441" s="262">
        <v>34.648530000000001</v>
      </c>
      <c r="M1441" s="262">
        <v>15.98896643</v>
      </c>
      <c r="N1441" s="262">
        <v>15.98896643</v>
      </c>
    </row>
    <row r="1442" spans="1:14" x14ac:dyDescent="0.25">
      <c r="A1442" s="262">
        <v>28145</v>
      </c>
      <c r="B1442" s="262" t="s">
        <v>1072</v>
      </c>
      <c r="C1442" s="262" t="s">
        <v>249</v>
      </c>
      <c r="D1442" s="262">
        <v>-89.0051421</v>
      </c>
      <c r="E1442" s="262">
        <v>34.492159999999998</v>
      </c>
      <c r="M1442" s="262">
        <v>16.05958528</v>
      </c>
      <c r="N1442" s="262">
        <v>16.05958528</v>
      </c>
    </row>
    <row r="1443" spans="1:14" x14ac:dyDescent="0.25">
      <c r="A1443" s="262">
        <v>28147</v>
      </c>
      <c r="B1443" s="262" t="s">
        <v>1072</v>
      </c>
      <c r="C1443" s="262" t="s">
        <v>1106</v>
      </c>
      <c r="D1443" s="262">
        <v>-90.111519799999996</v>
      </c>
      <c r="E1443" s="262">
        <v>31.149760000000001</v>
      </c>
      <c r="M1443" s="262">
        <v>18.846404870000001</v>
      </c>
      <c r="N1443" s="262">
        <v>18.846404870000001</v>
      </c>
    </row>
    <row r="1444" spans="1:14" x14ac:dyDescent="0.25">
      <c r="A1444" s="262">
        <v>28149</v>
      </c>
      <c r="B1444" s="262" t="s">
        <v>1072</v>
      </c>
      <c r="C1444" s="262" t="s">
        <v>533</v>
      </c>
      <c r="D1444" s="262">
        <v>-90.848499200000006</v>
      </c>
      <c r="E1444" s="262">
        <v>32.364820000000002</v>
      </c>
      <c r="M1444" s="262">
        <v>17.330784250000001</v>
      </c>
      <c r="N1444" s="262">
        <v>17.330784250000001</v>
      </c>
    </row>
    <row r="1445" spans="1:14" x14ac:dyDescent="0.25">
      <c r="A1445" s="262">
        <v>28151</v>
      </c>
      <c r="B1445" s="262" t="s">
        <v>1072</v>
      </c>
      <c r="C1445" s="262" t="s">
        <v>177</v>
      </c>
      <c r="D1445" s="262">
        <v>-90.9532083</v>
      </c>
      <c r="E1445" s="262">
        <v>33.278329999999997</v>
      </c>
      <c r="M1445" s="262">
        <v>16.709336560000001</v>
      </c>
      <c r="N1445" s="262">
        <v>16.709336560000001</v>
      </c>
    </row>
    <row r="1446" spans="1:14" x14ac:dyDescent="0.25">
      <c r="A1446" s="262">
        <v>28153</v>
      </c>
      <c r="B1446" s="262" t="s">
        <v>1072</v>
      </c>
      <c r="C1446" s="262" t="s">
        <v>534</v>
      </c>
      <c r="D1446" s="262">
        <v>-88.695732199999995</v>
      </c>
      <c r="E1446" s="262">
        <v>31.644690000000001</v>
      </c>
      <c r="M1446" s="262">
        <v>18.256874750000001</v>
      </c>
      <c r="N1446" s="262">
        <v>18.256874750000001</v>
      </c>
    </row>
    <row r="1447" spans="1:14" x14ac:dyDescent="0.25">
      <c r="A1447" s="262">
        <v>28155</v>
      </c>
      <c r="B1447" s="262" t="s">
        <v>1072</v>
      </c>
      <c r="C1447" s="262" t="s">
        <v>535</v>
      </c>
      <c r="D1447" s="262">
        <v>-89.283774399999999</v>
      </c>
      <c r="E1447" s="262">
        <v>33.612830000000002</v>
      </c>
      <c r="M1447" s="262">
        <v>16.52431906</v>
      </c>
      <c r="N1447" s="262">
        <v>16.52431906</v>
      </c>
    </row>
    <row r="1448" spans="1:14" x14ac:dyDescent="0.25">
      <c r="A1448" s="262">
        <v>28157</v>
      </c>
      <c r="B1448" s="262" t="s">
        <v>1072</v>
      </c>
      <c r="C1448" s="262" t="s">
        <v>539</v>
      </c>
      <c r="D1448" s="262">
        <v>-91.314693399999996</v>
      </c>
      <c r="E1448" s="262">
        <v>31.161850000000001</v>
      </c>
      <c r="M1448" s="262">
        <v>18.490407439999998</v>
      </c>
      <c r="N1448" s="262">
        <v>18.490407439999998</v>
      </c>
    </row>
    <row r="1449" spans="1:14" x14ac:dyDescent="0.25">
      <c r="A1449" s="262">
        <v>28159</v>
      </c>
      <c r="B1449" s="262" t="s">
        <v>1072</v>
      </c>
      <c r="C1449" s="262" t="s">
        <v>179</v>
      </c>
      <c r="D1449" s="262">
        <v>-89.026057499999993</v>
      </c>
      <c r="E1449" s="262">
        <v>33.089230000000001</v>
      </c>
      <c r="M1449" s="262">
        <v>16.829310199999998</v>
      </c>
      <c r="N1449" s="262">
        <v>16.829310199999998</v>
      </c>
    </row>
    <row r="1450" spans="1:14" x14ac:dyDescent="0.25">
      <c r="A1450" s="262">
        <v>28161</v>
      </c>
      <c r="B1450" s="262" t="s">
        <v>1072</v>
      </c>
      <c r="C1450" s="262" t="s">
        <v>1107</v>
      </c>
      <c r="D1450" s="262">
        <v>-89.704124199999995</v>
      </c>
      <c r="E1450" s="262">
        <v>34.029800000000002</v>
      </c>
      <c r="M1450" s="262">
        <v>16.31887485</v>
      </c>
      <c r="N1450" s="262">
        <v>16.31887485</v>
      </c>
    </row>
    <row r="1451" spans="1:14" x14ac:dyDescent="0.25">
      <c r="A1451" s="262">
        <v>28163</v>
      </c>
      <c r="B1451" s="262" t="s">
        <v>1072</v>
      </c>
      <c r="C1451" s="262" t="s">
        <v>1108</v>
      </c>
      <c r="D1451" s="262">
        <v>-90.403866399999998</v>
      </c>
      <c r="E1451" s="262">
        <v>32.787370000000003</v>
      </c>
      <c r="M1451" s="262">
        <v>17.03821714</v>
      </c>
      <c r="N1451" s="262">
        <v>17.03821714</v>
      </c>
    </row>
    <row r="1452" spans="1:14" x14ac:dyDescent="0.25">
      <c r="A1452" s="262">
        <v>29001</v>
      </c>
      <c r="B1452" s="262" t="s">
        <v>1109</v>
      </c>
      <c r="C1452" s="262" t="s">
        <v>673</v>
      </c>
      <c r="D1452" s="262">
        <v>-92.587299700000003</v>
      </c>
      <c r="E1452" s="262">
        <v>40.196820000000002</v>
      </c>
      <c r="M1452" s="262">
        <v>12.62497939</v>
      </c>
      <c r="N1452" s="262">
        <v>12.62497939</v>
      </c>
    </row>
    <row r="1453" spans="1:14" x14ac:dyDescent="0.25">
      <c r="A1453" s="262">
        <v>29003</v>
      </c>
      <c r="B1453" s="262" t="s">
        <v>1109</v>
      </c>
      <c r="C1453" s="262" t="s">
        <v>1110</v>
      </c>
      <c r="D1453" s="262">
        <v>-94.798994800000003</v>
      </c>
      <c r="E1453" s="262">
        <v>39.996740000000003</v>
      </c>
      <c r="M1453" s="262">
        <v>12.75864219</v>
      </c>
      <c r="N1453" s="262">
        <v>12.75864219</v>
      </c>
    </row>
    <row r="1454" spans="1:14" x14ac:dyDescent="0.25">
      <c r="A1454" s="262">
        <v>29005</v>
      </c>
      <c r="B1454" s="262" t="s">
        <v>1109</v>
      </c>
      <c r="C1454" s="262" t="s">
        <v>720</v>
      </c>
      <c r="D1454" s="262">
        <v>-95.430874099999997</v>
      </c>
      <c r="E1454" s="262">
        <v>40.452179999999998</v>
      </c>
      <c r="M1454" s="262">
        <v>12.49682907</v>
      </c>
      <c r="N1454" s="262">
        <v>12.49682907</v>
      </c>
    </row>
    <row r="1455" spans="1:14" x14ac:dyDescent="0.25">
      <c r="A1455" s="262">
        <v>29007</v>
      </c>
      <c r="B1455" s="262" t="s">
        <v>1109</v>
      </c>
      <c r="C1455" s="262" t="s">
        <v>1111</v>
      </c>
      <c r="D1455" s="262">
        <v>-91.829488499999997</v>
      </c>
      <c r="E1455" s="262">
        <v>39.212429999999998</v>
      </c>
      <c r="M1455" s="262">
        <v>13.290308550000001</v>
      </c>
      <c r="N1455" s="262">
        <v>13.290308550000001</v>
      </c>
    </row>
    <row r="1456" spans="1:14" x14ac:dyDescent="0.25">
      <c r="A1456" s="262">
        <v>29009</v>
      </c>
      <c r="B1456" s="262" t="s">
        <v>1109</v>
      </c>
      <c r="C1456" s="262" t="s">
        <v>955</v>
      </c>
      <c r="D1456" s="262">
        <v>-93.841523699999996</v>
      </c>
      <c r="E1456" s="262">
        <v>36.715330000000002</v>
      </c>
      <c r="M1456" s="262">
        <v>14.555179389999999</v>
      </c>
      <c r="N1456" s="262">
        <v>14.555179389999999</v>
      </c>
    </row>
    <row r="1457" spans="1:14" x14ac:dyDescent="0.25">
      <c r="A1457" s="262">
        <v>29011</v>
      </c>
      <c r="B1457" s="262" t="s">
        <v>1109</v>
      </c>
      <c r="C1457" s="262" t="s">
        <v>722</v>
      </c>
      <c r="D1457" s="262">
        <v>-94.354343499999999</v>
      </c>
      <c r="E1457" s="262">
        <v>37.508839999999999</v>
      </c>
      <c r="M1457" s="262">
        <v>14.17171048</v>
      </c>
      <c r="N1457" s="262">
        <v>14.17171048</v>
      </c>
    </row>
    <row r="1458" spans="1:14" x14ac:dyDescent="0.25">
      <c r="A1458" s="262">
        <v>29013</v>
      </c>
      <c r="B1458" s="262" t="s">
        <v>1109</v>
      </c>
      <c r="C1458" s="262" t="s">
        <v>1112</v>
      </c>
      <c r="D1458" s="262">
        <v>-94.344600099999994</v>
      </c>
      <c r="E1458" s="262">
        <v>38.257730000000002</v>
      </c>
      <c r="M1458" s="262">
        <v>13.79608803</v>
      </c>
      <c r="N1458" s="262">
        <v>13.79608803</v>
      </c>
    </row>
    <row r="1459" spans="1:14" x14ac:dyDescent="0.25">
      <c r="A1459" s="262">
        <v>29015</v>
      </c>
      <c r="B1459" s="262" t="s">
        <v>1109</v>
      </c>
      <c r="C1459" s="262" t="s">
        <v>200</v>
      </c>
      <c r="D1459" s="262">
        <v>-93.291545900000003</v>
      </c>
      <c r="E1459" s="262">
        <v>38.301450000000003</v>
      </c>
      <c r="M1459" s="262">
        <v>13.73004347</v>
      </c>
      <c r="N1459" s="262">
        <v>13.73004347</v>
      </c>
    </row>
    <row r="1460" spans="1:14" x14ac:dyDescent="0.25">
      <c r="A1460" s="262">
        <v>29017</v>
      </c>
      <c r="B1460" s="262" t="s">
        <v>1109</v>
      </c>
      <c r="C1460" s="262" t="s">
        <v>1113</v>
      </c>
      <c r="D1460" s="262">
        <v>-90.030848000000006</v>
      </c>
      <c r="E1460" s="262">
        <v>37.319499999999998</v>
      </c>
      <c r="M1460" s="262">
        <v>14.491149630000001</v>
      </c>
      <c r="N1460" s="262">
        <v>14.491149630000001</v>
      </c>
    </row>
    <row r="1461" spans="1:14" x14ac:dyDescent="0.25">
      <c r="A1461" s="262">
        <v>29019</v>
      </c>
      <c r="B1461" s="262" t="s">
        <v>1109</v>
      </c>
      <c r="C1461" s="262" t="s">
        <v>201</v>
      </c>
      <c r="D1461" s="262">
        <v>-92.299402999999998</v>
      </c>
      <c r="E1461" s="262">
        <v>38.986060000000002</v>
      </c>
      <c r="M1461" s="262">
        <v>13.412166559999999</v>
      </c>
      <c r="N1461" s="262">
        <v>13.412166559999999</v>
      </c>
    </row>
    <row r="1462" spans="1:14" x14ac:dyDescent="0.25">
      <c r="A1462" s="262">
        <v>29021</v>
      </c>
      <c r="B1462" s="262" t="s">
        <v>1109</v>
      </c>
      <c r="C1462" s="262" t="s">
        <v>679</v>
      </c>
      <c r="D1462" s="262">
        <v>-94.810325300000002</v>
      </c>
      <c r="E1462" s="262">
        <v>39.670140000000004</v>
      </c>
      <c r="M1462" s="262">
        <v>12.963158099999999</v>
      </c>
      <c r="N1462" s="262">
        <v>12.963158099999999</v>
      </c>
    </row>
    <row r="1463" spans="1:14" x14ac:dyDescent="0.25">
      <c r="A1463" s="262">
        <v>29023</v>
      </c>
      <c r="B1463" s="262" t="s">
        <v>1109</v>
      </c>
      <c r="C1463" s="262" t="s">
        <v>119</v>
      </c>
      <c r="D1463" s="262">
        <v>-90.413528700000001</v>
      </c>
      <c r="E1463" s="262">
        <v>36.720730000000003</v>
      </c>
      <c r="M1463" s="262">
        <v>14.822687999999999</v>
      </c>
      <c r="N1463" s="262">
        <v>14.822687999999999</v>
      </c>
    </row>
    <row r="1464" spans="1:14" x14ac:dyDescent="0.25">
      <c r="A1464" s="262">
        <v>29025</v>
      </c>
      <c r="B1464" s="262" t="s">
        <v>1109</v>
      </c>
      <c r="C1464" s="262" t="s">
        <v>797</v>
      </c>
      <c r="D1464" s="262">
        <v>-93.982780399999996</v>
      </c>
      <c r="E1464" s="262">
        <v>39.663240000000002</v>
      </c>
      <c r="M1464" s="262">
        <v>13.00855438</v>
      </c>
      <c r="N1464" s="262">
        <v>13.00855438</v>
      </c>
    </row>
    <row r="1465" spans="1:14" x14ac:dyDescent="0.25">
      <c r="A1465" s="262">
        <v>29027</v>
      </c>
      <c r="B1465" s="262" t="s">
        <v>1109</v>
      </c>
      <c r="C1465" s="262" t="s">
        <v>1114</v>
      </c>
      <c r="D1465" s="262">
        <v>-91.917736099999999</v>
      </c>
      <c r="E1465" s="262">
        <v>38.83643</v>
      </c>
      <c r="M1465" s="262">
        <v>13.528849559999999</v>
      </c>
      <c r="N1465" s="262">
        <v>13.528849559999999</v>
      </c>
    </row>
    <row r="1466" spans="1:14" x14ac:dyDescent="0.25">
      <c r="A1466" s="262">
        <v>29029</v>
      </c>
      <c r="B1466" s="262" t="s">
        <v>1109</v>
      </c>
      <c r="C1466" s="262" t="s">
        <v>448</v>
      </c>
      <c r="D1466" s="262">
        <v>-92.760756799999996</v>
      </c>
      <c r="E1466" s="262">
        <v>38.024709999999999</v>
      </c>
      <c r="M1466" s="262">
        <v>13.88050254</v>
      </c>
      <c r="N1466" s="262">
        <v>13.88050254</v>
      </c>
    </row>
    <row r="1467" spans="1:14" x14ac:dyDescent="0.25">
      <c r="A1467" s="262">
        <v>29031</v>
      </c>
      <c r="B1467" s="262" t="s">
        <v>1109</v>
      </c>
      <c r="C1467" s="262" t="s">
        <v>1115</v>
      </c>
      <c r="D1467" s="262">
        <v>-89.681341799999998</v>
      </c>
      <c r="E1467" s="262">
        <v>37.380049999999997</v>
      </c>
      <c r="M1467" s="262">
        <v>14.45940935</v>
      </c>
      <c r="N1467" s="262">
        <v>14.45940935</v>
      </c>
    </row>
    <row r="1468" spans="1:14" x14ac:dyDescent="0.25">
      <c r="A1468" s="262">
        <v>29033</v>
      </c>
      <c r="B1468" s="262" t="s">
        <v>1109</v>
      </c>
      <c r="C1468" s="262" t="s">
        <v>203</v>
      </c>
      <c r="D1468" s="262">
        <v>-93.514983299999997</v>
      </c>
      <c r="E1468" s="262">
        <v>39.433709999999998</v>
      </c>
      <c r="M1468" s="262">
        <v>13.13159731</v>
      </c>
      <c r="N1468" s="262">
        <v>13.13159731</v>
      </c>
    </row>
    <row r="1469" spans="1:14" x14ac:dyDescent="0.25">
      <c r="A1469" s="262">
        <v>29035</v>
      </c>
      <c r="B1469" s="262" t="s">
        <v>1109</v>
      </c>
      <c r="C1469" s="262" t="s">
        <v>801</v>
      </c>
      <c r="D1469" s="262">
        <v>-90.979712599999999</v>
      </c>
      <c r="E1469" s="262">
        <v>36.931139999999999</v>
      </c>
      <c r="M1469" s="262">
        <v>14.65936391</v>
      </c>
      <c r="N1469" s="262">
        <v>14.65936391</v>
      </c>
    </row>
    <row r="1470" spans="1:14" x14ac:dyDescent="0.25">
      <c r="A1470" s="262">
        <v>29037</v>
      </c>
      <c r="B1470" s="262" t="s">
        <v>1109</v>
      </c>
      <c r="C1470" s="262" t="s">
        <v>580</v>
      </c>
      <c r="D1470" s="262">
        <v>-94.356718999999998</v>
      </c>
      <c r="E1470" s="262">
        <v>38.645699999999998</v>
      </c>
      <c r="M1470" s="262">
        <v>13.60739212</v>
      </c>
      <c r="N1470" s="262">
        <v>13.60739212</v>
      </c>
    </row>
    <row r="1471" spans="1:14" x14ac:dyDescent="0.25">
      <c r="A1471" s="262">
        <v>29039</v>
      </c>
      <c r="B1471" s="262" t="s">
        <v>1109</v>
      </c>
      <c r="C1471" s="262" t="s">
        <v>681</v>
      </c>
      <c r="D1471" s="262">
        <v>-93.862113699999995</v>
      </c>
      <c r="E1471" s="262">
        <v>37.721679999999999</v>
      </c>
      <c r="M1471" s="262">
        <v>14.006226549999999</v>
      </c>
      <c r="N1471" s="262">
        <v>14.006226549999999</v>
      </c>
    </row>
    <row r="1472" spans="1:14" x14ac:dyDescent="0.25">
      <c r="A1472" s="262">
        <v>29041</v>
      </c>
      <c r="B1472" s="262" t="s">
        <v>1109</v>
      </c>
      <c r="C1472" s="262" t="s">
        <v>1116</v>
      </c>
      <c r="D1472" s="262">
        <v>-92.951506600000002</v>
      </c>
      <c r="E1472" s="262">
        <v>39.517499999999998</v>
      </c>
      <c r="M1472" s="262">
        <v>13.079539499999999</v>
      </c>
      <c r="N1472" s="262">
        <v>13.079539499999999</v>
      </c>
    </row>
    <row r="1473" spans="1:14" x14ac:dyDescent="0.25">
      <c r="A1473" s="262">
        <v>29043</v>
      </c>
      <c r="B1473" s="262" t="s">
        <v>1109</v>
      </c>
      <c r="C1473" s="262" t="s">
        <v>582</v>
      </c>
      <c r="D1473" s="262">
        <v>-93.193446499999993</v>
      </c>
      <c r="E1473" s="262">
        <v>36.969679999999997</v>
      </c>
      <c r="M1473" s="262">
        <v>14.32882511</v>
      </c>
      <c r="N1473" s="262">
        <v>14.32882511</v>
      </c>
    </row>
    <row r="1474" spans="1:14" x14ac:dyDescent="0.25">
      <c r="A1474" s="262">
        <v>29045</v>
      </c>
      <c r="B1474" s="262" t="s">
        <v>1109</v>
      </c>
      <c r="C1474" s="262" t="s">
        <v>205</v>
      </c>
      <c r="D1474" s="262">
        <v>-91.720119999999994</v>
      </c>
      <c r="E1474" s="262">
        <v>40.417029999999997</v>
      </c>
      <c r="M1474" s="262">
        <v>12.479289530000001</v>
      </c>
      <c r="N1474" s="262">
        <v>12.479289530000001</v>
      </c>
    </row>
    <row r="1475" spans="1:14" x14ac:dyDescent="0.25">
      <c r="A1475" s="262">
        <v>29047</v>
      </c>
      <c r="B1475" s="262" t="s">
        <v>1109</v>
      </c>
      <c r="C1475" s="262" t="s">
        <v>126</v>
      </c>
      <c r="D1475" s="262">
        <v>-94.4188884</v>
      </c>
      <c r="E1475" s="262">
        <v>39.319870000000002</v>
      </c>
      <c r="M1475" s="262">
        <v>13.262564599999999</v>
      </c>
      <c r="N1475" s="262">
        <v>13.262564599999999</v>
      </c>
    </row>
    <row r="1476" spans="1:14" x14ac:dyDescent="0.25">
      <c r="A1476" s="262">
        <v>29049</v>
      </c>
      <c r="B1476" s="262" t="s">
        <v>1109</v>
      </c>
      <c r="C1476" s="262" t="s">
        <v>583</v>
      </c>
      <c r="D1476" s="262">
        <v>-94.403699200000005</v>
      </c>
      <c r="E1476" s="262">
        <v>39.611629999999998</v>
      </c>
      <c r="M1476" s="262">
        <v>13.05950927</v>
      </c>
      <c r="N1476" s="262">
        <v>13.05950927</v>
      </c>
    </row>
    <row r="1477" spans="1:14" x14ac:dyDescent="0.25">
      <c r="A1477" s="262">
        <v>29051</v>
      </c>
      <c r="B1477" s="262" t="s">
        <v>1109</v>
      </c>
      <c r="C1477" s="262" t="s">
        <v>1117</v>
      </c>
      <c r="D1477" s="262">
        <v>-92.274528200000006</v>
      </c>
      <c r="E1477" s="262">
        <v>38.50215</v>
      </c>
      <c r="M1477" s="262">
        <v>13.70051746</v>
      </c>
      <c r="N1477" s="262">
        <v>13.70051746</v>
      </c>
    </row>
    <row r="1478" spans="1:14" x14ac:dyDescent="0.25">
      <c r="A1478" s="262">
        <v>29053</v>
      </c>
      <c r="B1478" s="262" t="s">
        <v>1109</v>
      </c>
      <c r="C1478" s="262" t="s">
        <v>1118</v>
      </c>
      <c r="D1478" s="262">
        <v>-92.803429199999997</v>
      </c>
      <c r="E1478" s="262">
        <v>38.843710000000002</v>
      </c>
      <c r="M1478" s="262">
        <v>13.47332701</v>
      </c>
      <c r="N1478" s="262">
        <v>13.47332701</v>
      </c>
    </row>
    <row r="1479" spans="1:14" x14ac:dyDescent="0.25">
      <c r="A1479" s="262">
        <v>29055</v>
      </c>
      <c r="B1479" s="262" t="s">
        <v>1109</v>
      </c>
      <c r="C1479" s="262" t="s">
        <v>210</v>
      </c>
      <c r="D1479" s="262">
        <v>-91.304724100000001</v>
      </c>
      <c r="E1479" s="262">
        <v>37.970610000000001</v>
      </c>
      <c r="M1479" s="262">
        <v>14.05312427</v>
      </c>
      <c r="N1479" s="262">
        <v>14.05312427</v>
      </c>
    </row>
    <row r="1480" spans="1:14" x14ac:dyDescent="0.25">
      <c r="A1480" s="262">
        <v>29057</v>
      </c>
      <c r="B1480" s="262" t="s">
        <v>1109</v>
      </c>
      <c r="C1480" s="262" t="s">
        <v>462</v>
      </c>
      <c r="D1480" s="262">
        <v>-93.852454600000002</v>
      </c>
      <c r="E1480" s="262">
        <v>37.435189999999999</v>
      </c>
      <c r="M1480" s="262">
        <v>14.139845340000001</v>
      </c>
      <c r="N1480" s="262">
        <v>14.139845340000001</v>
      </c>
    </row>
    <row r="1481" spans="1:14" x14ac:dyDescent="0.25">
      <c r="A1481" s="262">
        <v>29059</v>
      </c>
      <c r="B1481" s="262" t="s">
        <v>1109</v>
      </c>
      <c r="C1481" s="262" t="s">
        <v>136</v>
      </c>
      <c r="D1481" s="262">
        <v>-93.029145299999996</v>
      </c>
      <c r="E1481" s="262">
        <v>37.677390000000003</v>
      </c>
      <c r="M1481" s="262">
        <v>14.00210429</v>
      </c>
      <c r="N1481" s="262">
        <v>14.00210429</v>
      </c>
    </row>
    <row r="1482" spans="1:14" x14ac:dyDescent="0.25">
      <c r="A1482" s="262">
        <v>29061</v>
      </c>
      <c r="B1482" s="262" t="s">
        <v>1109</v>
      </c>
      <c r="C1482" s="262" t="s">
        <v>634</v>
      </c>
      <c r="D1482" s="262">
        <v>-93.983338200000006</v>
      </c>
      <c r="E1482" s="262">
        <v>39.970660000000002</v>
      </c>
      <c r="M1482" s="262">
        <v>12.80367509</v>
      </c>
      <c r="N1482" s="262">
        <v>12.80367509</v>
      </c>
    </row>
    <row r="1483" spans="1:14" x14ac:dyDescent="0.25">
      <c r="A1483" s="262">
        <v>29063</v>
      </c>
      <c r="B1483" s="262" t="s">
        <v>1109</v>
      </c>
      <c r="C1483" s="262" t="s">
        <v>137</v>
      </c>
      <c r="D1483" s="262">
        <v>-94.401101299999993</v>
      </c>
      <c r="E1483" s="262">
        <v>39.900770000000001</v>
      </c>
      <c r="M1483" s="262">
        <v>12.85240924</v>
      </c>
      <c r="N1483" s="262">
        <v>12.85240924</v>
      </c>
    </row>
    <row r="1484" spans="1:14" x14ac:dyDescent="0.25">
      <c r="A1484" s="262">
        <v>29065</v>
      </c>
      <c r="B1484" s="262" t="s">
        <v>1109</v>
      </c>
      <c r="C1484" s="262" t="s">
        <v>1119</v>
      </c>
      <c r="D1484" s="262">
        <v>-91.5143159</v>
      </c>
      <c r="E1484" s="262">
        <v>37.600439999999999</v>
      </c>
      <c r="M1484" s="262">
        <v>14.23588273</v>
      </c>
      <c r="N1484" s="262">
        <v>14.23588273</v>
      </c>
    </row>
    <row r="1485" spans="1:14" x14ac:dyDescent="0.25">
      <c r="A1485" s="262">
        <v>29067</v>
      </c>
      <c r="B1485" s="262" t="s">
        <v>1109</v>
      </c>
      <c r="C1485" s="262" t="s">
        <v>330</v>
      </c>
      <c r="D1485" s="262">
        <v>-92.505562100000006</v>
      </c>
      <c r="E1485" s="262">
        <v>36.934049999999999</v>
      </c>
      <c r="M1485" s="262">
        <v>14.44535115</v>
      </c>
      <c r="N1485" s="262">
        <v>14.44535115</v>
      </c>
    </row>
    <row r="1486" spans="1:14" x14ac:dyDescent="0.25">
      <c r="A1486" s="262">
        <v>29069</v>
      </c>
      <c r="B1486" s="262" t="s">
        <v>1109</v>
      </c>
      <c r="C1486" s="262" t="s">
        <v>1120</v>
      </c>
      <c r="D1486" s="262">
        <v>-90.088522100000006</v>
      </c>
      <c r="E1486" s="262">
        <v>36.27852</v>
      </c>
      <c r="M1486" s="262">
        <v>15.107702039999999</v>
      </c>
      <c r="N1486" s="262">
        <v>15.107702039999999</v>
      </c>
    </row>
    <row r="1487" spans="1:14" x14ac:dyDescent="0.25">
      <c r="A1487" s="262">
        <v>29071</v>
      </c>
      <c r="B1487" s="262" t="s">
        <v>1109</v>
      </c>
      <c r="C1487" s="262" t="s">
        <v>142</v>
      </c>
      <c r="D1487" s="262">
        <v>-91.073063700000006</v>
      </c>
      <c r="E1487" s="262">
        <v>38.409239999999997</v>
      </c>
      <c r="M1487" s="262">
        <v>13.8223713</v>
      </c>
      <c r="N1487" s="262">
        <v>13.8223713</v>
      </c>
    </row>
    <row r="1488" spans="1:14" x14ac:dyDescent="0.25">
      <c r="A1488" s="262">
        <v>29073</v>
      </c>
      <c r="B1488" s="262" t="s">
        <v>1109</v>
      </c>
      <c r="C1488" s="262" t="s">
        <v>1121</v>
      </c>
      <c r="D1488" s="262">
        <v>-91.506572000000006</v>
      </c>
      <c r="E1488" s="262">
        <v>38.441980000000001</v>
      </c>
      <c r="M1488" s="262">
        <v>13.775481299999999</v>
      </c>
      <c r="N1488" s="262">
        <v>13.775481299999999</v>
      </c>
    </row>
    <row r="1489" spans="1:14" x14ac:dyDescent="0.25">
      <c r="A1489" s="262">
        <v>29075</v>
      </c>
      <c r="B1489" s="262" t="s">
        <v>1109</v>
      </c>
      <c r="C1489" s="262" t="s">
        <v>1122</v>
      </c>
      <c r="D1489" s="262">
        <v>-94.406653700000007</v>
      </c>
      <c r="E1489" s="262">
        <v>40.219070000000002</v>
      </c>
      <c r="M1489" s="262">
        <v>12.634938679999999</v>
      </c>
      <c r="N1489" s="262">
        <v>12.634938679999999</v>
      </c>
    </row>
    <row r="1490" spans="1:14" x14ac:dyDescent="0.25">
      <c r="A1490" s="262">
        <v>29077</v>
      </c>
      <c r="B1490" s="262" t="s">
        <v>1109</v>
      </c>
      <c r="C1490" s="262" t="s">
        <v>144</v>
      </c>
      <c r="D1490" s="262">
        <v>-93.348810299999997</v>
      </c>
      <c r="E1490" s="262">
        <v>37.258139999999997</v>
      </c>
      <c r="M1490" s="262">
        <v>14.161053669999999</v>
      </c>
      <c r="N1490" s="262">
        <v>14.161053669999999</v>
      </c>
    </row>
    <row r="1491" spans="1:14" x14ac:dyDescent="0.25">
      <c r="A1491" s="262">
        <v>29079</v>
      </c>
      <c r="B1491" s="262" t="s">
        <v>1109</v>
      </c>
      <c r="C1491" s="262" t="s">
        <v>592</v>
      </c>
      <c r="D1491" s="262">
        <v>-93.561769499999997</v>
      </c>
      <c r="E1491" s="262">
        <v>40.122799999999998</v>
      </c>
      <c r="M1491" s="262">
        <v>12.67654205</v>
      </c>
      <c r="N1491" s="262">
        <v>12.67654205</v>
      </c>
    </row>
    <row r="1492" spans="1:14" x14ac:dyDescent="0.25">
      <c r="A1492" s="262">
        <v>29081</v>
      </c>
      <c r="B1492" s="262" t="s">
        <v>1109</v>
      </c>
      <c r="C1492" s="262" t="s">
        <v>641</v>
      </c>
      <c r="D1492" s="262">
        <v>-93.992944699999995</v>
      </c>
      <c r="E1492" s="262">
        <v>40.370109999999997</v>
      </c>
      <c r="M1492" s="262">
        <v>12.529263800000001</v>
      </c>
      <c r="N1492" s="262">
        <v>12.529263800000001</v>
      </c>
    </row>
    <row r="1493" spans="1:14" x14ac:dyDescent="0.25">
      <c r="A1493" s="262">
        <v>29083</v>
      </c>
      <c r="B1493" s="262" t="s">
        <v>1109</v>
      </c>
      <c r="C1493" s="262" t="s">
        <v>146</v>
      </c>
      <c r="D1493" s="262">
        <v>-93.796682399999995</v>
      </c>
      <c r="E1493" s="262">
        <v>38.390030000000003</v>
      </c>
      <c r="M1493" s="262">
        <v>13.716369690000001</v>
      </c>
      <c r="N1493" s="262">
        <v>13.716369690000001</v>
      </c>
    </row>
    <row r="1494" spans="1:14" x14ac:dyDescent="0.25">
      <c r="A1494" s="262">
        <v>29085</v>
      </c>
      <c r="B1494" s="262" t="s">
        <v>1109</v>
      </c>
      <c r="C1494" s="262" t="s">
        <v>1123</v>
      </c>
      <c r="D1494" s="262">
        <v>-93.322765799999999</v>
      </c>
      <c r="E1494" s="262">
        <v>37.946449999999999</v>
      </c>
      <c r="M1494" s="262">
        <v>13.883725780000001</v>
      </c>
      <c r="N1494" s="262">
        <v>13.883725780000001</v>
      </c>
    </row>
    <row r="1495" spans="1:14" x14ac:dyDescent="0.25">
      <c r="A1495" s="262">
        <v>29087</v>
      </c>
      <c r="B1495" s="262" t="s">
        <v>1109</v>
      </c>
      <c r="C1495" s="262" t="s">
        <v>1124</v>
      </c>
      <c r="D1495" s="262">
        <v>-95.209699400000005</v>
      </c>
      <c r="E1495" s="262">
        <v>40.105690000000003</v>
      </c>
      <c r="M1495" s="262">
        <v>12.674079320000001</v>
      </c>
      <c r="N1495" s="262">
        <v>12.674079320000001</v>
      </c>
    </row>
    <row r="1496" spans="1:14" x14ac:dyDescent="0.25">
      <c r="A1496" s="262">
        <v>29089</v>
      </c>
      <c r="B1496" s="262" t="s">
        <v>1109</v>
      </c>
      <c r="C1496" s="262" t="s">
        <v>221</v>
      </c>
      <c r="D1496" s="262">
        <v>-92.6824601</v>
      </c>
      <c r="E1496" s="262">
        <v>39.142690000000002</v>
      </c>
      <c r="M1496" s="262">
        <v>13.303378629999999</v>
      </c>
      <c r="N1496" s="262">
        <v>13.303378629999999</v>
      </c>
    </row>
    <row r="1497" spans="1:14" x14ac:dyDescent="0.25">
      <c r="A1497" s="262">
        <v>29091</v>
      </c>
      <c r="B1497" s="262" t="s">
        <v>1109</v>
      </c>
      <c r="C1497" s="262" t="s">
        <v>1125</v>
      </c>
      <c r="D1497" s="262">
        <v>-91.892242699999997</v>
      </c>
      <c r="E1497" s="262">
        <v>36.772289999999998</v>
      </c>
      <c r="M1497" s="262">
        <v>14.64138837</v>
      </c>
      <c r="N1497" s="262">
        <v>14.64138837</v>
      </c>
    </row>
    <row r="1498" spans="1:14" x14ac:dyDescent="0.25">
      <c r="A1498" s="262">
        <v>29093</v>
      </c>
      <c r="B1498" s="262" t="s">
        <v>1109</v>
      </c>
      <c r="C1498" s="262" t="s">
        <v>974</v>
      </c>
      <c r="D1498" s="262">
        <v>-90.782266100000001</v>
      </c>
      <c r="E1498" s="262">
        <v>37.551169999999999</v>
      </c>
      <c r="M1498" s="262">
        <v>14.31626007</v>
      </c>
      <c r="N1498" s="262">
        <v>14.31626007</v>
      </c>
    </row>
    <row r="1499" spans="1:14" x14ac:dyDescent="0.25">
      <c r="A1499" s="262">
        <v>29095</v>
      </c>
      <c r="B1499" s="262" t="s">
        <v>1109</v>
      </c>
      <c r="C1499" s="262" t="s">
        <v>148</v>
      </c>
      <c r="D1499" s="262">
        <v>-94.348676699999999</v>
      </c>
      <c r="E1499" s="262">
        <v>39.010300000000001</v>
      </c>
      <c r="M1499" s="262">
        <v>13.433459239999999</v>
      </c>
      <c r="N1499" s="262">
        <v>13.433459239999999</v>
      </c>
    </row>
    <row r="1500" spans="1:14" x14ac:dyDescent="0.25">
      <c r="A1500" s="262">
        <v>29097</v>
      </c>
      <c r="B1500" s="262" t="s">
        <v>1109</v>
      </c>
      <c r="C1500" s="262" t="s">
        <v>490</v>
      </c>
      <c r="D1500" s="262">
        <v>-94.351506200000003</v>
      </c>
      <c r="E1500" s="262">
        <v>37.215609999999998</v>
      </c>
      <c r="M1500" s="262">
        <v>14.336398900000001</v>
      </c>
      <c r="N1500" s="262">
        <v>14.336398900000001</v>
      </c>
    </row>
    <row r="1501" spans="1:14" x14ac:dyDescent="0.25">
      <c r="A1501" s="262">
        <v>29099</v>
      </c>
      <c r="B1501" s="262" t="s">
        <v>1109</v>
      </c>
      <c r="C1501" s="262" t="s">
        <v>149</v>
      </c>
      <c r="D1501" s="262">
        <v>-90.541843099999994</v>
      </c>
      <c r="E1501" s="262">
        <v>38.255969999999998</v>
      </c>
      <c r="M1501" s="262">
        <v>13.944755150000001</v>
      </c>
      <c r="N1501" s="262">
        <v>13.944755150000001</v>
      </c>
    </row>
    <row r="1502" spans="1:14" x14ac:dyDescent="0.25">
      <c r="A1502" s="262">
        <v>29101</v>
      </c>
      <c r="B1502" s="262" t="s">
        <v>1109</v>
      </c>
      <c r="C1502" s="262" t="s">
        <v>224</v>
      </c>
      <c r="D1502" s="262">
        <v>-93.806099099999997</v>
      </c>
      <c r="E1502" s="262">
        <v>38.745849999999997</v>
      </c>
      <c r="M1502" s="262">
        <v>13.5447255</v>
      </c>
      <c r="N1502" s="262">
        <v>13.5447255</v>
      </c>
    </row>
    <row r="1503" spans="1:14" x14ac:dyDescent="0.25">
      <c r="A1503" s="262">
        <v>29103</v>
      </c>
      <c r="B1503" s="262" t="s">
        <v>1109</v>
      </c>
      <c r="C1503" s="262" t="s">
        <v>601</v>
      </c>
      <c r="D1503" s="262">
        <v>-92.132783700000005</v>
      </c>
      <c r="E1503" s="262">
        <v>40.132390000000001</v>
      </c>
      <c r="M1503" s="262">
        <v>12.67597016</v>
      </c>
      <c r="N1503" s="262">
        <v>12.67597016</v>
      </c>
    </row>
    <row r="1504" spans="1:14" x14ac:dyDescent="0.25">
      <c r="A1504" s="262">
        <v>29105</v>
      </c>
      <c r="B1504" s="262" t="s">
        <v>1109</v>
      </c>
      <c r="C1504" s="262" t="s">
        <v>1126</v>
      </c>
      <c r="D1504" s="262">
        <v>-92.587768100000005</v>
      </c>
      <c r="E1504" s="262">
        <v>37.655679999999997</v>
      </c>
      <c r="M1504" s="262">
        <v>14.05999649</v>
      </c>
      <c r="N1504" s="262">
        <v>14.05999649</v>
      </c>
    </row>
    <row r="1505" spans="1:14" x14ac:dyDescent="0.25">
      <c r="A1505" s="262">
        <v>29107</v>
      </c>
      <c r="B1505" s="262" t="s">
        <v>1109</v>
      </c>
      <c r="C1505" s="262" t="s">
        <v>225</v>
      </c>
      <c r="D1505" s="262">
        <v>-93.784356200000005</v>
      </c>
      <c r="E1505" s="262">
        <v>39.065779999999997</v>
      </c>
      <c r="M1505" s="262">
        <v>13.371821560000001</v>
      </c>
      <c r="N1505" s="262">
        <v>13.371821560000001</v>
      </c>
    </row>
    <row r="1506" spans="1:14" x14ac:dyDescent="0.25">
      <c r="A1506" s="262">
        <v>29109</v>
      </c>
      <c r="B1506" s="262" t="s">
        <v>1109</v>
      </c>
      <c r="C1506" s="262" t="s">
        <v>152</v>
      </c>
      <c r="D1506" s="262">
        <v>-93.836266600000002</v>
      </c>
      <c r="E1506" s="262">
        <v>37.112520000000004</v>
      </c>
      <c r="M1506" s="262">
        <v>14.310134250000001</v>
      </c>
      <c r="N1506" s="262">
        <v>14.310134250000001</v>
      </c>
    </row>
    <row r="1507" spans="1:14" x14ac:dyDescent="0.25">
      <c r="A1507" s="262">
        <v>29111</v>
      </c>
      <c r="B1507" s="262" t="s">
        <v>1109</v>
      </c>
      <c r="C1507" s="262" t="s">
        <v>564</v>
      </c>
      <c r="D1507" s="262">
        <v>-91.707285999999996</v>
      </c>
      <c r="E1507" s="262">
        <v>40.098469999999999</v>
      </c>
      <c r="M1507" s="262">
        <v>12.69707489</v>
      </c>
      <c r="N1507" s="262">
        <v>12.69707489</v>
      </c>
    </row>
    <row r="1508" spans="1:14" x14ac:dyDescent="0.25">
      <c r="A1508" s="262">
        <v>29113</v>
      </c>
      <c r="B1508" s="262" t="s">
        <v>1109</v>
      </c>
      <c r="C1508" s="262" t="s">
        <v>226</v>
      </c>
      <c r="D1508" s="262">
        <v>-90.965040000000002</v>
      </c>
      <c r="E1508" s="262">
        <v>39.054960000000001</v>
      </c>
      <c r="M1508" s="262">
        <v>13.40770867</v>
      </c>
      <c r="N1508" s="262">
        <v>13.40770867</v>
      </c>
    </row>
    <row r="1509" spans="1:14" x14ac:dyDescent="0.25">
      <c r="A1509" s="262">
        <v>29115</v>
      </c>
      <c r="B1509" s="262" t="s">
        <v>1109</v>
      </c>
      <c r="C1509" s="262" t="s">
        <v>694</v>
      </c>
      <c r="D1509" s="262">
        <v>-93.105599799999993</v>
      </c>
      <c r="E1509" s="262">
        <v>39.870649999999998</v>
      </c>
      <c r="M1509" s="262">
        <v>12.84912767</v>
      </c>
      <c r="N1509" s="262">
        <v>12.84912767</v>
      </c>
    </row>
    <row r="1510" spans="1:14" x14ac:dyDescent="0.25">
      <c r="A1510" s="262">
        <v>29117</v>
      </c>
      <c r="B1510" s="262" t="s">
        <v>1109</v>
      </c>
      <c r="C1510" s="262" t="s">
        <v>603</v>
      </c>
      <c r="D1510" s="262">
        <v>-93.550007699999995</v>
      </c>
      <c r="E1510" s="262">
        <v>39.792589999999997</v>
      </c>
      <c r="M1510" s="262">
        <v>12.898589149999999</v>
      </c>
      <c r="N1510" s="262">
        <v>12.898589149999999</v>
      </c>
    </row>
    <row r="1511" spans="1:14" x14ac:dyDescent="0.25">
      <c r="A1511" s="262">
        <v>29119</v>
      </c>
      <c r="B1511" s="262" t="s">
        <v>1109</v>
      </c>
      <c r="C1511" s="262" t="s">
        <v>1127</v>
      </c>
      <c r="D1511" s="262">
        <v>-94.3605704</v>
      </c>
      <c r="E1511" s="262">
        <v>36.638530000000003</v>
      </c>
      <c r="M1511" s="262">
        <v>14.677803539999999</v>
      </c>
      <c r="N1511" s="262">
        <v>14.677803539999999</v>
      </c>
    </row>
    <row r="1512" spans="1:14" x14ac:dyDescent="0.25">
      <c r="A1512" s="262">
        <v>29121</v>
      </c>
      <c r="B1512" s="262" t="s">
        <v>1109</v>
      </c>
      <c r="C1512" s="262" t="s">
        <v>156</v>
      </c>
      <c r="D1512" s="262">
        <v>-92.548110800000003</v>
      </c>
      <c r="E1512" s="262">
        <v>39.832430000000002</v>
      </c>
      <c r="M1512" s="262">
        <v>12.87081079</v>
      </c>
      <c r="N1512" s="262">
        <v>12.87081079</v>
      </c>
    </row>
    <row r="1513" spans="1:14" x14ac:dyDescent="0.25">
      <c r="A1513" s="262">
        <v>29123</v>
      </c>
      <c r="B1513" s="262" t="s">
        <v>1109</v>
      </c>
      <c r="C1513" s="262" t="s">
        <v>157</v>
      </c>
      <c r="D1513" s="262">
        <v>-90.348122799999999</v>
      </c>
      <c r="E1513" s="262">
        <v>37.474710000000002</v>
      </c>
      <c r="M1513" s="262">
        <v>14.399960760000001</v>
      </c>
      <c r="N1513" s="262">
        <v>14.399960760000001</v>
      </c>
    </row>
    <row r="1514" spans="1:14" x14ac:dyDescent="0.25">
      <c r="A1514" s="262">
        <v>29125</v>
      </c>
      <c r="B1514" s="262" t="s">
        <v>1109</v>
      </c>
      <c r="C1514" s="262" t="s">
        <v>1128</v>
      </c>
      <c r="D1514" s="262">
        <v>-91.918812799999998</v>
      </c>
      <c r="E1514" s="262">
        <v>38.160919999999997</v>
      </c>
      <c r="M1514" s="262">
        <v>13.904055550000001</v>
      </c>
      <c r="N1514" s="262">
        <v>13.904055550000001</v>
      </c>
    </row>
    <row r="1515" spans="1:14" x14ac:dyDescent="0.25">
      <c r="A1515" s="262">
        <v>29127</v>
      </c>
      <c r="B1515" s="262" t="s">
        <v>1109</v>
      </c>
      <c r="C1515" s="262" t="s">
        <v>159</v>
      </c>
      <c r="D1515" s="262">
        <v>-91.613048599999999</v>
      </c>
      <c r="E1515" s="262">
        <v>39.8033</v>
      </c>
      <c r="M1515" s="262">
        <v>12.89418498</v>
      </c>
      <c r="N1515" s="262">
        <v>12.89418498</v>
      </c>
    </row>
    <row r="1516" spans="1:14" x14ac:dyDescent="0.25">
      <c r="A1516" s="262">
        <v>29129</v>
      </c>
      <c r="B1516" s="262" t="s">
        <v>1109</v>
      </c>
      <c r="C1516" s="262" t="s">
        <v>611</v>
      </c>
      <c r="D1516" s="262">
        <v>-93.567454400000003</v>
      </c>
      <c r="E1516" s="262">
        <v>40.436770000000003</v>
      </c>
      <c r="M1516" s="262">
        <v>12.46633477</v>
      </c>
      <c r="N1516" s="262">
        <v>12.46633477</v>
      </c>
    </row>
    <row r="1517" spans="1:14" x14ac:dyDescent="0.25">
      <c r="A1517" s="262">
        <v>29131</v>
      </c>
      <c r="B1517" s="262" t="s">
        <v>1109</v>
      </c>
      <c r="C1517" s="262" t="s">
        <v>230</v>
      </c>
      <c r="D1517" s="262">
        <v>-92.420361200000002</v>
      </c>
      <c r="E1517" s="262">
        <v>38.211919999999999</v>
      </c>
      <c r="M1517" s="262">
        <v>13.82922956</v>
      </c>
      <c r="N1517" s="262">
        <v>13.82922956</v>
      </c>
    </row>
    <row r="1518" spans="1:14" x14ac:dyDescent="0.25">
      <c r="A1518" s="262">
        <v>29133</v>
      </c>
      <c r="B1518" s="262" t="s">
        <v>1109</v>
      </c>
      <c r="C1518" s="262" t="s">
        <v>231</v>
      </c>
      <c r="D1518" s="262">
        <v>-89.273412199999996</v>
      </c>
      <c r="E1518" s="262">
        <v>36.828780000000002</v>
      </c>
      <c r="M1518" s="262">
        <v>14.78901271</v>
      </c>
      <c r="N1518" s="262">
        <v>14.78901271</v>
      </c>
    </row>
    <row r="1519" spans="1:14" x14ac:dyDescent="0.25">
      <c r="A1519" s="262">
        <v>29135</v>
      </c>
      <c r="B1519" s="262" t="s">
        <v>1109</v>
      </c>
      <c r="C1519" s="262" t="s">
        <v>1129</v>
      </c>
      <c r="D1519" s="262">
        <v>-92.577804200000003</v>
      </c>
      <c r="E1519" s="262">
        <v>38.631120000000003</v>
      </c>
      <c r="M1519" s="262">
        <v>13.60101285</v>
      </c>
      <c r="N1519" s="262">
        <v>13.60101285</v>
      </c>
    </row>
    <row r="1520" spans="1:14" x14ac:dyDescent="0.25">
      <c r="A1520" s="262">
        <v>29137</v>
      </c>
      <c r="B1520" s="262" t="s">
        <v>1109</v>
      </c>
      <c r="C1520" s="262" t="s">
        <v>162</v>
      </c>
      <c r="D1520" s="262">
        <v>-91.984278200000006</v>
      </c>
      <c r="E1520" s="262">
        <v>39.491990000000001</v>
      </c>
      <c r="M1520" s="262">
        <v>13.10257921</v>
      </c>
      <c r="N1520" s="262">
        <v>13.10257921</v>
      </c>
    </row>
    <row r="1521" spans="1:14" x14ac:dyDescent="0.25">
      <c r="A1521" s="262">
        <v>29139</v>
      </c>
      <c r="B1521" s="262" t="s">
        <v>1109</v>
      </c>
      <c r="C1521" s="262" t="s">
        <v>163</v>
      </c>
      <c r="D1521" s="262">
        <v>-91.462566100000004</v>
      </c>
      <c r="E1521" s="262">
        <v>38.934730000000002</v>
      </c>
      <c r="M1521" s="262">
        <v>13.46931397</v>
      </c>
      <c r="N1521" s="262">
        <v>13.46931397</v>
      </c>
    </row>
    <row r="1522" spans="1:14" x14ac:dyDescent="0.25">
      <c r="A1522" s="262">
        <v>29141</v>
      </c>
      <c r="B1522" s="262" t="s">
        <v>1109</v>
      </c>
      <c r="C1522" s="262" t="s">
        <v>164</v>
      </c>
      <c r="D1522" s="262">
        <v>-92.883295599999997</v>
      </c>
      <c r="E1522" s="262">
        <v>38.422530000000002</v>
      </c>
      <c r="M1522" s="262">
        <v>13.68651159</v>
      </c>
      <c r="N1522" s="262">
        <v>13.68651159</v>
      </c>
    </row>
    <row r="1523" spans="1:14" x14ac:dyDescent="0.25">
      <c r="A1523" s="262">
        <v>29143</v>
      </c>
      <c r="B1523" s="262" t="s">
        <v>1109</v>
      </c>
      <c r="C1523" s="262" t="s">
        <v>1130</v>
      </c>
      <c r="D1523" s="262">
        <v>-89.643555000000006</v>
      </c>
      <c r="E1523" s="262">
        <v>36.594619999999999</v>
      </c>
      <c r="M1523" s="262">
        <v>14.935763919999999</v>
      </c>
      <c r="N1523" s="262">
        <v>14.935763919999999</v>
      </c>
    </row>
    <row r="1524" spans="1:14" x14ac:dyDescent="0.25">
      <c r="A1524" s="262">
        <v>29145</v>
      </c>
      <c r="B1524" s="262" t="s">
        <v>1109</v>
      </c>
      <c r="C1524" s="262" t="s">
        <v>233</v>
      </c>
      <c r="D1524" s="262">
        <v>-94.348656899999995</v>
      </c>
      <c r="E1524" s="262">
        <v>36.91798</v>
      </c>
      <c r="M1524" s="262">
        <v>14.50750895</v>
      </c>
      <c r="N1524" s="262">
        <v>14.50750895</v>
      </c>
    </row>
    <row r="1525" spans="1:14" x14ac:dyDescent="0.25">
      <c r="A1525" s="262">
        <v>29147</v>
      </c>
      <c r="B1525" s="262" t="s">
        <v>1109</v>
      </c>
      <c r="C1525" s="262" t="s">
        <v>1131</v>
      </c>
      <c r="D1525" s="262">
        <v>-94.884193699999997</v>
      </c>
      <c r="E1525" s="262">
        <v>40.378950000000003</v>
      </c>
      <c r="M1525" s="262">
        <v>12.52810859</v>
      </c>
      <c r="N1525" s="262">
        <v>12.52810859</v>
      </c>
    </row>
    <row r="1526" spans="1:14" x14ac:dyDescent="0.25">
      <c r="A1526" s="262">
        <v>29149</v>
      </c>
      <c r="B1526" s="262" t="s">
        <v>1109</v>
      </c>
      <c r="C1526" s="262" t="s">
        <v>1132</v>
      </c>
      <c r="D1526" s="262">
        <v>-91.417208200000005</v>
      </c>
      <c r="E1526" s="262">
        <v>36.684420000000003</v>
      </c>
      <c r="M1526" s="262">
        <v>14.74993257</v>
      </c>
      <c r="N1526" s="262">
        <v>14.74993257</v>
      </c>
    </row>
    <row r="1527" spans="1:14" x14ac:dyDescent="0.25">
      <c r="A1527" s="262">
        <v>29151</v>
      </c>
      <c r="B1527" s="262" t="s">
        <v>1109</v>
      </c>
      <c r="C1527" s="262" t="s">
        <v>758</v>
      </c>
      <c r="D1527" s="262">
        <v>-91.854366099999993</v>
      </c>
      <c r="E1527" s="262">
        <v>38.461280000000002</v>
      </c>
      <c r="M1527" s="262">
        <v>13.74422588</v>
      </c>
      <c r="N1527" s="262">
        <v>13.74422588</v>
      </c>
    </row>
    <row r="1528" spans="1:14" x14ac:dyDescent="0.25">
      <c r="A1528" s="262">
        <v>29153</v>
      </c>
      <c r="B1528" s="262" t="s">
        <v>1109</v>
      </c>
      <c r="C1528" s="262" t="s">
        <v>1133</v>
      </c>
      <c r="D1528" s="262">
        <v>-92.441817099999994</v>
      </c>
      <c r="E1528" s="262">
        <v>36.651139999999998</v>
      </c>
      <c r="M1528" s="262">
        <v>14.63541137</v>
      </c>
      <c r="N1528" s="262">
        <v>14.63541137</v>
      </c>
    </row>
    <row r="1529" spans="1:14" x14ac:dyDescent="0.25">
      <c r="A1529" s="262">
        <v>29155</v>
      </c>
      <c r="B1529" s="262" t="s">
        <v>1109</v>
      </c>
      <c r="C1529" s="262" t="s">
        <v>1134</v>
      </c>
      <c r="D1529" s="262">
        <v>-89.788982000000004</v>
      </c>
      <c r="E1529" s="262">
        <v>36.212470000000003</v>
      </c>
      <c r="M1529" s="262">
        <v>15.159465669999999</v>
      </c>
      <c r="N1529" s="262">
        <v>15.159465669999999</v>
      </c>
    </row>
    <row r="1530" spans="1:14" x14ac:dyDescent="0.25">
      <c r="A1530" s="262">
        <v>29157</v>
      </c>
      <c r="B1530" s="262" t="s">
        <v>1109</v>
      </c>
      <c r="C1530" s="262" t="s">
        <v>165</v>
      </c>
      <c r="D1530" s="262">
        <v>-89.828996799999999</v>
      </c>
      <c r="E1530" s="262">
        <v>37.70337</v>
      </c>
      <c r="M1530" s="262">
        <v>14.27193274</v>
      </c>
      <c r="N1530" s="262">
        <v>14.27193274</v>
      </c>
    </row>
    <row r="1531" spans="1:14" x14ac:dyDescent="0.25">
      <c r="A1531" s="262">
        <v>29159</v>
      </c>
      <c r="B1531" s="262" t="s">
        <v>1109</v>
      </c>
      <c r="C1531" s="262" t="s">
        <v>1135</v>
      </c>
      <c r="D1531" s="262">
        <v>-93.282762000000005</v>
      </c>
      <c r="E1531" s="262">
        <v>38.730559999999997</v>
      </c>
      <c r="M1531" s="262">
        <v>13.526283810000001</v>
      </c>
      <c r="N1531" s="262">
        <v>13.526283810000001</v>
      </c>
    </row>
    <row r="1532" spans="1:14" x14ac:dyDescent="0.25">
      <c r="A1532" s="262">
        <v>29161</v>
      </c>
      <c r="B1532" s="262" t="s">
        <v>1109</v>
      </c>
      <c r="C1532" s="262" t="s">
        <v>1136</v>
      </c>
      <c r="D1532" s="262">
        <v>-91.791881900000007</v>
      </c>
      <c r="E1532" s="262">
        <v>37.873399999999997</v>
      </c>
      <c r="M1532" s="262">
        <v>14.05849007</v>
      </c>
      <c r="N1532" s="262">
        <v>14.05849007</v>
      </c>
    </row>
    <row r="1533" spans="1:14" x14ac:dyDescent="0.25">
      <c r="A1533" s="262">
        <v>29163</v>
      </c>
      <c r="B1533" s="262" t="s">
        <v>1109</v>
      </c>
      <c r="C1533" s="262" t="s">
        <v>167</v>
      </c>
      <c r="D1533" s="262">
        <v>-91.167428299999997</v>
      </c>
      <c r="E1533" s="262">
        <v>39.336100000000002</v>
      </c>
      <c r="M1533" s="262">
        <v>13.21718149</v>
      </c>
      <c r="N1533" s="262">
        <v>13.21718149</v>
      </c>
    </row>
    <row r="1534" spans="1:14" x14ac:dyDescent="0.25">
      <c r="A1534" s="262">
        <v>29165</v>
      </c>
      <c r="B1534" s="262" t="s">
        <v>1109</v>
      </c>
      <c r="C1534" s="262" t="s">
        <v>1137</v>
      </c>
      <c r="D1534" s="262">
        <v>-94.771868600000005</v>
      </c>
      <c r="E1534" s="262">
        <v>39.389240000000001</v>
      </c>
      <c r="M1534" s="262">
        <v>13.15460201</v>
      </c>
      <c r="N1534" s="262">
        <v>13.15460201</v>
      </c>
    </row>
    <row r="1535" spans="1:14" x14ac:dyDescent="0.25">
      <c r="A1535" s="262">
        <v>29167</v>
      </c>
      <c r="B1535" s="262" t="s">
        <v>1109</v>
      </c>
      <c r="C1535" s="262" t="s">
        <v>237</v>
      </c>
      <c r="D1535" s="262">
        <v>-93.408877200000006</v>
      </c>
      <c r="E1535" s="262">
        <v>37.618639999999999</v>
      </c>
      <c r="M1535" s="262">
        <v>14.016417710000001</v>
      </c>
      <c r="N1535" s="262">
        <v>14.016417710000001</v>
      </c>
    </row>
    <row r="1536" spans="1:14" x14ac:dyDescent="0.25">
      <c r="A1536" s="262">
        <v>29169</v>
      </c>
      <c r="B1536" s="262" t="s">
        <v>1109</v>
      </c>
      <c r="C1536" s="262" t="s">
        <v>240</v>
      </c>
      <c r="D1536" s="262">
        <v>-92.203169799999998</v>
      </c>
      <c r="E1536" s="262">
        <v>37.820329999999998</v>
      </c>
      <c r="M1536" s="262">
        <v>14.04322421</v>
      </c>
      <c r="N1536" s="262">
        <v>14.04322421</v>
      </c>
    </row>
    <row r="1537" spans="1:14" x14ac:dyDescent="0.25">
      <c r="A1537" s="262">
        <v>29171</v>
      </c>
      <c r="B1537" s="262" t="s">
        <v>1109</v>
      </c>
      <c r="C1537" s="262" t="s">
        <v>421</v>
      </c>
      <c r="D1537" s="262">
        <v>-93.010824200000002</v>
      </c>
      <c r="E1537" s="262">
        <v>40.492229999999999</v>
      </c>
      <c r="M1537" s="262">
        <v>12.42769232</v>
      </c>
      <c r="N1537" s="262">
        <v>12.42769232</v>
      </c>
    </row>
    <row r="1538" spans="1:14" x14ac:dyDescent="0.25">
      <c r="A1538" s="262">
        <v>29173</v>
      </c>
      <c r="B1538" s="262" t="s">
        <v>1109</v>
      </c>
      <c r="C1538" s="262" t="s">
        <v>1138</v>
      </c>
      <c r="D1538" s="262">
        <v>-91.508990100000005</v>
      </c>
      <c r="E1538" s="262">
        <v>39.523589999999999</v>
      </c>
      <c r="M1538" s="262">
        <v>13.09120034</v>
      </c>
      <c r="N1538" s="262">
        <v>13.09120034</v>
      </c>
    </row>
    <row r="1539" spans="1:14" x14ac:dyDescent="0.25">
      <c r="A1539" s="262">
        <v>29175</v>
      </c>
      <c r="B1539" s="262" t="s">
        <v>1109</v>
      </c>
      <c r="C1539" s="262" t="s">
        <v>168</v>
      </c>
      <c r="D1539" s="262">
        <v>-92.4769486</v>
      </c>
      <c r="E1539" s="262">
        <v>39.438049999999997</v>
      </c>
      <c r="M1539" s="262">
        <v>13.129364069999999</v>
      </c>
      <c r="N1539" s="262">
        <v>13.129364069999999</v>
      </c>
    </row>
    <row r="1540" spans="1:14" x14ac:dyDescent="0.25">
      <c r="A1540" s="262">
        <v>29177</v>
      </c>
      <c r="B1540" s="262" t="s">
        <v>1109</v>
      </c>
      <c r="C1540" s="262" t="s">
        <v>1139</v>
      </c>
      <c r="D1540" s="262">
        <v>-93.992315599999998</v>
      </c>
      <c r="E1540" s="262">
        <v>39.356020000000001</v>
      </c>
      <c r="M1540" s="262">
        <v>13.2095331</v>
      </c>
      <c r="N1540" s="262">
        <v>13.2095331</v>
      </c>
    </row>
    <row r="1541" spans="1:14" x14ac:dyDescent="0.25">
      <c r="A1541" s="262">
        <v>29179</v>
      </c>
      <c r="B1541" s="262" t="s">
        <v>1109</v>
      </c>
      <c r="C1541" s="262" t="s">
        <v>1140</v>
      </c>
      <c r="D1541" s="262">
        <v>-90.975201600000005</v>
      </c>
      <c r="E1541" s="262">
        <v>37.351210000000002</v>
      </c>
      <c r="M1541" s="262">
        <v>14.418714700000001</v>
      </c>
      <c r="N1541" s="262">
        <v>14.418714700000001</v>
      </c>
    </row>
    <row r="1542" spans="1:14" x14ac:dyDescent="0.25">
      <c r="A1542" s="262">
        <v>29181</v>
      </c>
      <c r="B1542" s="262" t="s">
        <v>1109</v>
      </c>
      <c r="C1542" s="262" t="s">
        <v>656</v>
      </c>
      <c r="D1542" s="262">
        <v>-90.873069900000004</v>
      </c>
      <c r="E1542" s="262">
        <v>36.650669999999998</v>
      </c>
      <c r="M1542" s="262">
        <v>14.836856210000001</v>
      </c>
      <c r="N1542" s="262">
        <v>14.836856210000001</v>
      </c>
    </row>
    <row r="1543" spans="1:14" x14ac:dyDescent="0.25">
      <c r="A1543" s="262">
        <v>29183</v>
      </c>
      <c r="B1543" s="262" t="s">
        <v>1109</v>
      </c>
      <c r="C1543" s="262" t="s">
        <v>1141</v>
      </c>
      <c r="D1543" s="262">
        <v>-90.6705671</v>
      </c>
      <c r="E1543" s="262">
        <v>38.782829999999997</v>
      </c>
      <c r="M1543" s="262">
        <v>13.597924969999999</v>
      </c>
      <c r="N1543" s="262">
        <v>13.597924969999999</v>
      </c>
    </row>
    <row r="1544" spans="1:14" x14ac:dyDescent="0.25">
      <c r="A1544" s="262">
        <v>29185</v>
      </c>
      <c r="B1544" s="262" t="s">
        <v>1109</v>
      </c>
      <c r="C1544" s="262" t="s">
        <v>170</v>
      </c>
      <c r="D1544" s="262">
        <v>-93.782177500000003</v>
      </c>
      <c r="E1544" s="262">
        <v>38.03877</v>
      </c>
      <c r="M1544" s="262">
        <v>13.86799437</v>
      </c>
      <c r="N1544" s="262">
        <v>13.86799437</v>
      </c>
    </row>
    <row r="1545" spans="1:14" x14ac:dyDescent="0.25">
      <c r="A1545" s="262">
        <v>29186</v>
      </c>
      <c r="B1545" s="262" t="s">
        <v>1109</v>
      </c>
      <c r="C1545" s="262" t="s">
        <v>1142</v>
      </c>
      <c r="D1545" s="262">
        <v>-90.194479200000004</v>
      </c>
      <c r="E1545" s="262">
        <v>37.888840000000002</v>
      </c>
      <c r="M1545" s="262">
        <v>14.166468289999999</v>
      </c>
      <c r="N1545" s="262">
        <v>14.166468289999999</v>
      </c>
    </row>
    <row r="1546" spans="1:14" x14ac:dyDescent="0.25">
      <c r="A1546" s="262">
        <v>29187</v>
      </c>
      <c r="B1546" s="262" t="s">
        <v>1109</v>
      </c>
      <c r="C1546" s="262" t="s">
        <v>1143</v>
      </c>
      <c r="D1546" s="262">
        <v>-90.475734299999999</v>
      </c>
      <c r="E1546" s="262">
        <v>37.806579999999997</v>
      </c>
      <c r="M1546" s="262">
        <v>14.20419377</v>
      </c>
      <c r="N1546" s="262">
        <v>14.20419377</v>
      </c>
    </row>
    <row r="1547" spans="1:14" x14ac:dyDescent="0.25">
      <c r="A1547" s="262">
        <v>29189</v>
      </c>
      <c r="B1547" s="262" t="s">
        <v>1109</v>
      </c>
      <c r="C1547" s="262" t="s">
        <v>1058</v>
      </c>
      <c r="D1547" s="262">
        <v>-90.449198899999999</v>
      </c>
      <c r="E1547" s="262">
        <v>38.641480000000001</v>
      </c>
      <c r="M1547" s="262">
        <v>13.70347827</v>
      </c>
      <c r="N1547" s="262">
        <v>13.70347827</v>
      </c>
    </row>
    <row r="1548" spans="1:14" x14ac:dyDescent="0.25">
      <c r="A1548" s="262">
        <v>29195</v>
      </c>
      <c r="B1548" s="262" t="s">
        <v>1109</v>
      </c>
      <c r="C1548" s="262" t="s">
        <v>242</v>
      </c>
      <c r="D1548" s="262">
        <v>-93.195611999999997</v>
      </c>
      <c r="E1548" s="262">
        <v>39.140639999999998</v>
      </c>
      <c r="M1548" s="262">
        <v>13.30569113</v>
      </c>
      <c r="N1548" s="262">
        <v>13.30569113</v>
      </c>
    </row>
    <row r="1549" spans="1:14" x14ac:dyDescent="0.25">
      <c r="A1549" s="262">
        <v>29197</v>
      </c>
      <c r="B1549" s="262" t="s">
        <v>1109</v>
      </c>
      <c r="C1549" s="262" t="s">
        <v>619</v>
      </c>
      <c r="D1549" s="262">
        <v>-92.507404100000002</v>
      </c>
      <c r="E1549" s="262">
        <v>40.480330000000002</v>
      </c>
      <c r="M1549" s="262">
        <v>12.434527750000001</v>
      </c>
      <c r="N1549" s="262">
        <v>12.434527750000001</v>
      </c>
    </row>
    <row r="1550" spans="1:14" x14ac:dyDescent="0.25">
      <c r="A1550" s="262">
        <v>29199</v>
      </c>
      <c r="B1550" s="262" t="s">
        <v>1109</v>
      </c>
      <c r="C1550" s="262" t="s">
        <v>1144</v>
      </c>
      <c r="D1550" s="262">
        <v>-92.134366299999996</v>
      </c>
      <c r="E1550" s="262">
        <v>40.463560000000001</v>
      </c>
      <c r="M1550" s="262">
        <v>12.44899983</v>
      </c>
      <c r="N1550" s="262">
        <v>12.44899983</v>
      </c>
    </row>
    <row r="1551" spans="1:14" x14ac:dyDescent="0.25">
      <c r="A1551" s="262">
        <v>29201</v>
      </c>
      <c r="B1551" s="262" t="s">
        <v>1109</v>
      </c>
      <c r="C1551" s="262" t="s">
        <v>243</v>
      </c>
      <c r="D1551" s="262">
        <v>-89.564729299999996</v>
      </c>
      <c r="E1551" s="262">
        <v>37.051270000000002</v>
      </c>
      <c r="M1551" s="262">
        <v>14.663551269999999</v>
      </c>
      <c r="N1551" s="262">
        <v>14.663551269999999</v>
      </c>
    </row>
    <row r="1552" spans="1:14" x14ac:dyDescent="0.25">
      <c r="A1552" s="262">
        <v>29203</v>
      </c>
      <c r="B1552" s="262" t="s">
        <v>1109</v>
      </c>
      <c r="C1552" s="262" t="s">
        <v>1145</v>
      </c>
      <c r="D1552" s="262">
        <v>-91.409265099999999</v>
      </c>
      <c r="E1552" s="262">
        <v>37.152479999999997</v>
      </c>
      <c r="M1552" s="262">
        <v>14.486930839999999</v>
      </c>
      <c r="N1552" s="262">
        <v>14.486930839999999</v>
      </c>
    </row>
    <row r="1553" spans="1:14" x14ac:dyDescent="0.25">
      <c r="A1553" s="262">
        <v>29205</v>
      </c>
      <c r="B1553" s="262" t="s">
        <v>1109</v>
      </c>
      <c r="C1553" s="262" t="s">
        <v>171</v>
      </c>
      <c r="D1553" s="262">
        <v>-92.053831500000001</v>
      </c>
      <c r="E1553" s="262">
        <v>39.795990000000003</v>
      </c>
      <c r="M1553" s="262">
        <v>12.90191227</v>
      </c>
      <c r="N1553" s="262">
        <v>12.90191227</v>
      </c>
    </row>
    <row r="1554" spans="1:14" x14ac:dyDescent="0.25">
      <c r="A1554" s="262">
        <v>29207</v>
      </c>
      <c r="B1554" s="262" t="s">
        <v>1109</v>
      </c>
      <c r="C1554" s="262" t="s">
        <v>1146</v>
      </c>
      <c r="D1554" s="262">
        <v>-89.946939900000004</v>
      </c>
      <c r="E1554" s="262">
        <v>36.856560000000002</v>
      </c>
      <c r="M1554" s="262">
        <v>14.76494793</v>
      </c>
      <c r="N1554" s="262">
        <v>14.76494793</v>
      </c>
    </row>
    <row r="1555" spans="1:14" x14ac:dyDescent="0.25">
      <c r="A1555" s="262">
        <v>29209</v>
      </c>
      <c r="B1555" s="262" t="s">
        <v>1109</v>
      </c>
      <c r="C1555" s="262" t="s">
        <v>248</v>
      </c>
      <c r="D1555" s="262">
        <v>-93.470860999999999</v>
      </c>
      <c r="E1555" s="262">
        <v>36.748489999999997</v>
      </c>
      <c r="M1555" s="262">
        <v>14.5040963</v>
      </c>
      <c r="N1555" s="262">
        <v>14.5040963</v>
      </c>
    </row>
    <row r="1556" spans="1:14" x14ac:dyDescent="0.25">
      <c r="A1556" s="262">
        <v>29211</v>
      </c>
      <c r="B1556" s="262" t="s">
        <v>1109</v>
      </c>
      <c r="C1556" s="262" t="s">
        <v>662</v>
      </c>
      <c r="D1556" s="262">
        <v>-93.104512600000007</v>
      </c>
      <c r="E1556" s="262">
        <v>40.212809999999998</v>
      </c>
      <c r="M1556" s="262">
        <v>12.6127919</v>
      </c>
      <c r="N1556" s="262">
        <v>12.6127919</v>
      </c>
    </row>
    <row r="1557" spans="1:14" x14ac:dyDescent="0.25">
      <c r="A1557" s="262">
        <v>29213</v>
      </c>
      <c r="B1557" s="262" t="s">
        <v>1109</v>
      </c>
      <c r="C1557" s="262" t="s">
        <v>1147</v>
      </c>
      <c r="D1557" s="262">
        <v>-93.048829100000006</v>
      </c>
      <c r="E1557" s="262">
        <v>36.65887</v>
      </c>
      <c r="M1557" s="262">
        <v>14.558850809999999</v>
      </c>
      <c r="N1557" s="262">
        <v>14.558850809999999</v>
      </c>
    </row>
    <row r="1558" spans="1:14" x14ac:dyDescent="0.25">
      <c r="A1558" s="262">
        <v>29215</v>
      </c>
      <c r="B1558" s="262" t="s">
        <v>1109</v>
      </c>
      <c r="C1558" s="262" t="s">
        <v>1148</v>
      </c>
      <c r="D1558" s="262">
        <v>-91.967570100000003</v>
      </c>
      <c r="E1558" s="262">
        <v>37.313459999999999</v>
      </c>
      <c r="M1558" s="262">
        <v>14.327966569999999</v>
      </c>
      <c r="N1558" s="262">
        <v>14.327966569999999</v>
      </c>
    </row>
    <row r="1559" spans="1:14" x14ac:dyDescent="0.25">
      <c r="A1559" s="262">
        <v>29217</v>
      </c>
      <c r="B1559" s="262" t="s">
        <v>1109</v>
      </c>
      <c r="C1559" s="262" t="s">
        <v>1149</v>
      </c>
      <c r="D1559" s="262">
        <v>-94.350875500000001</v>
      </c>
      <c r="E1559" s="262">
        <v>37.852780000000003</v>
      </c>
      <c r="M1559" s="262">
        <v>13.998162049999999</v>
      </c>
      <c r="N1559" s="262">
        <v>13.998162049999999</v>
      </c>
    </row>
    <row r="1560" spans="1:14" x14ac:dyDescent="0.25">
      <c r="A1560" s="262">
        <v>29219</v>
      </c>
      <c r="B1560" s="262" t="s">
        <v>1109</v>
      </c>
      <c r="C1560" s="262" t="s">
        <v>533</v>
      </c>
      <c r="D1560" s="262">
        <v>-91.147100600000002</v>
      </c>
      <c r="E1560" s="262">
        <v>38.759079999999997</v>
      </c>
      <c r="M1560" s="262">
        <v>13.597633160000001</v>
      </c>
      <c r="N1560" s="262">
        <v>13.597633160000001</v>
      </c>
    </row>
    <row r="1561" spans="1:14" x14ac:dyDescent="0.25">
      <c r="A1561" s="262">
        <v>29221</v>
      </c>
      <c r="B1561" s="262" t="s">
        <v>1109</v>
      </c>
      <c r="C1561" s="262" t="s">
        <v>177</v>
      </c>
      <c r="D1561" s="262">
        <v>-90.879842800000006</v>
      </c>
      <c r="E1561" s="262">
        <v>37.955210000000001</v>
      </c>
      <c r="M1561" s="262">
        <v>14.091310480000001</v>
      </c>
      <c r="N1561" s="262">
        <v>14.091310480000001</v>
      </c>
    </row>
    <row r="1562" spans="1:14" x14ac:dyDescent="0.25">
      <c r="A1562" s="262">
        <v>29223</v>
      </c>
      <c r="B1562" s="262" t="s">
        <v>1109</v>
      </c>
      <c r="C1562" s="262" t="s">
        <v>534</v>
      </c>
      <c r="D1562" s="262">
        <v>-90.474722999999997</v>
      </c>
      <c r="E1562" s="262">
        <v>37.11027</v>
      </c>
      <c r="M1562" s="262">
        <v>14.59203458</v>
      </c>
      <c r="N1562" s="262">
        <v>14.59203458</v>
      </c>
    </row>
    <row r="1563" spans="1:14" x14ac:dyDescent="0.25">
      <c r="A1563" s="262">
        <v>29225</v>
      </c>
      <c r="B1563" s="262" t="s">
        <v>1109</v>
      </c>
      <c r="C1563" s="262" t="s">
        <v>535</v>
      </c>
      <c r="D1563" s="262">
        <v>-92.880714699999999</v>
      </c>
      <c r="E1563" s="262">
        <v>37.281199999999998</v>
      </c>
      <c r="M1563" s="262">
        <v>14.183737600000001</v>
      </c>
      <c r="N1563" s="262">
        <v>14.183737600000001</v>
      </c>
    </row>
    <row r="1564" spans="1:14" x14ac:dyDescent="0.25">
      <c r="A1564" s="262">
        <v>29227</v>
      </c>
      <c r="B1564" s="262" t="s">
        <v>1109</v>
      </c>
      <c r="C1564" s="262" t="s">
        <v>540</v>
      </c>
      <c r="D1564" s="262">
        <v>-94.425248199999999</v>
      </c>
      <c r="E1564" s="262">
        <v>40.494030000000002</v>
      </c>
      <c r="M1564" s="262">
        <v>12.453172289999999</v>
      </c>
      <c r="N1564" s="262">
        <v>12.453172289999999</v>
      </c>
    </row>
    <row r="1565" spans="1:14" x14ac:dyDescent="0.25">
      <c r="A1565" s="262">
        <v>29229</v>
      </c>
      <c r="B1565" s="262" t="s">
        <v>1109</v>
      </c>
      <c r="C1565" s="262" t="s">
        <v>717</v>
      </c>
      <c r="D1565" s="262">
        <v>-92.469797799999995</v>
      </c>
      <c r="E1565" s="262">
        <v>37.267449999999997</v>
      </c>
      <c r="M1565" s="262">
        <v>14.273055729999999</v>
      </c>
      <c r="N1565" s="262">
        <v>14.273055729999999</v>
      </c>
    </row>
    <row r="1566" spans="1:14" x14ac:dyDescent="0.25">
      <c r="A1566" s="262">
        <v>29510</v>
      </c>
      <c r="B1566" s="262" t="s">
        <v>1109</v>
      </c>
      <c r="C1566" s="262" t="s">
        <v>1150</v>
      </c>
      <c r="D1566" s="262">
        <v>-90.254699000000002</v>
      </c>
      <c r="E1566" s="262">
        <v>38.634059999999998</v>
      </c>
      <c r="M1566" s="262">
        <v>13.71732169</v>
      </c>
      <c r="N1566" s="262">
        <v>13.71732169</v>
      </c>
    </row>
    <row r="1567" spans="1:14" x14ac:dyDescent="0.25">
      <c r="A1567" s="262">
        <v>30001</v>
      </c>
      <c r="B1567" s="262" t="s">
        <v>1151</v>
      </c>
      <c r="C1567" s="262" t="s">
        <v>1152</v>
      </c>
      <c r="D1567" s="262">
        <v>-112.890265</v>
      </c>
      <c r="E1567" s="262">
        <v>45.131079999999997</v>
      </c>
      <c r="M1567" s="262">
        <v>7.5561425250000003</v>
      </c>
      <c r="N1567" s="262">
        <v>7.5561425250000003</v>
      </c>
    </row>
    <row r="1568" spans="1:14" x14ac:dyDescent="0.25">
      <c r="A1568" s="262">
        <v>30003</v>
      </c>
      <c r="B1568" s="262" t="s">
        <v>1151</v>
      </c>
      <c r="C1568" s="262" t="s">
        <v>1153</v>
      </c>
      <c r="D1568" s="262">
        <v>-107.48948900000001</v>
      </c>
      <c r="E1568" s="262">
        <v>45.423119999999997</v>
      </c>
      <c r="M1568" s="262">
        <v>9.4007392289999991</v>
      </c>
      <c r="N1568" s="262">
        <v>9.4007392289999991</v>
      </c>
    </row>
    <row r="1569" spans="1:14" x14ac:dyDescent="0.25">
      <c r="A1569" s="262">
        <v>30005</v>
      </c>
      <c r="B1569" s="262" t="s">
        <v>1151</v>
      </c>
      <c r="C1569" s="262" t="s">
        <v>547</v>
      </c>
      <c r="D1569" s="262">
        <v>-108.95757999999999</v>
      </c>
      <c r="E1569" s="262">
        <v>48.430010000000003</v>
      </c>
      <c r="M1569" s="262">
        <v>8.5971995020000005</v>
      </c>
      <c r="N1569" s="262">
        <v>8.5971995020000005</v>
      </c>
    </row>
    <row r="1570" spans="1:14" x14ac:dyDescent="0.25">
      <c r="A1570" s="262">
        <v>30007</v>
      </c>
      <c r="B1570" s="262" t="s">
        <v>1151</v>
      </c>
      <c r="C1570" s="262" t="s">
        <v>1154</v>
      </c>
      <c r="D1570" s="262">
        <v>-111.49423400000001</v>
      </c>
      <c r="E1570" s="262">
        <v>46.330179999999999</v>
      </c>
      <c r="M1570" s="262">
        <v>7.5191986679999996</v>
      </c>
      <c r="N1570" s="262">
        <v>7.5191986679999996</v>
      </c>
    </row>
    <row r="1571" spans="1:14" x14ac:dyDescent="0.25">
      <c r="A1571" s="262">
        <v>30009</v>
      </c>
      <c r="B1571" s="262" t="s">
        <v>1151</v>
      </c>
      <c r="C1571" s="262" t="s">
        <v>1155</v>
      </c>
      <c r="D1571" s="262">
        <v>-109.03361700000001</v>
      </c>
      <c r="E1571" s="262">
        <v>45.224609999999998</v>
      </c>
      <c r="M1571" s="262">
        <v>8.5861984689999993</v>
      </c>
      <c r="N1571" s="262">
        <v>8.5861984689999993</v>
      </c>
    </row>
    <row r="1572" spans="1:14" x14ac:dyDescent="0.25">
      <c r="A1572" s="262">
        <v>30011</v>
      </c>
      <c r="B1572" s="262" t="s">
        <v>1151</v>
      </c>
      <c r="C1572" s="262" t="s">
        <v>801</v>
      </c>
      <c r="D1572" s="262">
        <v>-104.53307599999999</v>
      </c>
      <c r="E1572" s="262">
        <v>45.521149999999999</v>
      </c>
      <c r="M1572" s="262">
        <v>9.9399340299999999</v>
      </c>
      <c r="N1572" s="262">
        <v>9.9399340299999999</v>
      </c>
    </row>
    <row r="1573" spans="1:14" x14ac:dyDescent="0.25">
      <c r="A1573" s="262">
        <v>30013</v>
      </c>
      <c r="B1573" s="262" t="s">
        <v>1151</v>
      </c>
      <c r="C1573" s="262" t="s">
        <v>1156</v>
      </c>
      <c r="D1573" s="262">
        <v>-111.336473</v>
      </c>
      <c r="E1573" s="262">
        <v>47.302610000000001</v>
      </c>
      <c r="M1573" s="262">
        <v>7.9076834869999999</v>
      </c>
      <c r="N1573" s="262">
        <v>7.9076834869999999</v>
      </c>
    </row>
    <row r="1574" spans="1:14" x14ac:dyDescent="0.25">
      <c r="A1574" s="262">
        <v>30015</v>
      </c>
      <c r="B1574" s="262" t="s">
        <v>1151</v>
      </c>
      <c r="C1574" s="262" t="s">
        <v>1157</v>
      </c>
      <c r="D1574" s="262">
        <v>-110.42757</v>
      </c>
      <c r="E1574" s="262">
        <v>47.876269999999998</v>
      </c>
      <c r="M1574" s="262">
        <v>8.1781854779999996</v>
      </c>
      <c r="N1574" s="262">
        <v>8.1781854779999996</v>
      </c>
    </row>
    <row r="1575" spans="1:14" x14ac:dyDescent="0.25">
      <c r="A1575" s="262">
        <v>30017</v>
      </c>
      <c r="B1575" s="262" t="s">
        <v>1151</v>
      </c>
      <c r="C1575" s="262" t="s">
        <v>326</v>
      </c>
      <c r="D1575" s="262">
        <v>-105.54898</v>
      </c>
      <c r="E1575" s="262">
        <v>46.257640000000002</v>
      </c>
      <c r="M1575" s="262">
        <v>9.7388029009999997</v>
      </c>
      <c r="N1575" s="262">
        <v>9.7388029009999997</v>
      </c>
    </row>
    <row r="1576" spans="1:14" x14ac:dyDescent="0.25">
      <c r="A1576" s="262">
        <v>30019</v>
      </c>
      <c r="B1576" s="262" t="s">
        <v>1151</v>
      </c>
      <c r="C1576" s="262" t="s">
        <v>1158</v>
      </c>
      <c r="D1576" s="262">
        <v>-105.538855</v>
      </c>
      <c r="E1576" s="262">
        <v>48.785739999999997</v>
      </c>
      <c r="M1576" s="262">
        <v>9.5653759970000003</v>
      </c>
      <c r="N1576" s="262">
        <v>9.5653759970000003</v>
      </c>
    </row>
    <row r="1577" spans="1:14" x14ac:dyDescent="0.25">
      <c r="A1577" s="262">
        <v>30021</v>
      </c>
      <c r="B1577" s="262" t="s">
        <v>1151</v>
      </c>
      <c r="C1577" s="262" t="s">
        <v>463</v>
      </c>
      <c r="D1577" s="262">
        <v>-104.88755500000001</v>
      </c>
      <c r="E1577" s="262">
        <v>47.266640000000002</v>
      </c>
      <c r="M1577" s="262">
        <v>9.6483964170000007</v>
      </c>
      <c r="N1577" s="262">
        <v>9.6483964170000007</v>
      </c>
    </row>
    <row r="1578" spans="1:14" x14ac:dyDescent="0.25">
      <c r="A1578" s="262">
        <v>30023</v>
      </c>
      <c r="B1578" s="262" t="s">
        <v>1151</v>
      </c>
      <c r="C1578" s="262" t="s">
        <v>1159</v>
      </c>
      <c r="D1578" s="262">
        <v>-113.063013</v>
      </c>
      <c r="E1578" s="262">
        <v>46.053719999999998</v>
      </c>
      <c r="M1578" s="262">
        <v>7.0121875989999998</v>
      </c>
      <c r="N1578" s="262">
        <v>7.0121875989999998</v>
      </c>
    </row>
    <row r="1579" spans="1:14" x14ac:dyDescent="0.25">
      <c r="A1579" s="262">
        <v>30025</v>
      </c>
      <c r="B1579" s="262" t="s">
        <v>1151</v>
      </c>
      <c r="C1579" s="262" t="s">
        <v>1160</v>
      </c>
      <c r="D1579" s="262">
        <v>-104.40903400000001</v>
      </c>
      <c r="E1579" s="262">
        <v>46.336790000000001</v>
      </c>
      <c r="M1579" s="262">
        <v>9.7809299599999999</v>
      </c>
      <c r="N1579" s="262">
        <v>9.7809299599999999</v>
      </c>
    </row>
    <row r="1580" spans="1:14" x14ac:dyDescent="0.25">
      <c r="A1580" s="262">
        <v>30027</v>
      </c>
      <c r="B1580" s="262" t="s">
        <v>1151</v>
      </c>
      <c r="C1580" s="262" t="s">
        <v>1161</v>
      </c>
      <c r="D1580" s="262">
        <v>-109.21739100000001</v>
      </c>
      <c r="E1580" s="262">
        <v>47.263829999999999</v>
      </c>
      <c r="M1580" s="262">
        <v>8.2192117390000003</v>
      </c>
      <c r="N1580" s="262">
        <v>8.2192117390000003</v>
      </c>
    </row>
    <row r="1581" spans="1:14" x14ac:dyDescent="0.25">
      <c r="A1581" s="262">
        <v>30029</v>
      </c>
      <c r="B1581" s="262" t="s">
        <v>1151</v>
      </c>
      <c r="C1581" s="262" t="s">
        <v>1162</v>
      </c>
      <c r="D1581" s="262">
        <v>-114.03979200000001</v>
      </c>
      <c r="E1581" s="262">
        <v>48.285150000000002</v>
      </c>
      <c r="M1581" s="262">
        <v>8.3372419729999994</v>
      </c>
      <c r="N1581" s="262">
        <v>8.3372419729999994</v>
      </c>
    </row>
    <row r="1582" spans="1:14" x14ac:dyDescent="0.25">
      <c r="A1582" s="262">
        <v>30031</v>
      </c>
      <c r="B1582" s="262" t="s">
        <v>1151</v>
      </c>
      <c r="C1582" s="262" t="s">
        <v>591</v>
      </c>
      <c r="D1582" s="262">
        <v>-111.17586799999999</v>
      </c>
      <c r="E1582" s="262">
        <v>45.559330000000003</v>
      </c>
      <c r="M1582" s="262">
        <v>7.7563703329999996</v>
      </c>
      <c r="N1582" s="262">
        <v>7.7563703329999996</v>
      </c>
    </row>
    <row r="1583" spans="1:14" x14ac:dyDescent="0.25">
      <c r="A1583" s="262">
        <v>30033</v>
      </c>
      <c r="B1583" s="262" t="s">
        <v>1151</v>
      </c>
      <c r="C1583" s="262" t="s">
        <v>335</v>
      </c>
      <c r="D1583" s="262">
        <v>-106.98404499999999</v>
      </c>
      <c r="E1583" s="262">
        <v>47.282589999999999</v>
      </c>
      <c r="M1583" s="262">
        <v>9.310220138</v>
      </c>
      <c r="N1583" s="262">
        <v>9.310220138</v>
      </c>
    </row>
    <row r="1584" spans="1:14" x14ac:dyDescent="0.25">
      <c r="A1584" s="262">
        <v>30035</v>
      </c>
      <c r="B1584" s="262" t="s">
        <v>1151</v>
      </c>
      <c r="C1584" s="262" t="s">
        <v>1163</v>
      </c>
      <c r="D1584" s="262">
        <v>-112.992266</v>
      </c>
      <c r="E1584" s="262">
        <v>48.695320000000002</v>
      </c>
      <c r="M1584" s="262">
        <v>8.3710668340000005</v>
      </c>
      <c r="N1584" s="262">
        <v>8.3710668340000005</v>
      </c>
    </row>
    <row r="1585" spans="1:14" x14ac:dyDescent="0.25">
      <c r="A1585" s="262">
        <v>30037</v>
      </c>
      <c r="B1585" s="262" t="s">
        <v>1151</v>
      </c>
      <c r="C1585" s="262" t="s">
        <v>1164</v>
      </c>
      <c r="D1585" s="262">
        <v>-109.17510900000001</v>
      </c>
      <c r="E1585" s="262">
        <v>46.378689999999999</v>
      </c>
      <c r="M1585" s="262">
        <v>8.3169538779999996</v>
      </c>
      <c r="N1585" s="262">
        <v>8.3169538779999996</v>
      </c>
    </row>
    <row r="1586" spans="1:14" x14ac:dyDescent="0.25">
      <c r="A1586" s="262">
        <v>30039</v>
      </c>
      <c r="B1586" s="262" t="s">
        <v>1151</v>
      </c>
      <c r="C1586" s="262" t="s">
        <v>1165</v>
      </c>
      <c r="D1586" s="262">
        <v>-113.424003</v>
      </c>
      <c r="E1586" s="262">
        <v>46.392580000000002</v>
      </c>
      <c r="M1586" s="262">
        <v>6.8373445100000003</v>
      </c>
      <c r="N1586" s="262">
        <v>6.8373445100000003</v>
      </c>
    </row>
    <row r="1587" spans="1:14" x14ac:dyDescent="0.25">
      <c r="A1587" s="262">
        <v>30041</v>
      </c>
      <c r="B1587" s="262" t="s">
        <v>1151</v>
      </c>
      <c r="C1587" s="262" t="s">
        <v>1166</v>
      </c>
      <c r="D1587" s="262">
        <v>-110.108842</v>
      </c>
      <c r="E1587" s="262">
        <v>48.62171</v>
      </c>
      <c r="M1587" s="262">
        <v>8.4423001790000001</v>
      </c>
      <c r="N1587" s="262">
        <v>8.4423001790000001</v>
      </c>
    </row>
    <row r="1588" spans="1:14" x14ac:dyDescent="0.25">
      <c r="A1588" s="262">
        <v>30043</v>
      </c>
      <c r="B1588" s="262" t="s">
        <v>1151</v>
      </c>
      <c r="C1588" s="262" t="s">
        <v>149</v>
      </c>
      <c r="D1588" s="262">
        <v>-112.091857</v>
      </c>
      <c r="E1588" s="262">
        <v>46.147129999999997</v>
      </c>
      <c r="M1588" s="262">
        <v>7.2327353800000003</v>
      </c>
      <c r="N1588" s="262">
        <v>7.2327353800000003</v>
      </c>
    </row>
    <row r="1589" spans="1:14" x14ac:dyDescent="0.25">
      <c r="A1589" s="262">
        <v>30045</v>
      </c>
      <c r="B1589" s="262" t="s">
        <v>1151</v>
      </c>
      <c r="C1589" s="262" t="s">
        <v>1167</v>
      </c>
      <c r="D1589" s="262">
        <v>-110.25926699999999</v>
      </c>
      <c r="E1589" s="262">
        <v>47.034050000000001</v>
      </c>
      <c r="M1589" s="262">
        <v>8.0146384360000003</v>
      </c>
      <c r="N1589" s="262">
        <v>8.0146384360000003</v>
      </c>
    </row>
    <row r="1590" spans="1:14" x14ac:dyDescent="0.25">
      <c r="A1590" s="262">
        <v>30047</v>
      </c>
      <c r="B1590" s="262" t="s">
        <v>1151</v>
      </c>
      <c r="C1590" s="262" t="s">
        <v>271</v>
      </c>
      <c r="D1590" s="262">
        <v>-114.072946</v>
      </c>
      <c r="E1590" s="262">
        <v>47.640560000000001</v>
      </c>
      <c r="M1590" s="262">
        <v>7.6521990239999997</v>
      </c>
      <c r="N1590" s="262">
        <v>7.6521990239999997</v>
      </c>
    </row>
    <row r="1591" spans="1:14" x14ac:dyDescent="0.25">
      <c r="A1591" s="262">
        <v>30049</v>
      </c>
      <c r="B1591" s="262" t="s">
        <v>1151</v>
      </c>
      <c r="C1591" s="262" t="s">
        <v>1168</v>
      </c>
      <c r="D1591" s="262">
        <v>-112.386296</v>
      </c>
      <c r="E1591" s="262">
        <v>47.115740000000002</v>
      </c>
      <c r="M1591" s="262">
        <v>7.431984098</v>
      </c>
      <c r="N1591" s="262">
        <v>7.431984098</v>
      </c>
    </row>
    <row r="1592" spans="1:14" x14ac:dyDescent="0.25">
      <c r="A1592" s="262">
        <v>30051</v>
      </c>
      <c r="B1592" s="262" t="s">
        <v>1151</v>
      </c>
      <c r="C1592" s="262" t="s">
        <v>410</v>
      </c>
      <c r="D1592" s="262">
        <v>-111.024843</v>
      </c>
      <c r="E1592" s="262">
        <v>48.552430000000001</v>
      </c>
      <c r="M1592" s="262">
        <v>8.3354786099999991</v>
      </c>
      <c r="N1592" s="262">
        <v>8.3354786099999991</v>
      </c>
    </row>
    <row r="1593" spans="1:14" x14ac:dyDescent="0.25">
      <c r="A1593" s="262">
        <v>30053</v>
      </c>
      <c r="B1593" s="262" t="s">
        <v>1151</v>
      </c>
      <c r="C1593" s="262" t="s">
        <v>226</v>
      </c>
      <c r="D1593" s="262">
        <v>-115.39264</v>
      </c>
      <c r="E1593" s="262">
        <v>48.536349999999999</v>
      </c>
      <c r="M1593" s="262">
        <v>8.8187103550000003</v>
      </c>
      <c r="N1593" s="262">
        <v>8.8187103550000003</v>
      </c>
    </row>
    <row r="1594" spans="1:14" x14ac:dyDescent="0.25">
      <c r="A1594" s="262">
        <v>30055</v>
      </c>
      <c r="B1594" s="262" t="s">
        <v>1151</v>
      </c>
      <c r="C1594" s="262" t="s">
        <v>1169</v>
      </c>
      <c r="D1594" s="262">
        <v>-105.784395</v>
      </c>
      <c r="E1594" s="262">
        <v>47.654420000000002</v>
      </c>
      <c r="M1594" s="262">
        <v>9.5984805689999995</v>
      </c>
      <c r="N1594" s="262">
        <v>9.5984805689999995</v>
      </c>
    </row>
    <row r="1595" spans="1:14" x14ac:dyDescent="0.25">
      <c r="A1595" s="262">
        <v>30057</v>
      </c>
      <c r="B1595" s="262" t="s">
        <v>1151</v>
      </c>
      <c r="C1595" s="262" t="s">
        <v>157</v>
      </c>
      <c r="D1595" s="262">
        <v>-111.919011</v>
      </c>
      <c r="E1595" s="262">
        <v>45.304630000000003</v>
      </c>
      <c r="M1595" s="262">
        <v>7.608906019</v>
      </c>
      <c r="N1595" s="262">
        <v>7.608906019</v>
      </c>
    </row>
    <row r="1596" spans="1:14" x14ac:dyDescent="0.25">
      <c r="A1596" s="262">
        <v>30059</v>
      </c>
      <c r="B1596" s="262" t="s">
        <v>1151</v>
      </c>
      <c r="C1596" s="262" t="s">
        <v>1170</v>
      </c>
      <c r="D1596" s="262">
        <v>-110.889191</v>
      </c>
      <c r="E1596" s="262">
        <v>46.59442</v>
      </c>
      <c r="M1596" s="262">
        <v>7.83002179</v>
      </c>
      <c r="N1596" s="262">
        <v>7.83002179</v>
      </c>
    </row>
    <row r="1597" spans="1:14" x14ac:dyDescent="0.25">
      <c r="A1597" s="262">
        <v>30061</v>
      </c>
      <c r="B1597" s="262" t="s">
        <v>1151</v>
      </c>
      <c r="C1597" s="262" t="s">
        <v>347</v>
      </c>
      <c r="D1597" s="262">
        <v>-114.996189</v>
      </c>
      <c r="E1597" s="262">
        <v>47.141710000000003</v>
      </c>
      <c r="M1597" s="262">
        <v>7.307374534</v>
      </c>
      <c r="N1597" s="262">
        <v>7.307374534</v>
      </c>
    </row>
    <row r="1598" spans="1:14" x14ac:dyDescent="0.25">
      <c r="A1598" s="262">
        <v>30063</v>
      </c>
      <c r="B1598" s="262" t="s">
        <v>1151</v>
      </c>
      <c r="C1598" s="262" t="s">
        <v>1171</v>
      </c>
      <c r="D1598" s="262">
        <v>-113.920929</v>
      </c>
      <c r="E1598" s="262">
        <v>47.026679999999999</v>
      </c>
      <c r="M1598" s="262">
        <v>6.8936844629999996</v>
      </c>
      <c r="N1598" s="262">
        <v>6.8936844629999996</v>
      </c>
    </row>
    <row r="1599" spans="1:14" x14ac:dyDescent="0.25">
      <c r="A1599" s="262">
        <v>30065</v>
      </c>
      <c r="B1599" s="262" t="s">
        <v>1151</v>
      </c>
      <c r="C1599" s="262" t="s">
        <v>1172</v>
      </c>
      <c r="D1599" s="262">
        <v>-108.39690899999999</v>
      </c>
      <c r="E1599" s="262">
        <v>46.492579999999997</v>
      </c>
      <c r="M1599" s="262">
        <v>8.7017947899999992</v>
      </c>
      <c r="N1599" s="262">
        <v>8.7017947899999992</v>
      </c>
    </row>
    <row r="1600" spans="1:14" x14ac:dyDescent="0.25">
      <c r="A1600" s="262">
        <v>30067</v>
      </c>
      <c r="B1600" s="262" t="s">
        <v>1151</v>
      </c>
      <c r="C1600" s="262" t="s">
        <v>353</v>
      </c>
      <c r="D1600" s="262">
        <v>-110.52396299999999</v>
      </c>
      <c r="E1600" s="262">
        <v>45.51688</v>
      </c>
      <c r="M1600" s="262">
        <v>7.976875003</v>
      </c>
      <c r="N1600" s="262">
        <v>7.976875003</v>
      </c>
    </row>
    <row r="1601" spans="1:14" x14ac:dyDescent="0.25">
      <c r="A1601" s="262">
        <v>30069</v>
      </c>
      <c r="B1601" s="262" t="s">
        <v>1151</v>
      </c>
      <c r="C1601" s="262" t="s">
        <v>1173</v>
      </c>
      <c r="D1601" s="262">
        <v>-108.24590000000001</v>
      </c>
      <c r="E1601" s="262">
        <v>47.118670000000002</v>
      </c>
      <c r="M1601" s="262">
        <v>8.7143799699999995</v>
      </c>
      <c r="N1601" s="262">
        <v>8.7143799699999995</v>
      </c>
    </row>
    <row r="1602" spans="1:14" x14ac:dyDescent="0.25">
      <c r="A1602" s="262">
        <v>30071</v>
      </c>
      <c r="B1602" s="262" t="s">
        <v>1151</v>
      </c>
      <c r="C1602" s="262" t="s">
        <v>235</v>
      </c>
      <c r="D1602" s="262">
        <v>-107.91301900000001</v>
      </c>
      <c r="E1602" s="262">
        <v>48.2605</v>
      </c>
      <c r="M1602" s="262">
        <v>8.9613600630000008</v>
      </c>
      <c r="N1602" s="262">
        <v>8.9613600630000008</v>
      </c>
    </row>
    <row r="1603" spans="1:14" x14ac:dyDescent="0.25">
      <c r="A1603" s="262">
        <v>30073</v>
      </c>
      <c r="B1603" s="262" t="s">
        <v>1151</v>
      </c>
      <c r="C1603" s="262" t="s">
        <v>1174</v>
      </c>
      <c r="D1603" s="262">
        <v>-112.215085</v>
      </c>
      <c r="E1603" s="262">
        <v>48.220039999999997</v>
      </c>
      <c r="M1603" s="262">
        <v>8.0617880999999993</v>
      </c>
      <c r="N1603" s="262">
        <v>8.0617880999999993</v>
      </c>
    </row>
    <row r="1604" spans="1:14" x14ac:dyDescent="0.25">
      <c r="A1604" s="262">
        <v>30075</v>
      </c>
      <c r="B1604" s="262" t="s">
        <v>1151</v>
      </c>
      <c r="C1604" s="262" t="s">
        <v>1175</v>
      </c>
      <c r="D1604" s="262">
        <v>-105.610103</v>
      </c>
      <c r="E1604" s="262">
        <v>45.398429999999998</v>
      </c>
      <c r="M1604" s="262">
        <v>9.9260456920000006</v>
      </c>
      <c r="N1604" s="262">
        <v>9.9260456920000006</v>
      </c>
    </row>
    <row r="1605" spans="1:14" x14ac:dyDescent="0.25">
      <c r="A1605" s="262">
        <v>30077</v>
      </c>
      <c r="B1605" s="262" t="s">
        <v>1151</v>
      </c>
      <c r="C1605" s="262" t="s">
        <v>833</v>
      </c>
      <c r="D1605" s="262">
        <v>-112.93152000000001</v>
      </c>
      <c r="E1605" s="262">
        <v>46.850520000000003</v>
      </c>
      <c r="M1605" s="262">
        <v>7.1671882279999997</v>
      </c>
      <c r="N1605" s="262">
        <v>7.1671882279999997</v>
      </c>
    </row>
    <row r="1606" spans="1:14" x14ac:dyDescent="0.25">
      <c r="A1606" s="262">
        <v>30079</v>
      </c>
      <c r="B1606" s="262" t="s">
        <v>1151</v>
      </c>
      <c r="C1606" s="262" t="s">
        <v>239</v>
      </c>
      <c r="D1606" s="262">
        <v>-105.358768</v>
      </c>
      <c r="E1606" s="262">
        <v>46.864409999999999</v>
      </c>
      <c r="M1606" s="262">
        <v>9.6682477710000008</v>
      </c>
      <c r="N1606" s="262">
        <v>9.6682477710000008</v>
      </c>
    </row>
    <row r="1607" spans="1:14" x14ac:dyDescent="0.25">
      <c r="A1607" s="262">
        <v>30081</v>
      </c>
      <c r="B1607" s="262" t="s">
        <v>1151</v>
      </c>
      <c r="C1607" s="262" t="s">
        <v>1176</v>
      </c>
      <c r="D1607" s="262">
        <v>-114.116285</v>
      </c>
      <c r="E1607" s="262">
        <v>46.07985</v>
      </c>
      <c r="M1607" s="262">
        <v>6.6937008249999996</v>
      </c>
      <c r="N1607" s="262">
        <v>6.6937008249999996</v>
      </c>
    </row>
    <row r="1608" spans="1:14" x14ac:dyDescent="0.25">
      <c r="A1608" s="262">
        <v>30083</v>
      </c>
      <c r="B1608" s="262" t="s">
        <v>1151</v>
      </c>
      <c r="C1608" s="262" t="s">
        <v>616</v>
      </c>
      <c r="D1608" s="262">
        <v>-104.56571700000001</v>
      </c>
      <c r="E1608" s="262">
        <v>47.789050000000003</v>
      </c>
      <c r="M1608" s="262">
        <v>9.5916354170000009</v>
      </c>
      <c r="N1608" s="262">
        <v>9.5916354170000009</v>
      </c>
    </row>
    <row r="1609" spans="1:14" x14ac:dyDescent="0.25">
      <c r="A1609" s="262">
        <v>30085</v>
      </c>
      <c r="B1609" s="262" t="s">
        <v>1151</v>
      </c>
      <c r="C1609" s="262" t="s">
        <v>1177</v>
      </c>
      <c r="D1609" s="262">
        <v>-105.002421</v>
      </c>
      <c r="E1609" s="262">
        <v>48.296550000000003</v>
      </c>
      <c r="M1609" s="262">
        <v>9.5726994009999995</v>
      </c>
      <c r="N1609" s="262">
        <v>9.5726994009999995</v>
      </c>
    </row>
    <row r="1610" spans="1:14" x14ac:dyDescent="0.25">
      <c r="A1610" s="262">
        <v>30087</v>
      </c>
      <c r="B1610" s="262" t="s">
        <v>1151</v>
      </c>
      <c r="C1610" s="262" t="s">
        <v>1178</v>
      </c>
      <c r="D1610" s="262">
        <v>-106.711798</v>
      </c>
      <c r="E1610" s="262">
        <v>46.227530000000002</v>
      </c>
      <c r="M1610" s="262">
        <v>9.5557404689999998</v>
      </c>
      <c r="N1610" s="262">
        <v>9.5557404689999998</v>
      </c>
    </row>
    <row r="1611" spans="1:14" x14ac:dyDescent="0.25">
      <c r="A1611" s="262">
        <v>30089</v>
      </c>
      <c r="B1611" s="262" t="s">
        <v>1151</v>
      </c>
      <c r="C1611" s="262" t="s">
        <v>1179</v>
      </c>
      <c r="D1611" s="262">
        <v>-115.131704</v>
      </c>
      <c r="E1611" s="262">
        <v>47.673050000000003</v>
      </c>
      <c r="M1611" s="262">
        <v>7.9988946439999999</v>
      </c>
      <c r="N1611" s="262">
        <v>7.9988946439999999</v>
      </c>
    </row>
    <row r="1612" spans="1:14" x14ac:dyDescent="0.25">
      <c r="A1612" s="262">
        <v>30091</v>
      </c>
      <c r="B1612" s="262" t="s">
        <v>1151</v>
      </c>
      <c r="C1612" s="262" t="s">
        <v>772</v>
      </c>
      <c r="D1612" s="262">
        <v>-104.50229400000001</v>
      </c>
      <c r="E1612" s="262">
        <v>48.72334</v>
      </c>
      <c r="M1612" s="262">
        <v>9.5353436350000003</v>
      </c>
      <c r="N1612" s="262">
        <v>9.5353436350000003</v>
      </c>
    </row>
    <row r="1613" spans="1:14" x14ac:dyDescent="0.25">
      <c r="A1613" s="262">
        <v>30093</v>
      </c>
      <c r="B1613" s="262" t="s">
        <v>1151</v>
      </c>
      <c r="C1613" s="262" t="s">
        <v>1180</v>
      </c>
      <c r="D1613" s="262">
        <v>-112.648865</v>
      </c>
      <c r="E1613" s="262">
        <v>45.893560000000001</v>
      </c>
      <c r="M1613" s="262">
        <v>7.1609078329999996</v>
      </c>
      <c r="N1613" s="262">
        <v>7.1609078329999996</v>
      </c>
    </row>
    <row r="1614" spans="1:14" x14ac:dyDescent="0.25">
      <c r="A1614" s="262">
        <v>30095</v>
      </c>
      <c r="B1614" s="262" t="s">
        <v>1151</v>
      </c>
      <c r="C1614" s="262" t="s">
        <v>1181</v>
      </c>
      <c r="D1614" s="262">
        <v>-109.397727</v>
      </c>
      <c r="E1614" s="262">
        <v>45.669640000000001</v>
      </c>
      <c r="M1614" s="262">
        <v>8.3596385679999994</v>
      </c>
      <c r="N1614" s="262">
        <v>8.3596385679999994</v>
      </c>
    </row>
    <row r="1615" spans="1:14" x14ac:dyDescent="0.25">
      <c r="A1615" s="262">
        <v>30097</v>
      </c>
      <c r="B1615" s="262" t="s">
        <v>1151</v>
      </c>
      <c r="C1615" s="262" t="s">
        <v>1182</v>
      </c>
      <c r="D1615" s="262">
        <v>-109.944192</v>
      </c>
      <c r="E1615" s="262">
        <v>45.815629999999999</v>
      </c>
      <c r="M1615" s="262">
        <v>8.1243292999999994</v>
      </c>
      <c r="N1615" s="262">
        <v>8.1243292999999994</v>
      </c>
    </row>
    <row r="1616" spans="1:14" x14ac:dyDescent="0.25">
      <c r="A1616" s="262">
        <v>30099</v>
      </c>
      <c r="B1616" s="262" t="s">
        <v>1151</v>
      </c>
      <c r="C1616" s="262" t="s">
        <v>572</v>
      </c>
      <c r="D1616" s="262">
        <v>-112.224603</v>
      </c>
      <c r="E1616" s="262">
        <v>47.831240000000001</v>
      </c>
      <c r="M1616" s="262">
        <v>7.8561770830000004</v>
      </c>
      <c r="N1616" s="262">
        <v>7.8561770830000004</v>
      </c>
    </row>
    <row r="1617" spans="1:14" x14ac:dyDescent="0.25">
      <c r="A1617" s="262">
        <v>30101</v>
      </c>
      <c r="B1617" s="262" t="s">
        <v>1151</v>
      </c>
      <c r="C1617" s="262" t="s">
        <v>1183</v>
      </c>
      <c r="D1617" s="262">
        <v>-111.695663</v>
      </c>
      <c r="E1617" s="262">
        <v>48.656770000000002</v>
      </c>
      <c r="M1617" s="262">
        <v>8.2955603159999995</v>
      </c>
      <c r="N1617" s="262">
        <v>8.2955603159999995</v>
      </c>
    </row>
    <row r="1618" spans="1:14" x14ac:dyDescent="0.25">
      <c r="A1618" s="262">
        <v>30103</v>
      </c>
      <c r="B1618" s="262" t="s">
        <v>1151</v>
      </c>
      <c r="C1618" s="262" t="s">
        <v>1184</v>
      </c>
      <c r="D1618" s="262">
        <v>-107.25586300000001</v>
      </c>
      <c r="E1618" s="262">
        <v>46.210349999999998</v>
      </c>
      <c r="M1618" s="262">
        <v>9.359272185</v>
      </c>
      <c r="N1618" s="262">
        <v>9.359272185</v>
      </c>
    </row>
    <row r="1619" spans="1:14" x14ac:dyDescent="0.25">
      <c r="A1619" s="262">
        <v>30105</v>
      </c>
      <c r="B1619" s="262" t="s">
        <v>1151</v>
      </c>
      <c r="C1619" s="262" t="s">
        <v>574</v>
      </c>
      <c r="D1619" s="262">
        <v>-106.662505</v>
      </c>
      <c r="E1619" s="262">
        <v>48.371499999999997</v>
      </c>
      <c r="M1619" s="262">
        <v>9.4303224219999997</v>
      </c>
      <c r="N1619" s="262">
        <v>9.4303224219999997</v>
      </c>
    </row>
    <row r="1620" spans="1:14" x14ac:dyDescent="0.25">
      <c r="A1620" s="262">
        <v>30107</v>
      </c>
      <c r="B1620" s="262" t="s">
        <v>1151</v>
      </c>
      <c r="C1620" s="262" t="s">
        <v>1185</v>
      </c>
      <c r="D1620" s="262">
        <v>-109.846706</v>
      </c>
      <c r="E1620" s="262">
        <v>46.460450000000002</v>
      </c>
      <c r="M1620" s="262">
        <v>8.0774810279999993</v>
      </c>
      <c r="N1620" s="262">
        <v>8.0774810279999993</v>
      </c>
    </row>
    <row r="1621" spans="1:14" x14ac:dyDescent="0.25">
      <c r="A1621" s="262">
        <v>30109</v>
      </c>
      <c r="B1621" s="262" t="s">
        <v>1151</v>
      </c>
      <c r="C1621" s="262" t="s">
        <v>1186</v>
      </c>
      <c r="D1621" s="262">
        <v>-104.24288300000001</v>
      </c>
      <c r="E1621" s="262">
        <v>46.964829999999999</v>
      </c>
      <c r="M1621" s="262">
        <v>9.6737149280000008</v>
      </c>
      <c r="N1621" s="262">
        <v>9.6737149280000008</v>
      </c>
    </row>
    <row r="1622" spans="1:14" x14ac:dyDescent="0.25">
      <c r="A1622" s="262">
        <v>30111</v>
      </c>
      <c r="B1622" s="262" t="s">
        <v>1151</v>
      </c>
      <c r="C1622" s="262" t="s">
        <v>1187</v>
      </c>
      <c r="D1622" s="262">
        <v>-108.267594</v>
      </c>
      <c r="E1622" s="262">
        <v>45.938780000000001</v>
      </c>
      <c r="M1622" s="262">
        <v>8.8844032839999993</v>
      </c>
      <c r="N1622" s="262">
        <v>8.8844032839999993</v>
      </c>
    </row>
    <row r="1623" spans="1:14" x14ac:dyDescent="0.25">
      <c r="A1623" s="262">
        <v>31001</v>
      </c>
      <c r="B1623" s="262" t="s">
        <v>1188</v>
      </c>
      <c r="C1623" s="262" t="s">
        <v>312</v>
      </c>
      <c r="D1623" s="262">
        <v>-98.5103419</v>
      </c>
      <c r="E1623" s="262">
        <v>40.51878</v>
      </c>
      <c r="M1623" s="262">
        <v>12.30508015</v>
      </c>
      <c r="N1623" s="262">
        <v>12.30508015</v>
      </c>
    </row>
    <row r="1624" spans="1:14" x14ac:dyDescent="0.25">
      <c r="A1624" s="262">
        <v>31003</v>
      </c>
      <c r="B1624" s="262" t="s">
        <v>1188</v>
      </c>
      <c r="C1624" s="262" t="s">
        <v>1189</v>
      </c>
      <c r="D1624" s="262">
        <v>-98.070214500000006</v>
      </c>
      <c r="E1624" s="262">
        <v>42.156700000000001</v>
      </c>
      <c r="M1624" s="262">
        <v>11.51213338</v>
      </c>
      <c r="N1624" s="262">
        <v>11.51213338</v>
      </c>
    </row>
    <row r="1625" spans="1:14" x14ac:dyDescent="0.25">
      <c r="A1625" s="262">
        <v>31005</v>
      </c>
      <c r="B1625" s="262" t="s">
        <v>1188</v>
      </c>
      <c r="C1625" s="262" t="s">
        <v>1190</v>
      </c>
      <c r="D1625" s="262">
        <v>-101.694186</v>
      </c>
      <c r="E1625" s="262">
        <v>41.565309999999997</v>
      </c>
      <c r="M1625" s="262">
        <v>11.4948461</v>
      </c>
      <c r="N1625" s="262">
        <v>11.4948461</v>
      </c>
    </row>
    <row r="1626" spans="1:14" x14ac:dyDescent="0.25">
      <c r="A1626" s="262">
        <v>31007</v>
      </c>
      <c r="B1626" s="262" t="s">
        <v>1188</v>
      </c>
      <c r="C1626" s="262" t="s">
        <v>1191</v>
      </c>
      <c r="D1626" s="262">
        <v>-103.70516499999999</v>
      </c>
      <c r="E1626" s="262">
        <v>41.54954</v>
      </c>
      <c r="M1626" s="262">
        <v>11.04041254</v>
      </c>
      <c r="N1626" s="262">
        <v>11.04041254</v>
      </c>
    </row>
    <row r="1627" spans="1:14" x14ac:dyDescent="0.25">
      <c r="A1627" s="262">
        <v>31009</v>
      </c>
      <c r="B1627" s="262" t="s">
        <v>1188</v>
      </c>
      <c r="C1627" s="262" t="s">
        <v>547</v>
      </c>
      <c r="D1627" s="262">
        <v>-99.9760536</v>
      </c>
      <c r="E1627" s="262">
        <v>41.917029999999997</v>
      </c>
      <c r="M1627" s="262">
        <v>11.55640169</v>
      </c>
      <c r="N1627" s="262">
        <v>11.55640169</v>
      </c>
    </row>
    <row r="1628" spans="1:14" x14ac:dyDescent="0.25">
      <c r="A1628" s="262">
        <v>31011</v>
      </c>
      <c r="B1628" s="262" t="s">
        <v>1188</v>
      </c>
      <c r="C1628" s="262" t="s">
        <v>201</v>
      </c>
      <c r="D1628" s="262">
        <v>-98.071414599999997</v>
      </c>
      <c r="E1628" s="262">
        <v>41.694119999999998</v>
      </c>
      <c r="M1628" s="262">
        <v>11.694397889999999</v>
      </c>
      <c r="N1628" s="262">
        <v>11.694397889999999</v>
      </c>
    </row>
    <row r="1629" spans="1:14" x14ac:dyDescent="0.25">
      <c r="A1629" s="262">
        <v>31013</v>
      </c>
      <c r="B1629" s="262" t="s">
        <v>1188</v>
      </c>
      <c r="C1629" s="262" t="s">
        <v>1192</v>
      </c>
      <c r="D1629" s="262">
        <v>-103.076278</v>
      </c>
      <c r="E1629" s="262">
        <v>42.219889999999999</v>
      </c>
      <c r="M1629" s="262">
        <v>11.0716337</v>
      </c>
      <c r="N1629" s="262">
        <v>11.0716337</v>
      </c>
    </row>
    <row r="1630" spans="1:14" x14ac:dyDescent="0.25">
      <c r="A1630" s="262">
        <v>31015</v>
      </c>
      <c r="B1630" s="262" t="s">
        <v>1188</v>
      </c>
      <c r="C1630" s="262" t="s">
        <v>791</v>
      </c>
      <c r="D1630" s="262">
        <v>-98.757918599999996</v>
      </c>
      <c r="E1630" s="262">
        <v>42.893949999999997</v>
      </c>
      <c r="M1630" s="262">
        <v>11.33238762</v>
      </c>
      <c r="N1630" s="262">
        <v>11.33238762</v>
      </c>
    </row>
    <row r="1631" spans="1:14" x14ac:dyDescent="0.25">
      <c r="A1631" s="262">
        <v>31017</v>
      </c>
      <c r="B1631" s="262" t="s">
        <v>1188</v>
      </c>
      <c r="C1631" s="262" t="s">
        <v>578</v>
      </c>
      <c r="D1631" s="262">
        <v>-99.934814200000005</v>
      </c>
      <c r="E1631" s="262">
        <v>42.433109999999999</v>
      </c>
      <c r="M1631" s="262">
        <v>11.430850550000001</v>
      </c>
      <c r="N1631" s="262">
        <v>11.430850550000001</v>
      </c>
    </row>
    <row r="1632" spans="1:14" x14ac:dyDescent="0.25">
      <c r="A1632" s="262">
        <v>31019</v>
      </c>
      <c r="B1632" s="262" t="s">
        <v>1188</v>
      </c>
      <c r="C1632" s="262" t="s">
        <v>1193</v>
      </c>
      <c r="D1632" s="262">
        <v>-99.080002800000003</v>
      </c>
      <c r="E1632" s="262">
        <v>40.852179999999997</v>
      </c>
      <c r="M1632" s="262">
        <v>12.114970919999999</v>
      </c>
      <c r="N1632" s="262">
        <v>12.114970919999999</v>
      </c>
    </row>
    <row r="1633" spans="1:14" x14ac:dyDescent="0.25">
      <c r="A1633" s="262">
        <v>31021</v>
      </c>
      <c r="B1633" s="262" t="s">
        <v>1188</v>
      </c>
      <c r="C1633" s="262" t="s">
        <v>1194</v>
      </c>
      <c r="D1633" s="262">
        <v>-96.334129500000003</v>
      </c>
      <c r="E1633" s="262">
        <v>41.840530000000001</v>
      </c>
      <c r="M1633" s="262">
        <v>11.722190579999999</v>
      </c>
      <c r="N1633" s="262">
        <v>11.722190579999999</v>
      </c>
    </row>
    <row r="1634" spans="1:14" x14ac:dyDescent="0.25">
      <c r="A1634" s="262">
        <v>31023</v>
      </c>
      <c r="B1634" s="262" t="s">
        <v>1188</v>
      </c>
      <c r="C1634" s="262" t="s">
        <v>119</v>
      </c>
      <c r="D1634" s="262">
        <v>-97.1264386</v>
      </c>
      <c r="E1634" s="262">
        <v>41.216349999999998</v>
      </c>
      <c r="M1634" s="262">
        <v>11.962636030000001</v>
      </c>
      <c r="N1634" s="262">
        <v>11.962636030000001</v>
      </c>
    </row>
    <row r="1635" spans="1:14" x14ac:dyDescent="0.25">
      <c r="A1635" s="262">
        <v>31025</v>
      </c>
      <c r="B1635" s="262" t="s">
        <v>1188</v>
      </c>
      <c r="C1635" s="262" t="s">
        <v>580</v>
      </c>
      <c r="D1635" s="262">
        <v>-96.143426500000004</v>
      </c>
      <c r="E1635" s="262">
        <v>40.899329999999999</v>
      </c>
      <c r="M1635" s="262">
        <v>12.296026769999999</v>
      </c>
      <c r="N1635" s="262">
        <v>12.296026769999999</v>
      </c>
    </row>
    <row r="1636" spans="1:14" x14ac:dyDescent="0.25">
      <c r="A1636" s="262">
        <v>31027</v>
      </c>
      <c r="B1636" s="262" t="s">
        <v>1188</v>
      </c>
      <c r="C1636" s="262" t="s">
        <v>681</v>
      </c>
      <c r="D1636" s="262">
        <v>-97.250346100000002</v>
      </c>
      <c r="E1636" s="262">
        <v>42.588709999999999</v>
      </c>
      <c r="M1636" s="262">
        <v>11.2500848</v>
      </c>
      <c r="N1636" s="262">
        <v>11.2500848</v>
      </c>
    </row>
    <row r="1637" spans="1:14" x14ac:dyDescent="0.25">
      <c r="A1637" s="262">
        <v>31029</v>
      </c>
      <c r="B1637" s="262" t="s">
        <v>1188</v>
      </c>
      <c r="C1637" s="262" t="s">
        <v>724</v>
      </c>
      <c r="D1637" s="262">
        <v>-101.704656</v>
      </c>
      <c r="E1637" s="262">
        <v>40.521729999999998</v>
      </c>
      <c r="M1637" s="262">
        <v>11.876303999999999</v>
      </c>
      <c r="N1637" s="262">
        <v>11.876303999999999</v>
      </c>
    </row>
    <row r="1638" spans="1:14" x14ac:dyDescent="0.25">
      <c r="A1638" s="262">
        <v>31031</v>
      </c>
      <c r="B1638" s="262" t="s">
        <v>1188</v>
      </c>
      <c r="C1638" s="262" t="s">
        <v>1195</v>
      </c>
      <c r="D1638" s="262">
        <v>-101.122067</v>
      </c>
      <c r="E1638" s="262">
        <v>42.54251</v>
      </c>
      <c r="M1638" s="262">
        <v>11.282982860000001</v>
      </c>
      <c r="N1638" s="262">
        <v>11.282982860000001</v>
      </c>
    </row>
    <row r="1639" spans="1:14" x14ac:dyDescent="0.25">
      <c r="A1639" s="262">
        <v>31033</v>
      </c>
      <c r="B1639" s="262" t="s">
        <v>1188</v>
      </c>
      <c r="C1639" s="262" t="s">
        <v>321</v>
      </c>
      <c r="D1639" s="262">
        <v>-102.986553</v>
      </c>
      <c r="E1639" s="262">
        <v>41.217820000000003</v>
      </c>
      <c r="M1639" s="262">
        <v>11.24893966</v>
      </c>
      <c r="N1639" s="262">
        <v>11.24893966</v>
      </c>
    </row>
    <row r="1640" spans="1:14" x14ac:dyDescent="0.25">
      <c r="A1640" s="262">
        <v>31035</v>
      </c>
      <c r="B1640" s="262" t="s">
        <v>1188</v>
      </c>
      <c r="C1640" s="262" t="s">
        <v>126</v>
      </c>
      <c r="D1640" s="262">
        <v>-98.065201599999995</v>
      </c>
      <c r="E1640" s="262">
        <v>40.515279999999997</v>
      </c>
      <c r="M1640" s="262">
        <v>12.31359106</v>
      </c>
      <c r="N1640" s="262">
        <v>12.31359106</v>
      </c>
    </row>
    <row r="1641" spans="1:14" x14ac:dyDescent="0.25">
      <c r="A1641" s="262">
        <v>31037</v>
      </c>
      <c r="B1641" s="262" t="s">
        <v>1188</v>
      </c>
      <c r="C1641" s="262" t="s">
        <v>1196</v>
      </c>
      <c r="D1641" s="262">
        <v>-97.084044599999999</v>
      </c>
      <c r="E1641" s="262">
        <v>41.563859999999998</v>
      </c>
      <c r="M1641" s="262">
        <v>11.74280306</v>
      </c>
      <c r="N1641" s="262">
        <v>11.74280306</v>
      </c>
    </row>
    <row r="1642" spans="1:14" x14ac:dyDescent="0.25">
      <c r="A1642" s="262">
        <v>31039</v>
      </c>
      <c r="B1642" s="262" t="s">
        <v>1188</v>
      </c>
      <c r="C1642" s="262" t="s">
        <v>1197</v>
      </c>
      <c r="D1642" s="262">
        <v>-96.786970999999994</v>
      </c>
      <c r="E1642" s="262">
        <v>41.899279999999997</v>
      </c>
      <c r="M1642" s="262">
        <v>11.6186265</v>
      </c>
      <c r="N1642" s="262">
        <v>11.6186265</v>
      </c>
    </row>
    <row r="1643" spans="1:14" x14ac:dyDescent="0.25">
      <c r="A1643" s="262">
        <v>31041</v>
      </c>
      <c r="B1643" s="262" t="s">
        <v>1188</v>
      </c>
      <c r="C1643" s="262" t="s">
        <v>326</v>
      </c>
      <c r="D1643" s="262">
        <v>-99.734078100000005</v>
      </c>
      <c r="E1643" s="262">
        <v>41.394280000000002</v>
      </c>
      <c r="M1643" s="262">
        <v>11.79667916</v>
      </c>
      <c r="N1643" s="262">
        <v>11.79667916</v>
      </c>
    </row>
    <row r="1644" spans="1:14" x14ac:dyDescent="0.25">
      <c r="A1644" s="262">
        <v>31043</v>
      </c>
      <c r="B1644" s="262" t="s">
        <v>1188</v>
      </c>
      <c r="C1644" s="262" t="s">
        <v>1022</v>
      </c>
      <c r="D1644" s="262">
        <v>-96.560881199999997</v>
      </c>
      <c r="E1644" s="262">
        <v>42.377850000000002</v>
      </c>
      <c r="M1644" s="262">
        <v>11.35991097</v>
      </c>
      <c r="N1644" s="262">
        <v>11.35991097</v>
      </c>
    </row>
    <row r="1645" spans="1:14" x14ac:dyDescent="0.25">
      <c r="A1645" s="262">
        <v>31045</v>
      </c>
      <c r="B1645" s="262" t="s">
        <v>1188</v>
      </c>
      <c r="C1645" s="262" t="s">
        <v>1198</v>
      </c>
      <c r="D1645" s="262">
        <v>-103.13182500000001</v>
      </c>
      <c r="E1645" s="262">
        <v>42.713679999999997</v>
      </c>
      <c r="M1645" s="262">
        <v>10.911361550000001</v>
      </c>
      <c r="N1645" s="262">
        <v>10.911361550000001</v>
      </c>
    </row>
    <row r="1646" spans="1:14" x14ac:dyDescent="0.25">
      <c r="A1646" s="262">
        <v>31047</v>
      </c>
      <c r="B1646" s="262" t="s">
        <v>1188</v>
      </c>
      <c r="C1646" s="262" t="s">
        <v>463</v>
      </c>
      <c r="D1646" s="262">
        <v>-99.823734900000005</v>
      </c>
      <c r="E1646" s="262">
        <v>40.868659999999998</v>
      </c>
      <c r="M1646" s="262">
        <v>12.05593466</v>
      </c>
      <c r="N1646" s="262">
        <v>12.05593466</v>
      </c>
    </row>
    <row r="1647" spans="1:14" x14ac:dyDescent="0.25">
      <c r="A1647" s="262">
        <v>31049</v>
      </c>
      <c r="B1647" s="262" t="s">
        <v>1188</v>
      </c>
      <c r="C1647" s="262" t="s">
        <v>1199</v>
      </c>
      <c r="D1647" s="262">
        <v>-102.33311</v>
      </c>
      <c r="E1647" s="262">
        <v>41.110770000000002</v>
      </c>
      <c r="M1647" s="262">
        <v>11.47596199</v>
      </c>
      <c r="N1647" s="262">
        <v>11.47596199</v>
      </c>
    </row>
    <row r="1648" spans="1:14" x14ac:dyDescent="0.25">
      <c r="A1648" s="262">
        <v>31051</v>
      </c>
      <c r="B1648" s="262" t="s">
        <v>1188</v>
      </c>
      <c r="C1648" s="262" t="s">
        <v>1200</v>
      </c>
      <c r="D1648" s="262">
        <v>-96.8622187</v>
      </c>
      <c r="E1648" s="262">
        <v>42.478540000000002</v>
      </c>
      <c r="M1648" s="262">
        <v>11.282936339999999</v>
      </c>
      <c r="N1648" s="262">
        <v>11.282936339999999</v>
      </c>
    </row>
    <row r="1649" spans="1:14" x14ac:dyDescent="0.25">
      <c r="A1649" s="262">
        <v>31053</v>
      </c>
      <c r="B1649" s="262" t="s">
        <v>1188</v>
      </c>
      <c r="C1649" s="262" t="s">
        <v>465</v>
      </c>
      <c r="D1649" s="262">
        <v>-96.649577100000002</v>
      </c>
      <c r="E1649" s="262">
        <v>41.564970000000002</v>
      </c>
      <c r="M1649" s="262">
        <v>11.83556138</v>
      </c>
      <c r="N1649" s="262">
        <v>11.83556138</v>
      </c>
    </row>
    <row r="1650" spans="1:14" x14ac:dyDescent="0.25">
      <c r="A1650" s="262">
        <v>31055</v>
      </c>
      <c r="B1650" s="262" t="s">
        <v>1188</v>
      </c>
      <c r="C1650" s="262" t="s">
        <v>330</v>
      </c>
      <c r="D1650" s="262">
        <v>-96.138871699999996</v>
      </c>
      <c r="E1650" s="262">
        <v>41.281239999999997</v>
      </c>
      <c r="M1650" s="262">
        <v>12.082775249999999</v>
      </c>
      <c r="N1650" s="262">
        <v>12.082775249999999</v>
      </c>
    </row>
    <row r="1651" spans="1:14" x14ac:dyDescent="0.25">
      <c r="A1651" s="262">
        <v>31057</v>
      </c>
      <c r="B1651" s="262" t="s">
        <v>1188</v>
      </c>
      <c r="C1651" s="262" t="s">
        <v>1201</v>
      </c>
      <c r="D1651" s="262">
        <v>-101.689554</v>
      </c>
      <c r="E1651" s="262">
        <v>40.178699999999999</v>
      </c>
      <c r="M1651" s="262">
        <v>12.03817179</v>
      </c>
      <c r="N1651" s="262">
        <v>12.03817179</v>
      </c>
    </row>
    <row r="1652" spans="1:14" x14ac:dyDescent="0.25">
      <c r="A1652" s="262">
        <v>31059</v>
      </c>
      <c r="B1652" s="262" t="s">
        <v>1188</v>
      </c>
      <c r="C1652" s="262" t="s">
        <v>1024</v>
      </c>
      <c r="D1652" s="262">
        <v>-97.604794600000005</v>
      </c>
      <c r="E1652" s="262">
        <v>40.514209999999999</v>
      </c>
      <c r="M1652" s="262">
        <v>12.35404241</v>
      </c>
      <c r="N1652" s="262">
        <v>12.35404241</v>
      </c>
    </row>
    <row r="1653" spans="1:14" x14ac:dyDescent="0.25">
      <c r="A1653" s="262">
        <v>31061</v>
      </c>
      <c r="B1653" s="262" t="s">
        <v>1188</v>
      </c>
      <c r="C1653" s="262" t="s">
        <v>142</v>
      </c>
      <c r="D1653" s="262">
        <v>-98.950830199999999</v>
      </c>
      <c r="E1653" s="262">
        <v>40.17689</v>
      </c>
      <c r="M1653" s="262">
        <v>12.51212207</v>
      </c>
      <c r="N1653" s="262">
        <v>12.51212207</v>
      </c>
    </row>
    <row r="1654" spans="1:14" x14ac:dyDescent="0.25">
      <c r="A1654" s="262">
        <v>31063</v>
      </c>
      <c r="B1654" s="262" t="s">
        <v>1188</v>
      </c>
      <c r="C1654" s="262" t="s">
        <v>1202</v>
      </c>
      <c r="D1654" s="262">
        <v>-100.393254</v>
      </c>
      <c r="E1654" s="262">
        <v>40.529679999999999</v>
      </c>
      <c r="M1654" s="262">
        <v>12.18223525</v>
      </c>
      <c r="N1654" s="262">
        <v>12.18223525</v>
      </c>
    </row>
    <row r="1655" spans="1:14" x14ac:dyDescent="0.25">
      <c r="A1655" s="262">
        <v>31065</v>
      </c>
      <c r="B1655" s="262" t="s">
        <v>1188</v>
      </c>
      <c r="C1655" s="262" t="s">
        <v>1203</v>
      </c>
      <c r="D1655" s="262">
        <v>-99.908085400000004</v>
      </c>
      <c r="E1655" s="262">
        <v>40.17897</v>
      </c>
      <c r="M1655" s="262">
        <v>12.44870111</v>
      </c>
      <c r="N1655" s="262">
        <v>12.44870111</v>
      </c>
    </row>
    <row r="1656" spans="1:14" x14ac:dyDescent="0.25">
      <c r="A1656" s="262">
        <v>31067</v>
      </c>
      <c r="B1656" s="262" t="s">
        <v>1188</v>
      </c>
      <c r="C1656" s="262" t="s">
        <v>1204</v>
      </c>
      <c r="D1656" s="262">
        <v>-96.687106999999997</v>
      </c>
      <c r="E1656" s="262">
        <v>40.25553</v>
      </c>
      <c r="M1656" s="262">
        <v>12.60269151</v>
      </c>
      <c r="N1656" s="262">
        <v>12.60269151</v>
      </c>
    </row>
    <row r="1657" spans="1:14" x14ac:dyDescent="0.25">
      <c r="A1657" s="262">
        <v>31069</v>
      </c>
      <c r="B1657" s="262" t="s">
        <v>1188</v>
      </c>
      <c r="C1657" s="262" t="s">
        <v>1205</v>
      </c>
      <c r="D1657" s="262">
        <v>-102.332517</v>
      </c>
      <c r="E1657" s="262">
        <v>41.61956</v>
      </c>
      <c r="M1657" s="262">
        <v>11.359971460000001</v>
      </c>
      <c r="N1657" s="262">
        <v>11.359971460000001</v>
      </c>
    </row>
    <row r="1658" spans="1:14" x14ac:dyDescent="0.25">
      <c r="A1658" s="262">
        <v>31071</v>
      </c>
      <c r="B1658" s="262" t="s">
        <v>1188</v>
      </c>
      <c r="C1658" s="262" t="s">
        <v>335</v>
      </c>
      <c r="D1658" s="262">
        <v>-98.993430099999998</v>
      </c>
      <c r="E1658" s="262">
        <v>41.913290000000003</v>
      </c>
      <c r="M1658" s="262">
        <v>11.636648900000001</v>
      </c>
      <c r="N1658" s="262">
        <v>11.636648900000001</v>
      </c>
    </row>
    <row r="1659" spans="1:14" x14ac:dyDescent="0.25">
      <c r="A1659" s="262">
        <v>31073</v>
      </c>
      <c r="B1659" s="262" t="s">
        <v>1188</v>
      </c>
      <c r="C1659" s="262" t="s">
        <v>1206</v>
      </c>
      <c r="D1659" s="262">
        <v>-99.834803800000003</v>
      </c>
      <c r="E1659" s="262">
        <v>40.516240000000003</v>
      </c>
      <c r="M1659" s="262">
        <v>12.25443506</v>
      </c>
      <c r="N1659" s="262">
        <v>12.25443506</v>
      </c>
    </row>
    <row r="1660" spans="1:14" x14ac:dyDescent="0.25">
      <c r="A1660" s="262">
        <v>31075</v>
      </c>
      <c r="B1660" s="262" t="s">
        <v>1188</v>
      </c>
      <c r="C1660" s="262" t="s">
        <v>218</v>
      </c>
      <c r="D1660" s="262">
        <v>-101.739887</v>
      </c>
      <c r="E1660" s="262">
        <v>41.910130000000002</v>
      </c>
      <c r="M1660" s="262">
        <v>11.381462089999999</v>
      </c>
      <c r="N1660" s="262">
        <v>11.381462089999999</v>
      </c>
    </row>
    <row r="1661" spans="1:14" x14ac:dyDescent="0.25">
      <c r="A1661" s="262">
        <v>31077</v>
      </c>
      <c r="B1661" s="262" t="s">
        <v>1188</v>
      </c>
      <c r="C1661" s="262" t="s">
        <v>738</v>
      </c>
      <c r="D1661" s="262">
        <v>-98.524749900000003</v>
      </c>
      <c r="E1661" s="262">
        <v>41.562950000000001</v>
      </c>
      <c r="M1661" s="262">
        <v>11.7711206</v>
      </c>
      <c r="N1661" s="262">
        <v>11.7711206</v>
      </c>
    </row>
    <row r="1662" spans="1:14" x14ac:dyDescent="0.25">
      <c r="A1662" s="262">
        <v>31079</v>
      </c>
      <c r="B1662" s="262" t="s">
        <v>1188</v>
      </c>
      <c r="C1662" s="262" t="s">
        <v>483</v>
      </c>
      <c r="D1662" s="262">
        <v>-98.513693000000004</v>
      </c>
      <c r="E1662" s="262">
        <v>40.869070000000001</v>
      </c>
      <c r="M1662" s="262">
        <v>12.108387629999999</v>
      </c>
      <c r="N1662" s="262">
        <v>12.108387629999999</v>
      </c>
    </row>
    <row r="1663" spans="1:14" x14ac:dyDescent="0.25">
      <c r="A1663" s="262">
        <v>31081</v>
      </c>
      <c r="B1663" s="262" t="s">
        <v>1188</v>
      </c>
      <c r="C1663" s="262" t="s">
        <v>400</v>
      </c>
      <c r="D1663" s="262">
        <v>-98.033540799999997</v>
      </c>
      <c r="E1663" s="262">
        <v>40.865699999999997</v>
      </c>
      <c r="M1663" s="262">
        <v>12.11266788</v>
      </c>
      <c r="N1663" s="262">
        <v>12.11266788</v>
      </c>
    </row>
    <row r="1664" spans="1:14" x14ac:dyDescent="0.25">
      <c r="A1664" s="262">
        <v>31083</v>
      </c>
      <c r="B1664" s="262" t="s">
        <v>1188</v>
      </c>
      <c r="C1664" s="262" t="s">
        <v>812</v>
      </c>
      <c r="D1664" s="262">
        <v>-99.403852099999995</v>
      </c>
      <c r="E1664" s="262">
        <v>40.174680000000002</v>
      </c>
      <c r="M1664" s="262">
        <v>12.489548729999999</v>
      </c>
      <c r="N1664" s="262">
        <v>12.489548729999999</v>
      </c>
    </row>
    <row r="1665" spans="1:14" x14ac:dyDescent="0.25">
      <c r="A1665" s="262">
        <v>31085</v>
      </c>
      <c r="B1665" s="262" t="s">
        <v>1188</v>
      </c>
      <c r="C1665" s="262" t="s">
        <v>1207</v>
      </c>
      <c r="D1665" s="262">
        <v>-101.059738</v>
      </c>
      <c r="E1665" s="262">
        <v>40.525590000000001</v>
      </c>
      <c r="M1665" s="262">
        <v>12.066500720000001</v>
      </c>
      <c r="N1665" s="262">
        <v>12.066500720000001</v>
      </c>
    </row>
    <row r="1666" spans="1:14" x14ac:dyDescent="0.25">
      <c r="A1666" s="262">
        <v>31087</v>
      </c>
      <c r="B1666" s="262" t="s">
        <v>1188</v>
      </c>
      <c r="C1666" s="262" t="s">
        <v>1208</v>
      </c>
      <c r="D1666" s="262">
        <v>-101.04111899999999</v>
      </c>
      <c r="E1666" s="262">
        <v>40.182110000000002</v>
      </c>
      <c r="M1666" s="262">
        <v>12.265963080000001</v>
      </c>
      <c r="N1666" s="262">
        <v>12.265963080000001</v>
      </c>
    </row>
    <row r="1667" spans="1:14" x14ac:dyDescent="0.25">
      <c r="A1667" s="262">
        <v>31089</v>
      </c>
      <c r="B1667" s="262" t="s">
        <v>1188</v>
      </c>
      <c r="C1667" s="262" t="s">
        <v>1124</v>
      </c>
      <c r="D1667" s="262">
        <v>-98.790476499999997</v>
      </c>
      <c r="E1667" s="262">
        <v>42.452359999999999</v>
      </c>
      <c r="M1667" s="262">
        <v>11.45687098</v>
      </c>
      <c r="N1667" s="262">
        <v>11.45687098</v>
      </c>
    </row>
    <row r="1668" spans="1:14" x14ac:dyDescent="0.25">
      <c r="A1668" s="262">
        <v>31091</v>
      </c>
      <c r="B1668" s="262" t="s">
        <v>1188</v>
      </c>
      <c r="C1668" s="262" t="s">
        <v>1209</v>
      </c>
      <c r="D1668" s="262">
        <v>-101.13346799999999</v>
      </c>
      <c r="E1668" s="262">
        <v>41.916400000000003</v>
      </c>
      <c r="M1668" s="262">
        <v>11.44885393</v>
      </c>
      <c r="N1668" s="262">
        <v>11.44885393</v>
      </c>
    </row>
    <row r="1669" spans="1:14" x14ac:dyDescent="0.25">
      <c r="A1669" s="262">
        <v>31093</v>
      </c>
      <c r="B1669" s="262" t="s">
        <v>1188</v>
      </c>
      <c r="C1669" s="262" t="s">
        <v>221</v>
      </c>
      <c r="D1669" s="262">
        <v>-98.526368199999993</v>
      </c>
      <c r="E1669" s="262">
        <v>41.214350000000003</v>
      </c>
      <c r="M1669" s="262">
        <v>11.931507720000001</v>
      </c>
      <c r="N1669" s="262">
        <v>11.931507720000001</v>
      </c>
    </row>
    <row r="1670" spans="1:14" x14ac:dyDescent="0.25">
      <c r="A1670" s="262">
        <v>31095</v>
      </c>
      <c r="B1670" s="262" t="s">
        <v>1188</v>
      </c>
      <c r="C1670" s="262" t="s">
        <v>149</v>
      </c>
      <c r="D1670" s="262">
        <v>-97.140694499999995</v>
      </c>
      <c r="E1670" s="262">
        <v>40.169730000000001</v>
      </c>
      <c r="M1670" s="262">
        <v>12.614530350000001</v>
      </c>
      <c r="N1670" s="262">
        <v>12.614530350000001</v>
      </c>
    </row>
    <row r="1671" spans="1:14" x14ac:dyDescent="0.25">
      <c r="A1671" s="262">
        <v>31097</v>
      </c>
      <c r="B1671" s="262" t="s">
        <v>1188</v>
      </c>
      <c r="C1671" s="262" t="s">
        <v>224</v>
      </c>
      <c r="D1671" s="262">
        <v>-96.275526299999996</v>
      </c>
      <c r="E1671" s="262">
        <v>40.38176</v>
      </c>
      <c r="M1671" s="262">
        <v>12.55329766</v>
      </c>
      <c r="N1671" s="262">
        <v>12.55329766</v>
      </c>
    </row>
    <row r="1672" spans="1:14" x14ac:dyDescent="0.25">
      <c r="A1672" s="262">
        <v>31099</v>
      </c>
      <c r="B1672" s="262" t="s">
        <v>1188</v>
      </c>
      <c r="C1672" s="262" t="s">
        <v>1210</v>
      </c>
      <c r="D1672" s="262">
        <v>-98.953281000000004</v>
      </c>
      <c r="E1672" s="262">
        <v>40.503999999999998</v>
      </c>
      <c r="M1672" s="262">
        <v>12.31275812</v>
      </c>
      <c r="N1672" s="262">
        <v>12.31275812</v>
      </c>
    </row>
    <row r="1673" spans="1:14" x14ac:dyDescent="0.25">
      <c r="A1673" s="262">
        <v>31101</v>
      </c>
      <c r="B1673" s="262" t="s">
        <v>1188</v>
      </c>
      <c r="C1673" s="262" t="s">
        <v>1211</v>
      </c>
      <c r="D1673" s="262">
        <v>-101.66687</v>
      </c>
      <c r="E1673" s="262">
        <v>41.198090000000001</v>
      </c>
      <c r="M1673" s="262">
        <v>11.625702759999999</v>
      </c>
      <c r="N1673" s="262">
        <v>11.625702759999999</v>
      </c>
    </row>
    <row r="1674" spans="1:14" x14ac:dyDescent="0.25">
      <c r="A1674" s="262">
        <v>31103</v>
      </c>
      <c r="B1674" s="262" t="s">
        <v>1188</v>
      </c>
      <c r="C1674" s="262" t="s">
        <v>1212</v>
      </c>
      <c r="D1674" s="262">
        <v>-99.717342099999996</v>
      </c>
      <c r="E1674" s="262">
        <v>42.878419999999998</v>
      </c>
      <c r="M1674" s="262">
        <v>11.351803909999999</v>
      </c>
      <c r="N1674" s="262">
        <v>11.351803909999999</v>
      </c>
    </row>
    <row r="1675" spans="1:14" x14ac:dyDescent="0.25">
      <c r="A1675" s="262">
        <v>31105</v>
      </c>
      <c r="B1675" s="262" t="s">
        <v>1188</v>
      </c>
      <c r="C1675" s="262" t="s">
        <v>1213</v>
      </c>
      <c r="D1675" s="262">
        <v>-103.71375500000001</v>
      </c>
      <c r="E1675" s="262">
        <v>41.200380000000003</v>
      </c>
      <c r="M1675" s="262">
        <v>11.007435879999999</v>
      </c>
      <c r="N1675" s="262">
        <v>11.007435879999999</v>
      </c>
    </row>
    <row r="1676" spans="1:14" x14ac:dyDescent="0.25">
      <c r="A1676" s="262">
        <v>31107</v>
      </c>
      <c r="B1676" s="262" t="s">
        <v>1188</v>
      </c>
      <c r="C1676" s="262" t="s">
        <v>601</v>
      </c>
      <c r="D1676" s="262">
        <v>-97.893486999999993</v>
      </c>
      <c r="E1676" s="262">
        <v>42.622909999999997</v>
      </c>
      <c r="M1676" s="262">
        <v>11.32081432</v>
      </c>
      <c r="N1676" s="262">
        <v>11.32081432</v>
      </c>
    </row>
    <row r="1677" spans="1:14" x14ac:dyDescent="0.25">
      <c r="A1677" s="262">
        <v>31109</v>
      </c>
      <c r="B1677" s="262" t="s">
        <v>1188</v>
      </c>
      <c r="C1677" s="262" t="s">
        <v>1214</v>
      </c>
      <c r="D1677" s="262">
        <v>-96.686390200000005</v>
      </c>
      <c r="E1677" s="262">
        <v>40.768909999999998</v>
      </c>
      <c r="M1677" s="262">
        <v>12.31335715</v>
      </c>
      <c r="N1677" s="262">
        <v>12.31335715</v>
      </c>
    </row>
    <row r="1678" spans="1:14" x14ac:dyDescent="0.25">
      <c r="A1678" s="262">
        <v>31111</v>
      </c>
      <c r="B1678" s="262" t="s">
        <v>1188</v>
      </c>
      <c r="C1678" s="262" t="s">
        <v>226</v>
      </c>
      <c r="D1678" s="262">
        <v>-100.75098699999999</v>
      </c>
      <c r="E1678" s="262">
        <v>41.046700000000001</v>
      </c>
      <c r="M1678" s="262">
        <v>11.851855049999999</v>
      </c>
      <c r="N1678" s="262">
        <v>11.851855049999999</v>
      </c>
    </row>
    <row r="1679" spans="1:14" x14ac:dyDescent="0.25">
      <c r="A1679" s="262">
        <v>31113</v>
      </c>
      <c r="B1679" s="262" t="s">
        <v>1188</v>
      </c>
      <c r="C1679" s="262" t="s">
        <v>228</v>
      </c>
      <c r="D1679" s="262">
        <v>-100.479603</v>
      </c>
      <c r="E1679" s="262">
        <v>41.570219999999999</v>
      </c>
      <c r="M1679" s="262">
        <v>11.616000619999999</v>
      </c>
      <c r="N1679" s="262">
        <v>11.616000619999999</v>
      </c>
    </row>
    <row r="1680" spans="1:14" x14ac:dyDescent="0.25">
      <c r="A1680" s="262">
        <v>31115</v>
      </c>
      <c r="B1680" s="262" t="s">
        <v>1188</v>
      </c>
      <c r="C1680" s="262" t="s">
        <v>1215</v>
      </c>
      <c r="D1680" s="262">
        <v>-99.457731300000006</v>
      </c>
      <c r="E1680" s="262">
        <v>41.912939999999999</v>
      </c>
      <c r="M1680" s="262">
        <v>11.61815709</v>
      </c>
      <c r="N1680" s="262">
        <v>11.61815709</v>
      </c>
    </row>
    <row r="1681" spans="1:14" x14ac:dyDescent="0.25">
      <c r="A1681" s="262">
        <v>31117</v>
      </c>
      <c r="B1681" s="262" t="s">
        <v>1188</v>
      </c>
      <c r="C1681" s="262" t="s">
        <v>750</v>
      </c>
      <c r="D1681" s="262">
        <v>-101.05685800000001</v>
      </c>
      <c r="E1681" s="262">
        <v>41.571190000000001</v>
      </c>
      <c r="M1681" s="262">
        <v>11.57509786</v>
      </c>
      <c r="N1681" s="262">
        <v>11.57509786</v>
      </c>
    </row>
    <row r="1682" spans="1:14" x14ac:dyDescent="0.25">
      <c r="A1682" s="262">
        <v>31119</v>
      </c>
      <c r="B1682" s="262" t="s">
        <v>1188</v>
      </c>
      <c r="C1682" s="262" t="s">
        <v>157</v>
      </c>
      <c r="D1682" s="262">
        <v>-97.601352399999996</v>
      </c>
      <c r="E1682" s="262">
        <v>41.903619999999997</v>
      </c>
      <c r="M1682" s="262">
        <v>11.563787230000001</v>
      </c>
      <c r="N1682" s="262">
        <v>11.563787230000001</v>
      </c>
    </row>
    <row r="1683" spans="1:14" x14ac:dyDescent="0.25">
      <c r="A1683" s="262">
        <v>31121</v>
      </c>
      <c r="B1683" s="262" t="s">
        <v>1188</v>
      </c>
      <c r="C1683" s="262" t="s">
        <v>1216</v>
      </c>
      <c r="D1683" s="262">
        <v>-98.054008899999999</v>
      </c>
      <c r="E1683" s="262">
        <v>41.158819999999999</v>
      </c>
      <c r="M1683" s="262">
        <v>11.95514886</v>
      </c>
      <c r="N1683" s="262">
        <v>11.95514886</v>
      </c>
    </row>
    <row r="1684" spans="1:14" x14ac:dyDescent="0.25">
      <c r="A1684" s="262">
        <v>31123</v>
      </c>
      <c r="B1684" s="262" t="s">
        <v>1188</v>
      </c>
      <c r="C1684" s="262" t="s">
        <v>1217</v>
      </c>
      <c r="D1684" s="262">
        <v>-103.001386</v>
      </c>
      <c r="E1684" s="262">
        <v>41.713740000000001</v>
      </c>
      <c r="M1684" s="262">
        <v>11.18658065</v>
      </c>
      <c r="N1684" s="262">
        <v>11.18658065</v>
      </c>
    </row>
    <row r="1685" spans="1:14" x14ac:dyDescent="0.25">
      <c r="A1685" s="262">
        <v>31125</v>
      </c>
      <c r="B1685" s="262" t="s">
        <v>1188</v>
      </c>
      <c r="C1685" s="262" t="s">
        <v>1218</v>
      </c>
      <c r="D1685" s="262">
        <v>-97.996278599999997</v>
      </c>
      <c r="E1685" s="262">
        <v>41.392769999999999</v>
      </c>
      <c r="M1685" s="262">
        <v>11.831896479999999</v>
      </c>
      <c r="N1685" s="262">
        <v>11.831896479999999</v>
      </c>
    </row>
    <row r="1686" spans="1:14" x14ac:dyDescent="0.25">
      <c r="A1686" s="262">
        <v>31127</v>
      </c>
      <c r="B1686" s="262" t="s">
        <v>1188</v>
      </c>
      <c r="C1686" s="262" t="s">
        <v>754</v>
      </c>
      <c r="D1686" s="262">
        <v>-95.854093899999995</v>
      </c>
      <c r="E1686" s="262">
        <v>40.385260000000002</v>
      </c>
      <c r="M1686" s="262">
        <v>12.545380189999999</v>
      </c>
      <c r="N1686" s="262">
        <v>12.545380189999999</v>
      </c>
    </row>
    <row r="1687" spans="1:14" x14ac:dyDescent="0.25">
      <c r="A1687" s="262">
        <v>31129</v>
      </c>
      <c r="B1687" s="262" t="s">
        <v>1188</v>
      </c>
      <c r="C1687" s="262" t="s">
        <v>1219</v>
      </c>
      <c r="D1687" s="262">
        <v>-98.054905599999998</v>
      </c>
      <c r="E1687" s="262">
        <v>40.17116</v>
      </c>
      <c r="M1687" s="262">
        <v>12.54228558</v>
      </c>
      <c r="N1687" s="262">
        <v>12.54228558</v>
      </c>
    </row>
    <row r="1688" spans="1:14" x14ac:dyDescent="0.25">
      <c r="A1688" s="262">
        <v>31131</v>
      </c>
      <c r="B1688" s="262" t="s">
        <v>1188</v>
      </c>
      <c r="C1688" s="262" t="s">
        <v>1220</v>
      </c>
      <c r="D1688" s="262">
        <v>-96.136435500000005</v>
      </c>
      <c r="E1688" s="262">
        <v>40.635759999999998</v>
      </c>
      <c r="M1688" s="262">
        <v>12.42425551</v>
      </c>
      <c r="N1688" s="262">
        <v>12.42425551</v>
      </c>
    </row>
    <row r="1689" spans="1:14" x14ac:dyDescent="0.25">
      <c r="A1689" s="262">
        <v>31133</v>
      </c>
      <c r="B1689" s="262" t="s">
        <v>1188</v>
      </c>
      <c r="C1689" s="262" t="s">
        <v>761</v>
      </c>
      <c r="D1689" s="262">
        <v>-96.243979800000005</v>
      </c>
      <c r="E1689" s="262">
        <v>40.128810000000001</v>
      </c>
      <c r="M1689" s="262">
        <v>12.68368639</v>
      </c>
      <c r="N1689" s="262">
        <v>12.68368639</v>
      </c>
    </row>
    <row r="1690" spans="1:14" x14ac:dyDescent="0.25">
      <c r="A1690" s="262">
        <v>31135</v>
      </c>
      <c r="B1690" s="262" t="s">
        <v>1188</v>
      </c>
      <c r="C1690" s="262" t="s">
        <v>1221</v>
      </c>
      <c r="D1690" s="262">
        <v>-101.66027699999999</v>
      </c>
      <c r="E1690" s="262">
        <v>40.8491</v>
      </c>
      <c r="M1690" s="262">
        <v>11.757167750000001</v>
      </c>
      <c r="N1690" s="262">
        <v>11.757167750000001</v>
      </c>
    </row>
    <row r="1691" spans="1:14" x14ac:dyDescent="0.25">
      <c r="A1691" s="262">
        <v>31137</v>
      </c>
      <c r="B1691" s="262" t="s">
        <v>1188</v>
      </c>
      <c r="C1691" s="262" t="s">
        <v>1136</v>
      </c>
      <c r="D1691" s="262">
        <v>-99.4191249</v>
      </c>
      <c r="E1691" s="262">
        <v>40.510570000000001</v>
      </c>
      <c r="M1691" s="262">
        <v>12.289659179999999</v>
      </c>
      <c r="N1691" s="262">
        <v>12.289659179999999</v>
      </c>
    </row>
    <row r="1692" spans="1:14" x14ac:dyDescent="0.25">
      <c r="A1692" s="262">
        <v>31139</v>
      </c>
      <c r="B1692" s="262" t="s">
        <v>1188</v>
      </c>
      <c r="C1692" s="262" t="s">
        <v>508</v>
      </c>
      <c r="D1692" s="262">
        <v>-97.601397899999995</v>
      </c>
      <c r="E1692" s="262">
        <v>42.248179999999998</v>
      </c>
      <c r="M1692" s="262">
        <v>11.42380129</v>
      </c>
      <c r="N1692" s="262">
        <v>11.42380129</v>
      </c>
    </row>
    <row r="1693" spans="1:14" x14ac:dyDescent="0.25">
      <c r="A1693" s="262">
        <v>31141</v>
      </c>
      <c r="B1693" s="262" t="s">
        <v>1188</v>
      </c>
      <c r="C1693" s="262" t="s">
        <v>1137</v>
      </c>
      <c r="D1693" s="262">
        <v>-97.525970900000004</v>
      </c>
      <c r="E1693" s="262">
        <v>41.564219999999999</v>
      </c>
      <c r="M1693" s="262">
        <v>11.719062149999999</v>
      </c>
      <c r="N1693" s="262">
        <v>11.719062149999999</v>
      </c>
    </row>
    <row r="1694" spans="1:14" x14ac:dyDescent="0.25">
      <c r="A1694" s="262">
        <v>31143</v>
      </c>
      <c r="B1694" s="262" t="s">
        <v>1188</v>
      </c>
      <c r="C1694" s="262" t="s">
        <v>237</v>
      </c>
      <c r="D1694" s="262">
        <v>-97.574166099999999</v>
      </c>
      <c r="E1694" s="262">
        <v>41.180689999999998</v>
      </c>
      <c r="M1694" s="262">
        <v>11.941706870000001</v>
      </c>
      <c r="N1694" s="262">
        <v>11.941706870000001</v>
      </c>
    </row>
    <row r="1695" spans="1:14" x14ac:dyDescent="0.25">
      <c r="A1695" s="262">
        <v>31145</v>
      </c>
      <c r="B1695" s="262" t="s">
        <v>1188</v>
      </c>
      <c r="C1695" s="262" t="s">
        <v>1222</v>
      </c>
      <c r="D1695" s="262">
        <v>-100.47233199999999</v>
      </c>
      <c r="E1695" s="262">
        <v>40.178449999999998</v>
      </c>
      <c r="M1695" s="262">
        <v>12.378109159999999</v>
      </c>
      <c r="N1695" s="262">
        <v>12.378109159999999</v>
      </c>
    </row>
    <row r="1696" spans="1:14" x14ac:dyDescent="0.25">
      <c r="A1696" s="262">
        <v>31147</v>
      </c>
      <c r="B1696" s="262" t="s">
        <v>1188</v>
      </c>
      <c r="C1696" s="262" t="s">
        <v>1223</v>
      </c>
      <c r="D1696" s="262">
        <v>-95.717616699999994</v>
      </c>
      <c r="E1696" s="262">
        <v>40.131779999999999</v>
      </c>
      <c r="M1696" s="262">
        <v>12.674763540000001</v>
      </c>
      <c r="N1696" s="262">
        <v>12.674763540000001</v>
      </c>
    </row>
    <row r="1697" spans="1:14" x14ac:dyDescent="0.25">
      <c r="A1697" s="262">
        <v>31149</v>
      </c>
      <c r="B1697" s="262" t="s">
        <v>1188</v>
      </c>
      <c r="C1697" s="262" t="s">
        <v>1056</v>
      </c>
      <c r="D1697" s="262">
        <v>-99.4543453</v>
      </c>
      <c r="E1697" s="262">
        <v>42.420789999999997</v>
      </c>
      <c r="M1697" s="262">
        <v>11.4711461</v>
      </c>
      <c r="N1697" s="262">
        <v>11.4711461</v>
      </c>
    </row>
    <row r="1698" spans="1:14" x14ac:dyDescent="0.25">
      <c r="A1698" s="262">
        <v>31151</v>
      </c>
      <c r="B1698" s="262" t="s">
        <v>1188</v>
      </c>
      <c r="C1698" s="262" t="s">
        <v>242</v>
      </c>
      <c r="D1698" s="262">
        <v>-97.142670800000005</v>
      </c>
      <c r="E1698" s="262">
        <v>40.511369999999999</v>
      </c>
      <c r="M1698" s="262">
        <v>12.40073349</v>
      </c>
      <c r="N1698" s="262">
        <v>12.40073349</v>
      </c>
    </row>
    <row r="1699" spans="1:14" x14ac:dyDescent="0.25">
      <c r="A1699" s="262">
        <v>31153</v>
      </c>
      <c r="B1699" s="262" t="s">
        <v>1188</v>
      </c>
      <c r="C1699" s="262" t="s">
        <v>1224</v>
      </c>
      <c r="D1699" s="262">
        <v>-96.112937900000006</v>
      </c>
      <c r="E1699" s="262">
        <v>41.103630000000003</v>
      </c>
      <c r="M1699" s="262">
        <v>12.19198441</v>
      </c>
      <c r="N1699" s="262">
        <v>12.19198441</v>
      </c>
    </row>
    <row r="1700" spans="1:14" x14ac:dyDescent="0.25">
      <c r="A1700" s="262">
        <v>31155</v>
      </c>
      <c r="B1700" s="262" t="s">
        <v>1188</v>
      </c>
      <c r="C1700" s="262" t="s">
        <v>1225</v>
      </c>
      <c r="D1700" s="262">
        <v>-96.632786499999995</v>
      </c>
      <c r="E1700" s="262">
        <v>41.213520000000003</v>
      </c>
      <c r="M1700" s="262">
        <v>12.06695103</v>
      </c>
      <c r="N1700" s="262">
        <v>12.06695103</v>
      </c>
    </row>
    <row r="1701" spans="1:14" x14ac:dyDescent="0.25">
      <c r="A1701" s="262">
        <v>31157</v>
      </c>
      <c r="B1701" s="262" t="s">
        <v>1188</v>
      </c>
      <c r="C1701" s="262" t="s">
        <v>1226</v>
      </c>
      <c r="D1701" s="262">
        <v>-103.70392099999999</v>
      </c>
      <c r="E1701" s="262">
        <v>41.853340000000003</v>
      </c>
      <c r="M1701" s="262">
        <v>11.03139032</v>
      </c>
      <c r="N1701" s="262">
        <v>11.03139032</v>
      </c>
    </row>
    <row r="1702" spans="1:14" x14ac:dyDescent="0.25">
      <c r="A1702" s="262">
        <v>31159</v>
      </c>
      <c r="B1702" s="262" t="s">
        <v>1188</v>
      </c>
      <c r="C1702" s="262" t="s">
        <v>770</v>
      </c>
      <c r="D1702" s="262">
        <v>-97.139263200000002</v>
      </c>
      <c r="E1702" s="262">
        <v>40.860489999999999</v>
      </c>
      <c r="M1702" s="262">
        <v>12.18689256</v>
      </c>
      <c r="N1702" s="262">
        <v>12.18689256</v>
      </c>
    </row>
    <row r="1703" spans="1:14" x14ac:dyDescent="0.25">
      <c r="A1703" s="262">
        <v>31161</v>
      </c>
      <c r="B1703" s="262" t="s">
        <v>1188</v>
      </c>
      <c r="C1703" s="262" t="s">
        <v>772</v>
      </c>
      <c r="D1703" s="262">
        <v>-102.402109</v>
      </c>
      <c r="E1703" s="262">
        <v>42.50488</v>
      </c>
      <c r="M1703" s="262">
        <v>11.110539080000001</v>
      </c>
      <c r="N1703" s="262">
        <v>11.110539080000001</v>
      </c>
    </row>
    <row r="1704" spans="1:14" x14ac:dyDescent="0.25">
      <c r="A1704" s="262">
        <v>31163</v>
      </c>
      <c r="B1704" s="262" t="s">
        <v>1188</v>
      </c>
      <c r="C1704" s="262" t="s">
        <v>773</v>
      </c>
      <c r="D1704" s="262">
        <v>-98.981323200000006</v>
      </c>
      <c r="E1704" s="262">
        <v>41.218589999999999</v>
      </c>
      <c r="M1704" s="262">
        <v>11.92999856</v>
      </c>
      <c r="N1704" s="262">
        <v>11.92999856</v>
      </c>
    </row>
    <row r="1705" spans="1:14" x14ac:dyDescent="0.25">
      <c r="A1705" s="262">
        <v>31165</v>
      </c>
      <c r="B1705" s="262" t="s">
        <v>1188</v>
      </c>
      <c r="C1705" s="262" t="s">
        <v>711</v>
      </c>
      <c r="D1705" s="262">
        <v>-103.76118</v>
      </c>
      <c r="E1705" s="262">
        <v>42.485590000000002</v>
      </c>
      <c r="M1705" s="262">
        <v>10.84684294</v>
      </c>
      <c r="N1705" s="262">
        <v>10.84684294</v>
      </c>
    </row>
    <row r="1706" spans="1:14" x14ac:dyDescent="0.25">
      <c r="A1706" s="262">
        <v>31167</v>
      </c>
      <c r="B1706" s="262" t="s">
        <v>1188</v>
      </c>
      <c r="C1706" s="262" t="s">
        <v>776</v>
      </c>
      <c r="D1706" s="262">
        <v>-97.196449099999995</v>
      </c>
      <c r="E1706" s="262">
        <v>41.900889999999997</v>
      </c>
      <c r="M1706" s="262">
        <v>11.559856419999999</v>
      </c>
      <c r="N1706" s="262">
        <v>11.559856419999999</v>
      </c>
    </row>
    <row r="1707" spans="1:14" x14ac:dyDescent="0.25">
      <c r="A1707" s="262">
        <v>31169</v>
      </c>
      <c r="B1707" s="262" t="s">
        <v>1188</v>
      </c>
      <c r="C1707" s="262" t="s">
        <v>1227</v>
      </c>
      <c r="D1707" s="262">
        <v>-97.599091200000004</v>
      </c>
      <c r="E1707" s="262">
        <v>40.171129999999998</v>
      </c>
      <c r="M1707" s="262">
        <v>12.577785970000001</v>
      </c>
      <c r="N1707" s="262">
        <v>12.577785970000001</v>
      </c>
    </row>
    <row r="1708" spans="1:14" x14ac:dyDescent="0.25">
      <c r="A1708" s="262">
        <v>31171</v>
      </c>
      <c r="B1708" s="262" t="s">
        <v>1188</v>
      </c>
      <c r="C1708" s="262" t="s">
        <v>523</v>
      </c>
      <c r="D1708" s="262">
        <v>-100.55407200000001</v>
      </c>
      <c r="E1708" s="262">
        <v>41.916460000000001</v>
      </c>
      <c r="M1708" s="262">
        <v>11.47768675</v>
      </c>
      <c r="N1708" s="262">
        <v>11.47768675</v>
      </c>
    </row>
    <row r="1709" spans="1:14" x14ac:dyDescent="0.25">
      <c r="A1709" s="262">
        <v>31173</v>
      </c>
      <c r="B1709" s="262" t="s">
        <v>1188</v>
      </c>
      <c r="C1709" s="262" t="s">
        <v>1228</v>
      </c>
      <c r="D1709" s="262">
        <v>-96.538300300000003</v>
      </c>
      <c r="E1709" s="262">
        <v>42.144260000000003</v>
      </c>
      <c r="M1709" s="262">
        <v>11.5140128</v>
      </c>
      <c r="N1709" s="262">
        <v>11.5140128</v>
      </c>
    </row>
    <row r="1710" spans="1:14" x14ac:dyDescent="0.25">
      <c r="A1710" s="262">
        <v>31175</v>
      </c>
      <c r="B1710" s="262" t="s">
        <v>1188</v>
      </c>
      <c r="C1710" s="262" t="s">
        <v>574</v>
      </c>
      <c r="D1710" s="262">
        <v>-98.988482399999995</v>
      </c>
      <c r="E1710" s="262">
        <v>41.564869999999999</v>
      </c>
      <c r="M1710" s="262">
        <v>11.773076789999999</v>
      </c>
      <c r="N1710" s="262">
        <v>11.773076789999999</v>
      </c>
    </row>
    <row r="1711" spans="1:14" x14ac:dyDescent="0.25">
      <c r="A1711" s="262">
        <v>31177</v>
      </c>
      <c r="B1711" s="262" t="s">
        <v>1188</v>
      </c>
      <c r="C1711" s="262" t="s">
        <v>177</v>
      </c>
      <c r="D1711" s="262">
        <v>-96.215163000000004</v>
      </c>
      <c r="E1711" s="262">
        <v>41.515270000000001</v>
      </c>
      <c r="M1711" s="262">
        <v>11.93799696</v>
      </c>
      <c r="N1711" s="262">
        <v>11.93799696</v>
      </c>
    </row>
    <row r="1712" spans="1:14" x14ac:dyDescent="0.25">
      <c r="A1712" s="262">
        <v>31179</v>
      </c>
      <c r="B1712" s="262" t="s">
        <v>1188</v>
      </c>
      <c r="C1712" s="262" t="s">
        <v>534</v>
      </c>
      <c r="D1712" s="262">
        <v>-97.110505900000007</v>
      </c>
      <c r="E1712" s="262">
        <v>42.190980000000003</v>
      </c>
      <c r="M1712" s="262">
        <v>11.438834780000001</v>
      </c>
      <c r="N1712" s="262">
        <v>11.438834780000001</v>
      </c>
    </row>
    <row r="1713" spans="1:14" x14ac:dyDescent="0.25">
      <c r="A1713" s="262">
        <v>31181</v>
      </c>
      <c r="B1713" s="262" t="s">
        <v>1188</v>
      </c>
      <c r="C1713" s="262" t="s">
        <v>535</v>
      </c>
      <c r="D1713" s="262">
        <v>-98.505580899999998</v>
      </c>
      <c r="E1713" s="262">
        <v>40.173290000000001</v>
      </c>
      <c r="M1713" s="262">
        <v>12.52683732</v>
      </c>
      <c r="N1713" s="262">
        <v>12.52683732</v>
      </c>
    </row>
    <row r="1714" spans="1:14" x14ac:dyDescent="0.25">
      <c r="A1714" s="262">
        <v>31183</v>
      </c>
      <c r="B1714" s="262" t="s">
        <v>1188</v>
      </c>
      <c r="C1714" s="262" t="s">
        <v>536</v>
      </c>
      <c r="D1714" s="262">
        <v>-98.526617799999997</v>
      </c>
      <c r="E1714" s="262">
        <v>41.910789999999999</v>
      </c>
      <c r="M1714" s="262">
        <v>11.62878491</v>
      </c>
      <c r="N1714" s="262">
        <v>11.62878491</v>
      </c>
    </row>
    <row r="1715" spans="1:14" x14ac:dyDescent="0.25">
      <c r="A1715" s="262">
        <v>31185</v>
      </c>
      <c r="B1715" s="262" t="s">
        <v>1188</v>
      </c>
      <c r="C1715" s="262" t="s">
        <v>917</v>
      </c>
      <c r="D1715" s="262">
        <v>-97.604934900000003</v>
      </c>
      <c r="E1715" s="262">
        <v>40.863370000000003</v>
      </c>
      <c r="M1715" s="262">
        <v>12.137591410000001</v>
      </c>
      <c r="N1715" s="262">
        <v>12.137591410000001</v>
      </c>
    </row>
    <row r="1716" spans="1:14" x14ac:dyDescent="0.25">
      <c r="A1716" s="262">
        <v>32001</v>
      </c>
      <c r="B1716" s="262" t="s">
        <v>1229</v>
      </c>
      <c r="C1716" s="262" t="s">
        <v>1230</v>
      </c>
      <c r="D1716" s="262">
        <v>-118.351152</v>
      </c>
      <c r="E1716" s="262">
        <v>39.577669999999998</v>
      </c>
      <c r="M1716" s="262">
        <v>11.818433069999999</v>
      </c>
      <c r="N1716" s="262">
        <v>11.818433069999999</v>
      </c>
    </row>
    <row r="1717" spans="1:14" x14ac:dyDescent="0.25">
      <c r="A1717" s="262">
        <v>32003</v>
      </c>
      <c r="B1717" s="262" t="s">
        <v>1229</v>
      </c>
      <c r="C1717" s="262" t="s">
        <v>205</v>
      </c>
      <c r="D1717" s="262">
        <v>-115.02048000000001</v>
      </c>
      <c r="E1717" s="262">
        <v>36.219630000000002</v>
      </c>
      <c r="M1717" s="262">
        <v>13.59921829</v>
      </c>
      <c r="N1717" s="262">
        <v>13.59921829</v>
      </c>
    </row>
    <row r="1718" spans="1:14" x14ac:dyDescent="0.25">
      <c r="A1718" s="262">
        <v>32005</v>
      </c>
      <c r="B1718" s="262" t="s">
        <v>1229</v>
      </c>
      <c r="C1718" s="262" t="s">
        <v>330</v>
      </c>
      <c r="D1718" s="262">
        <v>-119.612264</v>
      </c>
      <c r="E1718" s="262">
        <v>38.906529999999997</v>
      </c>
      <c r="M1718" s="262">
        <v>13.850551400000001</v>
      </c>
      <c r="N1718" s="262">
        <v>13.850551400000001</v>
      </c>
    </row>
    <row r="1719" spans="1:14" x14ac:dyDescent="0.25">
      <c r="A1719" s="262">
        <v>32007</v>
      </c>
      <c r="B1719" s="262" t="s">
        <v>1229</v>
      </c>
      <c r="C1719" s="262" t="s">
        <v>1231</v>
      </c>
      <c r="D1719" s="262">
        <v>-115.358071</v>
      </c>
      <c r="E1719" s="262">
        <v>41.155180000000001</v>
      </c>
      <c r="M1719" s="262">
        <v>8.2593247109999997</v>
      </c>
      <c r="N1719" s="262">
        <v>8.2593247109999997</v>
      </c>
    </row>
    <row r="1720" spans="1:14" x14ac:dyDescent="0.25">
      <c r="A1720" s="262">
        <v>32009</v>
      </c>
      <c r="B1720" s="262" t="s">
        <v>1229</v>
      </c>
      <c r="C1720" s="262" t="s">
        <v>1232</v>
      </c>
      <c r="D1720" s="262">
        <v>-117.637809</v>
      </c>
      <c r="E1720" s="262">
        <v>37.786349999999999</v>
      </c>
      <c r="M1720" s="262">
        <v>13.36841531</v>
      </c>
      <c r="N1720" s="262">
        <v>13.36841531</v>
      </c>
    </row>
    <row r="1721" spans="1:14" x14ac:dyDescent="0.25">
      <c r="A1721" s="262">
        <v>32011</v>
      </c>
      <c r="B1721" s="262" t="s">
        <v>1229</v>
      </c>
      <c r="C1721" s="262" t="s">
        <v>1233</v>
      </c>
      <c r="D1721" s="262">
        <v>-116.235975</v>
      </c>
      <c r="E1721" s="262">
        <v>39.960709999999999</v>
      </c>
      <c r="M1721" s="262">
        <v>9.0108541829999993</v>
      </c>
      <c r="N1721" s="262">
        <v>9.0108541829999993</v>
      </c>
    </row>
    <row r="1722" spans="1:14" x14ac:dyDescent="0.25">
      <c r="A1722" s="262">
        <v>32013</v>
      </c>
      <c r="B1722" s="262" t="s">
        <v>1229</v>
      </c>
      <c r="C1722" s="262" t="s">
        <v>266</v>
      </c>
      <c r="D1722" s="262">
        <v>-118.109576</v>
      </c>
      <c r="E1722" s="262">
        <v>41.412880000000001</v>
      </c>
      <c r="M1722" s="262">
        <v>10.54376675</v>
      </c>
      <c r="N1722" s="262">
        <v>10.54376675</v>
      </c>
    </row>
    <row r="1723" spans="1:14" x14ac:dyDescent="0.25">
      <c r="A1723" s="262">
        <v>32015</v>
      </c>
      <c r="B1723" s="262" t="s">
        <v>1229</v>
      </c>
      <c r="C1723" s="262" t="s">
        <v>1234</v>
      </c>
      <c r="D1723" s="262">
        <v>-117.04025799999999</v>
      </c>
      <c r="E1723" s="262">
        <v>39.94229</v>
      </c>
      <c r="M1723" s="262">
        <v>10.126454900000001</v>
      </c>
      <c r="N1723" s="262">
        <v>10.126454900000001</v>
      </c>
    </row>
    <row r="1724" spans="1:14" x14ac:dyDescent="0.25">
      <c r="A1724" s="262">
        <v>32017</v>
      </c>
      <c r="B1724" s="262" t="s">
        <v>1229</v>
      </c>
      <c r="C1724" s="262" t="s">
        <v>226</v>
      </c>
      <c r="D1724" s="262">
        <v>-114.872153</v>
      </c>
      <c r="E1724" s="262">
        <v>37.638199999999998</v>
      </c>
      <c r="M1724" s="262">
        <v>12.304104280000001</v>
      </c>
      <c r="N1724" s="262">
        <v>12.304104280000001</v>
      </c>
    </row>
    <row r="1725" spans="1:14" x14ac:dyDescent="0.25">
      <c r="A1725" s="262">
        <v>32019</v>
      </c>
      <c r="B1725" s="262" t="s">
        <v>1229</v>
      </c>
      <c r="C1725" s="262" t="s">
        <v>697</v>
      </c>
      <c r="D1725" s="262">
        <v>-119.195583</v>
      </c>
      <c r="E1725" s="262">
        <v>39.02017</v>
      </c>
      <c r="M1725" s="262">
        <v>13.244027620000001</v>
      </c>
      <c r="N1725" s="262">
        <v>13.244027620000001</v>
      </c>
    </row>
    <row r="1726" spans="1:14" x14ac:dyDescent="0.25">
      <c r="A1726" s="262">
        <v>32021</v>
      </c>
      <c r="B1726" s="262" t="s">
        <v>1229</v>
      </c>
      <c r="C1726" s="262" t="s">
        <v>347</v>
      </c>
      <c r="D1726" s="262">
        <v>-118.439104</v>
      </c>
      <c r="E1726" s="262">
        <v>38.528329999999997</v>
      </c>
      <c r="M1726" s="262">
        <v>13.127261819999999</v>
      </c>
      <c r="N1726" s="262">
        <v>13.127261819999999</v>
      </c>
    </row>
    <row r="1727" spans="1:14" x14ac:dyDescent="0.25">
      <c r="A1727" s="262">
        <v>32023</v>
      </c>
      <c r="B1727" s="262" t="s">
        <v>1229</v>
      </c>
      <c r="C1727" s="262" t="s">
        <v>1235</v>
      </c>
      <c r="D1727" s="262">
        <v>-116.47218100000001</v>
      </c>
      <c r="E1727" s="262">
        <v>38.045200000000001</v>
      </c>
      <c r="M1727" s="262">
        <v>12.216070650000001</v>
      </c>
      <c r="N1727" s="262">
        <v>12.216070650000001</v>
      </c>
    </row>
    <row r="1728" spans="1:14" x14ac:dyDescent="0.25">
      <c r="A1728" s="262">
        <v>32027</v>
      </c>
      <c r="B1728" s="262" t="s">
        <v>1229</v>
      </c>
      <c r="C1728" s="262" t="s">
        <v>1236</v>
      </c>
      <c r="D1728" s="262">
        <v>-118.409932</v>
      </c>
      <c r="E1728" s="262">
        <v>40.453200000000002</v>
      </c>
      <c r="M1728" s="262">
        <v>11.17550862</v>
      </c>
      <c r="N1728" s="262">
        <v>11.17550862</v>
      </c>
    </row>
    <row r="1729" spans="1:14" x14ac:dyDescent="0.25">
      <c r="A1729" s="262">
        <v>32029</v>
      </c>
      <c r="B1729" s="262" t="s">
        <v>1229</v>
      </c>
      <c r="C1729" s="262" t="s">
        <v>1237</v>
      </c>
      <c r="D1729" s="262">
        <v>-119.53251</v>
      </c>
      <c r="E1729" s="262">
        <v>39.445770000000003</v>
      </c>
      <c r="M1729" s="262">
        <v>12.941852730000001</v>
      </c>
      <c r="N1729" s="262">
        <v>12.941852730000001</v>
      </c>
    </row>
    <row r="1730" spans="1:14" x14ac:dyDescent="0.25">
      <c r="A1730" s="262">
        <v>32031</v>
      </c>
      <c r="B1730" s="262" t="s">
        <v>1229</v>
      </c>
      <c r="C1730" s="262" t="s">
        <v>1238</v>
      </c>
      <c r="D1730" s="262">
        <v>-119.663297</v>
      </c>
      <c r="E1730" s="262">
        <v>40.671529999999997</v>
      </c>
      <c r="M1730" s="262">
        <v>11.736096030000001</v>
      </c>
      <c r="N1730" s="262">
        <v>11.736096030000001</v>
      </c>
    </row>
    <row r="1731" spans="1:14" x14ac:dyDescent="0.25">
      <c r="A1731" s="262">
        <v>32033</v>
      </c>
      <c r="B1731" s="262" t="s">
        <v>1229</v>
      </c>
      <c r="C1731" s="262" t="s">
        <v>1239</v>
      </c>
      <c r="D1731" s="262">
        <v>-114.86507400000001</v>
      </c>
      <c r="E1731" s="262">
        <v>39.44003</v>
      </c>
      <c r="M1731" s="262">
        <v>10.20122692</v>
      </c>
      <c r="N1731" s="262">
        <v>10.20122692</v>
      </c>
    </row>
    <row r="1732" spans="1:14" x14ac:dyDescent="0.25">
      <c r="A1732" s="262">
        <v>32510</v>
      </c>
      <c r="B1732" s="262" t="s">
        <v>1229</v>
      </c>
      <c r="C1732" s="262" t="s">
        <v>1240</v>
      </c>
      <c r="D1732" s="262">
        <v>-119.742705</v>
      </c>
      <c r="E1732" s="262">
        <v>39.15137</v>
      </c>
      <c r="M1732" s="262">
        <v>13.63677455</v>
      </c>
      <c r="N1732" s="262">
        <v>13.63677455</v>
      </c>
    </row>
    <row r="1733" spans="1:14" x14ac:dyDescent="0.25">
      <c r="A1733" s="262">
        <v>33001</v>
      </c>
      <c r="B1733" s="262" t="s">
        <v>1241</v>
      </c>
      <c r="C1733" s="262" t="s">
        <v>1242</v>
      </c>
      <c r="D1733" s="262">
        <v>-71.422273200000006</v>
      </c>
      <c r="E1733" s="262">
        <v>43.517510000000001</v>
      </c>
      <c r="M1733" s="262">
        <v>9.1659348559999998</v>
      </c>
      <c r="N1733" s="262">
        <v>9.1659348559999998</v>
      </c>
    </row>
    <row r="1734" spans="1:14" x14ac:dyDescent="0.25">
      <c r="A1734" s="262">
        <v>33003</v>
      </c>
      <c r="B1734" s="262" t="s">
        <v>1241</v>
      </c>
      <c r="C1734" s="262" t="s">
        <v>203</v>
      </c>
      <c r="D1734" s="262">
        <v>-71.199648300000007</v>
      </c>
      <c r="E1734" s="262">
        <v>43.882469999999998</v>
      </c>
      <c r="M1734" s="262">
        <v>8.8970688960000004</v>
      </c>
      <c r="N1734" s="262">
        <v>8.8970688960000004</v>
      </c>
    </row>
    <row r="1735" spans="1:14" x14ac:dyDescent="0.25">
      <c r="A1735" s="262">
        <v>33005</v>
      </c>
      <c r="B1735" s="262" t="s">
        <v>1241</v>
      </c>
      <c r="C1735" s="262" t="s">
        <v>1243</v>
      </c>
      <c r="D1735" s="262">
        <v>-72.254193700000002</v>
      </c>
      <c r="E1735" s="262">
        <v>42.920290000000001</v>
      </c>
      <c r="M1735" s="262">
        <v>9.4648145489999997</v>
      </c>
      <c r="N1735" s="262">
        <v>9.4648145489999997</v>
      </c>
    </row>
    <row r="1736" spans="1:14" x14ac:dyDescent="0.25">
      <c r="A1736" s="262">
        <v>33007</v>
      </c>
      <c r="B1736" s="262" t="s">
        <v>1241</v>
      </c>
      <c r="C1736" s="262" t="s">
        <v>1244</v>
      </c>
      <c r="D1736" s="262">
        <v>-71.307696399999998</v>
      </c>
      <c r="E1736" s="262">
        <v>44.706530000000001</v>
      </c>
      <c r="M1736" s="262">
        <v>8.2532251910000003</v>
      </c>
      <c r="N1736" s="262">
        <v>8.2532251910000003</v>
      </c>
    </row>
    <row r="1737" spans="1:14" x14ac:dyDescent="0.25">
      <c r="A1737" s="262">
        <v>33009</v>
      </c>
      <c r="B1737" s="262" t="s">
        <v>1241</v>
      </c>
      <c r="C1737" s="262" t="s">
        <v>1245</v>
      </c>
      <c r="D1737" s="262">
        <v>-71.8162734</v>
      </c>
      <c r="E1737" s="262">
        <v>43.936520000000002</v>
      </c>
      <c r="M1737" s="262">
        <v>8.6065193240000006</v>
      </c>
      <c r="N1737" s="262">
        <v>8.6065193240000006</v>
      </c>
    </row>
    <row r="1738" spans="1:14" x14ac:dyDescent="0.25">
      <c r="A1738" s="262">
        <v>33011</v>
      </c>
      <c r="B1738" s="262" t="s">
        <v>1241</v>
      </c>
      <c r="C1738" s="262" t="s">
        <v>405</v>
      </c>
      <c r="D1738" s="262">
        <v>-71.712710299999998</v>
      </c>
      <c r="E1738" s="262">
        <v>42.917490000000001</v>
      </c>
      <c r="M1738" s="262">
        <v>9.7165032389999997</v>
      </c>
      <c r="N1738" s="262">
        <v>9.7165032389999997</v>
      </c>
    </row>
    <row r="1739" spans="1:14" x14ac:dyDescent="0.25">
      <c r="A1739" s="262">
        <v>33013</v>
      </c>
      <c r="B1739" s="262" t="s">
        <v>1241</v>
      </c>
      <c r="C1739" s="262" t="s">
        <v>1246</v>
      </c>
      <c r="D1739" s="262">
        <v>-71.680970799999997</v>
      </c>
      <c r="E1739" s="262">
        <v>43.298670000000001</v>
      </c>
      <c r="M1739" s="262">
        <v>9.2938668179999997</v>
      </c>
      <c r="N1739" s="262">
        <v>9.2938668179999997</v>
      </c>
    </row>
    <row r="1740" spans="1:14" x14ac:dyDescent="0.25">
      <c r="A1740" s="262">
        <v>33015</v>
      </c>
      <c r="B1740" s="262" t="s">
        <v>1241</v>
      </c>
      <c r="C1740" s="262" t="s">
        <v>1247</v>
      </c>
      <c r="D1740" s="262">
        <v>-71.121588099999997</v>
      </c>
      <c r="E1740" s="262">
        <v>42.990169999999999</v>
      </c>
      <c r="M1740" s="262">
        <v>9.8416336330000007</v>
      </c>
      <c r="N1740" s="262">
        <v>9.8416336330000007</v>
      </c>
    </row>
    <row r="1741" spans="1:14" x14ac:dyDescent="0.25">
      <c r="A1741" s="262">
        <v>33017</v>
      </c>
      <c r="B1741" s="262" t="s">
        <v>1241</v>
      </c>
      <c r="C1741" s="262" t="s">
        <v>1248</v>
      </c>
      <c r="D1741" s="262">
        <v>-71.031011199999995</v>
      </c>
      <c r="E1741" s="262">
        <v>43.303440000000002</v>
      </c>
      <c r="M1741" s="262">
        <v>9.5065741409999998</v>
      </c>
      <c r="N1741" s="262">
        <v>9.5065741409999998</v>
      </c>
    </row>
    <row r="1742" spans="1:14" x14ac:dyDescent="0.25">
      <c r="A1742" s="262">
        <v>33019</v>
      </c>
      <c r="B1742" s="262" t="s">
        <v>1241</v>
      </c>
      <c r="C1742" s="262" t="s">
        <v>662</v>
      </c>
      <c r="D1742" s="262">
        <v>-72.222761800000001</v>
      </c>
      <c r="E1742" s="262">
        <v>43.362650000000002</v>
      </c>
      <c r="M1742" s="262">
        <v>8.9640168449999997</v>
      </c>
      <c r="N1742" s="262">
        <v>8.9640168449999997</v>
      </c>
    </row>
    <row r="1743" spans="1:14" x14ac:dyDescent="0.25">
      <c r="A1743" s="262">
        <v>34001</v>
      </c>
      <c r="B1743" s="262" t="s">
        <v>1249</v>
      </c>
      <c r="C1743" s="262" t="s">
        <v>1250</v>
      </c>
      <c r="D1743" s="262">
        <v>-74.674175199999993</v>
      </c>
      <c r="E1743" s="262">
        <v>39.480589999999999</v>
      </c>
      <c r="M1743" s="262">
        <v>13.27322478</v>
      </c>
      <c r="N1743" s="262">
        <v>13.27322478</v>
      </c>
    </row>
    <row r="1744" spans="1:14" x14ac:dyDescent="0.25">
      <c r="A1744" s="262">
        <v>34003</v>
      </c>
      <c r="B1744" s="262" t="s">
        <v>1249</v>
      </c>
      <c r="C1744" s="262" t="s">
        <v>1251</v>
      </c>
      <c r="D1744" s="262">
        <v>-74.073779299999998</v>
      </c>
      <c r="E1744" s="262">
        <v>40.961620000000003</v>
      </c>
      <c r="M1744" s="262">
        <v>11.56275658</v>
      </c>
      <c r="N1744" s="262">
        <v>11.56275658</v>
      </c>
    </row>
    <row r="1745" spans="1:14" x14ac:dyDescent="0.25">
      <c r="A1745" s="262">
        <v>34005</v>
      </c>
      <c r="B1745" s="262" t="s">
        <v>1249</v>
      </c>
      <c r="C1745" s="262" t="s">
        <v>1252</v>
      </c>
      <c r="D1745" s="262">
        <v>-74.665792800000006</v>
      </c>
      <c r="E1745" s="262">
        <v>39.884529999999998</v>
      </c>
      <c r="M1745" s="262">
        <v>12.82167804</v>
      </c>
      <c r="N1745" s="262">
        <v>12.82167804</v>
      </c>
    </row>
    <row r="1746" spans="1:14" x14ac:dyDescent="0.25">
      <c r="A1746" s="262">
        <v>34007</v>
      </c>
      <c r="B1746" s="262" t="s">
        <v>1249</v>
      </c>
      <c r="C1746" s="262" t="s">
        <v>448</v>
      </c>
      <c r="D1746" s="262">
        <v>-74.946799299999995</v>
      </c>
      <c r="E1746" s="262">
        <v>39.797580000000004</v>
      </c>
      <c r="M1746" s="262">
        <v>12.8298886</v>
      </c>
      <c r="N1746" s="262">
        <v>12.8298886</v>
      </c>
    </row>
    <row r="1747" spans="1:14" x14ac:dyDescent="0.25">
      <c r="A1747" s="262">
        <v>34009</v>
      </c>
      <c r="B1747" s="262" t="s">
        <v>1249</v>
      </c>
      <c r="C1747" s="262" t="s">
        <v>1253</v>
      </c>
      <c r="D1747" s="262">
        <v>-74.807862400000005</v>
      </c>
      <c r="E1747" s="262">
        <v>39.151040000000002</v>
      </c>
      <c r="M1747" s="262">
        <v>13.6077101</v>
      </c>
      <c r="N1747" s="262">
        <v>13.6077101</v>
      </c>
    </row>
    <row r="1748" spans="1:14" x14ac:dyDescent="0.25">
      <c r="A1748" s="262">
        <v>34011</v>
      </c>
      <c r="B1748" s="262" t="s">
        <v>1249</v>
      </c>
      <c r="C1748" s="262" t="s">
        <v>585</v>
      </c>
      <c r="D1748" s="262">
        <v>-75.111154499999998</v>
      </c>
      <c r="E1748" s="262">
        <v>39.370640000000002</v>
      </c>
      <c r="M1748" s="262">
        <v>13.3352997</v>
      </c>
      <c r="N1748" s="262">
        <v>13.3352997</v>
      </c>
    </row>
    <row r="1749" spans="1:14" x14ac:dyDescent="0.25">
      <c r="A1749" s="262">
        <v>34013</v>
      </c>
      <c r="B1749" s="262" t="s">
        <v>1249</v>
      </c>
      <c r="C1749" s="262" t="s">
        <v>941</v>
      </c>
      <c r="D1749" s="262">
        <v>-74.248670399999995</v>
      </c>
      <c r="E1749" s="262">
        <v>40.79101</v>
      </c>
      <c r="M1749" s="262">
        <v>11.7895615</v>
      </c>
      <c r="N1749" s="262">
        <v>11.7895615</v>
      </c>
    </row>
    <row r="1750" spans="1:14" x14ac:dyDescent="0.25">
      <c r="A1750" s="262">
        <v>34015</v>
      </c>
      <c r="B1750" s="262" t="s">
        <v>1249</v>
      </c>
      <c r="C1750" s="262" t="s">
        <v>1254</v>
      </c>
      <c r="D1750" s="262">
        <v>-75.137394499999999</v>
      </c>
      <c r="E1750" s="262">
        <v>39.714939999999999</v>
      </c>
      <c r="M1750" s="262">
        <v>12.876556130000001</v>
      </c>
      <c r="N1750" s="262">
        <v>12.876556130000001</v>
      </c>
    </row>
    <row r="1751" spans="1:14" x14ac:dyDescent="0.25">
      <c r="A1751" s="262">
        <v>34017</v>
      </c>
      <c r="B1751" s="262" t="s">
        <v>1249</v>
      </c>
      <c r="C1751" s="262" t="s">
        <v>1255</v>
      </c>
      <c r="D1751" s="262">
        <v>-74.092982000000006</v>
      </c>
      <c r="E1751" s="262">
        <v>40.741540000000001</v>
      </c>
      <c r="M1751" s="262">
        <v>11.94276794</v>
      </c>
      <c r="N1751" s="262">
        <v>11.94276794</v>
      </c>
    </row>
    <row r="1752" spans="1:14" x14ac:dyDescent="0.25">
      <c r="A1752" s="262">
        <v>34019</v>
      </c>
      <c r="B1752" s="262" t="s">
        <v>1249</v>
      </c>
      <c r="C1752" s="262" t="s">
        <v>1256</v>
      </c>
      <c r="D1752" s="262">
        <v>-74.913991899999999</v>
      </c>
      <c r="E1752" s="262">
        <v>40.573090000000001</v>
      </c>
      <c r="M1752" s="262">
        <v>11.55289995</v>
      </c>
      <c r="N1752" s="262">
        <v>11.55289995</v>
      </c>
    </row>
    <row r="1753" spans="1:14" x14ac:dyDescent="0.25">
      <c r="A1753" s="262">
        <v>34021</v>
      </c>
      <c r="B1753" s="262" t="s">
        <v>1249</v>
      </c>
      <c r="C1753" s="262" t="s">
        <v>611</v>
      </c>
      <c r="D1753" s="262">
        <v>-74.694547600000007</v>
      </c>
      <c r="E1753" s="262">
        <v>40.286340000000003</v>
      </c>
      <c r="M1753" s="262">
        <v>12.246777160000001</v>
      </c>
      <c r="N1753" s="262">
        <v>12.246777160000001</v>
      </c>
    </row>
    <row r="1754" spans="1:14" x14ac:dyDescent="0.25">
      <c r="A1754" s="262">
        <v>34023</v>
      </c>
      <c r="B1754" s="262" t="s">
        <v>1249</v>
      </c>
      <c r="C1754" s="262" t="s">
        <v>371</v>
      </c>
      <c r="D1754" s="262">
        <v>-74.417475999999994</v>
      </c>
      <c r="E1754" s="262">
        <v>40.4467</v>
      </c>
      <c r="M1754" s="262">
        <v>12.23061482</v>
      </c>
      <c r="N1754" s="262">
        <v>12.23061482</v>
      </c>
    </row>
    <row r="1755" spans="1:14" x14ac:dyDescent="0.25">
      <c r="A1755" s="262">
        <v>34025</v>
      </c>
      <c r="B1755" s="262" t="s">
        <v>1249</v>
      </c>
      <c r="C1755" s="262" t="s">
        <v>1257</v>
      </c>
      <c r="D1755" s="262">
        <v>-74.208995000000002</v>
      </c>
      <c r="E1755" s="262">
        <v>40.261159999999997</v>
      </c>
      <c r="M1755" s="262">
        <v>12.65245138</v>
      </c>
      <c r="N1755" s="262">
        <v>12.65245138</v>
      </c>
    </row>
    <row r="1756" spans="1:14" x14ac:dyDescent="0.25">
      <c r="A1756" s="262">
        <v>34027</v>
      </c>
      <c r="B1756" s="262" t="s">
        <v>1249</v>
      </c>
      <c r="C1756" s="262" t="s">
        <v>752</v>
      </c>
      <c r="D1756" s="262">
        <v>-74.556986600000002</v>
      </c>
      <c r="E1756" s="262">
        <v>40.861629999999998</v>
      </c>
      <c r="M1756" s="262">
        <v>11.33331093</v>
      </c>
      <c r="N1756" s="262">
        <v>11.33331093</v>
      </c>
    </row>
    <row r="1757" spans="1:14" x14ac:dyDescent="0.25">
      <c r="A1757" s="262">
        <v>34029</v>
      </c>
      <c r="B1757" s="262" t="s">
        <v>1249</v>
      </c>
      <c r="C1757" s="262" t="s">
        <v>1258</v>
      </c>
      <c r="D1757" s="262">
        <v>-74.283856299999997</v>
      </c>
      <c r="E1757" s="262">
        <v>39.914160000000003</v>
      </c>
      <c r="M1757" s="262">
        <v>12.954736260000001</v>
      </c>
      <c r="N1757" s="262">
        <v>12.954736260000001</v>
      </c>
    </row>
    <row r="1758" spans="1:14" x14ac:dyDescent="0.25">
      <c r="A1758" s="262">
        <v>34031</v>
      </c>
      <c r="B1758" s="262" t="s">
        <v>1249</v>
      </c>
      <c r="C1758" s="262" t="s">
        <v>1259</v>
      </c>
      <c r="D1758" s="262">
        <v>-74.298664500000001</v>
      </c>
      <c r="E1758" s="262">
        <v>41.032319999999999</v>
      </c>
      <c r="M1758" s="262">
        <v>11.252547870000001</v>
      </c>
      <c r="N1758" s="262">
        <v>11.252547870000001</v>
      </c>
    </row>
    <row r="1759" spans="1:14" x14ac:dyDescent="0.25">
      <c r="A1759" s="262">
        <v>34033</v>
      </c>
      <c r="B1759" s="262" t="s">
        <v>1249</v>
      </c>
      <c r="C1759" s="262" t="s">
        <v>1260</v>
      </c>
      <c r="D1759" s="262">
        <v>-75.342768199999995</v>
      </c>
      <c r="E1759" s="262">
        <v>39.593200000000003</v>
      </c>
      <c r="M1759" s="262">
        <v>13.043669120000001</v>
      </c>
      <c r="N1759" s="262">
        <v>13.043669120000001</v>
      </c>
    </row>
    <row r="1760" spans="1:14" x14ac:dyDescent="0.25">
      <c r="A1760" s="262">
        <v>34035</v>
      </c>
      <c r="B1760" s="262" t="s">
        <v>1249</v>
      </c>
      <c r="C1760" s="262" t="s">
        <v>915</v>
      </c>
      <c r="D1760" s="262">
        <v>-74.622390699999997</v>
      </c>
      <c r="E1760" s="262">
        <v>40.567720000000001</v>
      </c>
      <c r="M1760" s="262">
        <v>11.819044910000001</v>
      </c>
      <c r="N1760" s="262">
        <v>11.819044910000001</v>
      </c>
    </row>
    <row r="1761" spans="1:14" x14ac:dyDescent="0.25">
      <c r="A1761" s="262">
        <v>34037</v>
      </c>
      <c r="B1761" s="262" t="s">
        <v>1249</v>
      </c>
      <c r="C1761" s="262" t="s">
        <v>379</v>
      </c>
      <c r="D1761" s="262">
        <v>-74.695246699999998</v>
      </c>
      <c r="E1761" s="262">
        <v>41.140839999999997</v>
      </c>
      <c r="M1761" s="262">
        <v>10.645671119999999</v>
      </c>
      <c r="N1761" s="262">
        <v>10.645671119999999</v>
      </c>
    </row>
    <row r="1762" spans="1:14" x14ac:dyDescent="0.25">
      <c r="A1762" s="262">
        <v>34039</v>
      </c>
      <c r="B1762" s="262" t="s">
        <v>1249</v>
      </c>
      <c r="C1762" s="262" t="s">
        <v>249</v>
      </c>
      <c r="D1762" s="262">
        <v>-74.314978600000003</v>
      </c>
      <c r="E1762" s="262">
        <v>40.667549999999999</v>
      </c>
      <c r="M1762" s="262">
        <v>11.93655607</v>
      </c>
      <c r="N1762" s="262">
        <v>11.93655607</v>
      </c>
    </row>
    <row r="1763" spans="1:14" x14ac:dyDescent="0.25">
      <c r="A1763" s="262">
        <v>34041</v>
      </c>
      <c r="B1763" s="262" t="s">
        <v>1249</v>
      </c>
      <c r="C1763" s="262" t="s">
        <v>533</v>
      </c>
      <c r="D1763" s="262">
        <v>-75.001657600000001</v>
      </c>
      <c r="E1763" s="262">
        <v>40.862430000000003</v>
      </c>
      <c r="M1763" s="262">
        <v>10.83309377</v>
      </c>
      <c r="N1763" s="262">
        <v>10.83309377</v>
      </c>
    </row>
    <row r="1764" spans="1:14" x14ac:dyDescent="0.25">
      <c r="A1764" s="262">
        <v>35001</v>
      </c>
      <c r="B1764" s="262" t="s">
        <v>1261</v>
      </c>
      <c r="C1764" s="262" t="s">
        <v>1262</v>
      </c>
      <c r="D1764" s="262">
        <v>-106.676743</v>
      </c>
      <c r="E1764" s="262">
        <v>35.046909999999997</v>
      </c>
      <c r="M1764" s="262">
        <v>13.1915966</v>
      </c>
      <c r="N1764" s="262">
        <v>13.1915966</v>
      </c>
    </row>
    <row r="1765" spans="1:14" x14ac:dyDescent="0.25">
      <c r="A1765" s="262">
        <v>35003</v>
      </c>
      <c r="B1765" s="262" t="s">
        <v>1261</v>
      </c>
      <c r="C1765" s="262" t="s">
        <v>1263</v>
      </c>
      <c r="D1765" s="262">
        <v>-108.41106600000001</v>
      </c>
      <c r="E1765" s="262">
        <v>33.913640000000001</v>
      </c>
      <c r="M1765" s="262">
        <v>15.447118740000001</v>
      </c>
      <c r="N1765" s="262">
        <v>15.447118740000001</v>
      </c>
    </row>
    <row r="1766" spans="1:14" x14ac:dyDescent="0.25">
      <c r="A1766" s="262">
        <v>35005</v>
      </c>
      <c r="B1766" s="262" t="s">
        <v>1261</v>
      </c>
      <c r="C1766" s="262" t="s">
        <v>1264</v>
      </c>
      <c r="D1766" s="262">
        <v>-104.46531299999999</v>
      </c>
      <c r="E1766" s="262">
        <v>33.358640000000001</v>
      </c>
      <c r="M1766" s="262">
        <v>15.723668419999999</v>
      </c>
      <c r="N1766" s="262">
        <v>15.723668419999999</v>
      </c>
    </row>
    <row r="1767" spans="1:14" x14ac:dyDescent="0.25">
      <c r="A1767" s="262">
        <v>35006</v>
      </c>
      <c r="B1767" s="262" t="s">
        <v>1261</v>
      </c>
      <c r="C1767" s="262" t="s">
        <v>1265</v>
      </c>
      <c r="D1767" s="262">
        <v>-108.003204</v>
      </c>
      <c r="E1767" s="262">
        <v>34.90849</v>
      </c>
      <c r="M1767" s="262">
        <v>14.039503379999999</v>
      </c>
      <c r="N1767" s="262">
        <v>14.039503379999999</v>
      </c>
    </row>
    <row r="1768" spans="1:14" x14ac:dyDescent="0.25">
      <c r="A1768" s="262">
        <v>35007</v>
      </c>
      <c r="B1768" s="262" t="s">
        <v>1261</v>
      </c>
      <c r="C1768" s="262" t="s">
        <v>1196</v>
      </c>
      <c r="D1768" s="262">
        <v>-104.647345</v>
      </c>
      <c r="E1768" s="262">
        <v>36.59554</v>
      </c>
      <c r="M1768" s="262">
        <v>11.64138915</v>
      </c>
      <c r="N1768" s="262">
        <v>11.64138915</v>
      </c>
    </row>
    <row r="1769" spans="1:14" x14ac:dyDescent="0.25">
      <c r="A1769" s="262">
        <v>35009</v>
      </c>
      <c r="B1769" s="262" t="s">
        <v>1261</v>
      </c>
      <c r="C1769" s="262" t="s">
        <v>1266</v>
      </c>
      <c r="D1769" s="262">
        <v>-103.351073</v>
      </c>
      <c r="E1769" s="262">
        <v>34.575330000000001</v>
      </c>
      <c r="M1769" s="262">
        <v>15.354202519999999</v>
      </c>
      <c r="N1769" s="262">
        <v>15.354202519999999</v>
      </c>
    </row>
    <row r="1770" spans="1:14" x14ac:dyDescent="0.25">
      <c r="A1770" s="262">
        <v>35011</v>
      </c>
      <c r="B1770" s="262" t="s">
        <v>1261</v>
      </c>
      <c r="C1770" s="262" t="s">
        <v>1267</v>
      </c>
      <c r="D1770" s="262">
        <v>-104.414751</v>
      </c>
      <c r="E1770" s="262">
        <v>34.342669999999998</v>
      </c>
      <c r="M1770" s="262">
        <v>14.868678770000001</v>
      </c>
      <c r="N1770" s="262">
        <v>14.868678770000001</v>
      </c>
    </row>
    <row r="1771" spans="1:14" x14ac:dyDescent="0.25">
      <c r="A1771" s="262">
        <v>35013</v>
      </c>
      <c r="B1771" s="262" t="s">
        <v>1261</v>
      </c>
      <c r="C1771" s="262" t="s">
        <v>1268</v>
      </c>
      <c r="D1771" s="262">
        <v>-106.84166</v>
      </c>
      <c r="E1771" s="262">
        <v>32.346490000000003</v>
      </c>
      <c r="M1771" s="262">
        <v>16.455202180000001</v>
      </c>
      <c r="N1771" s="262">
        <v>16.455202180000001</v>
      </c>
    </row>
    <row r="1772" spans="1:14" x14ac:dyDescent="0.25">
      <c r="A1772" s="262">
        <v>35015</v>
      </c>
      <c r="B1772" s="262" t="s">
        <v>1261</v>
      </c>
      <c r="C1772" s="262" t="s">
        <v>1269</v>
      </c>
      <c r="D1772" s="262">
        <v>-104.30304</v>
      </c>
      <c r="E1772" s="262">
        <v>32.466859999999997</v>
      </c>
      <c r="M1772" s="262">
        <v>16.409593730000001</v>
      </c>
      <c r="N1772" s="262">
        <v>16.409593730000001</v>
      </c>
    </row>
    <row r="1773" spans="1:14" x14ac:dyDescent="0.25">
      <c r="A1773" s="262">
        <v>35017</v>
      </c>
      <c r="B1773" s="262" t="s">
        <v>1261</v>
      </c>
      <c r="C1773" s="262" t="s">
        <v>218</v>
      </c>
      <c r="D1773" s="262">
        <v>-108.387725</v>
      </c>
      <c r="E1773" s="262">
        <v>32.744700000000002</v>
      </c>
      <c r="M1773" s="262">
        <v>16.595441019999999</v>
      </c>
      <c r="N1773" s="262">
        <v>16.595441019999999</v>
      </c>
    </row>
    <row r="1774" spans="1:14" x14ac:dyDescent="0.25">
      <c r="A1774" s="262">
        <v>35019</v>
      </c>
      <c r="B1774" s="262" t="s">
        <v>1261</v>
      </c>
      <c r="C1774" s="262" t="s">
        <v>1270</v>
      </c>
      <c r="D1774" s="262">
        <v>-104.787088</v>
      </c>
      <c r="E1774" s="262">
        <v>34.859209999999997</v>
      </c>
      <c r="M1774" s="262">
        <v>14.059849789999999</v>
      </c>
      <c r="N1774" s="262">
        <v>14.059849789999999</v>
      </c>
    </row>
    <row r="1775" spans="1:14" x14ac:dyDescent="0.25">
      <c r="A1775" s="262">
        <v>35021</v>
      </c>
      <c r="B1775" s="262" t="s">
        <v>1261</v>
      </c>
      <c r="C1775" s="262" t="s">
        <v>1271</v>
      </c>
      <c r="D1775" s="262">
        <v>-103.814818</v>
      </c>
      <c r="E1775" s="262">
        <v>35.852449999999997</v>
      </c>
      <c r="M1775" s="262">
        <v>13.51519637</v>
      </c>
      <c r="N1775" s="262">
        <v>13.51519637</v>
      </c>
    </row>
    <row r="1776" spans="1:14" x14ac:dyDescent="0.25">
      <c r="A1776" s="262">
        <v>35023</v>
      </c>
      <c r="B1776" s="262" t="s">
        <v>1261</v>
      </c>
      <c r="C1776" s="262" t="s">
        <v>1272</v>
      </c>
      <c r="D1776" s="262">
        <v>-108.72633500000001</v>
      </c>
      <c r="E1776" s="262">
        <v>31.927790000000002</v>
      </c>
      <c r="M1776" s="262">
        <v>17.295317010000002</v>
      </c>
      <c r="N1776" s="262">
        <v>17.295317010000002</v>
      </c>
    </row>
    <row r="1777" spans="1:14" x14ac:dyDescent="0.25">
      <c r="A1777" s="262">
        <v>35025</v>
      </c>
      <c r="B1777" s="262" t="s">
        <v>1261</v>
      </c>
      <c r="C1777" s="262" t="s">
        <v>1273</v>
      </c>
      <c r="D1777" s="262">
        <v>-103.41244399999999</v>
      </c>
      <c r="E1777" s="262">
        <v>32.782800000000002</v>
      </c>
      <c r="M1777" s="262">
        <v>16.383699379999999</v>
      </c>
      <c r="N1777" s="262">
        <v>16.383699379999999</v>
      </c>
    </row>
    <row r="1778" spans="1:14" x14ac:dyDescent="0.25">
      <c r="A1778" s="262">
        <v>35027</v>
      </c>
      <c r="B1778" s="262" t="s">
        <v>1261</v>
      </c>
      <c r="C1778" s="262" t="s">
        <v>226</v>
      </c>
      <c r="D1778" s="262">
        <v>-105.463641</v>
      </c>
      <c r="E1778" s="262">
        <v>33.740180000000002</v>
      </c>
      <c r="M1778" s="262">
        <v>15.047467129999999</v>
      </c>
      <c r="N1778" s="262">
        <v>15.047467129999999</v>
      </c>
    </row>
    <row r="1779" spans="1:14" x14ac:dyDescent="0.25">
      <c r="A1779" s="262">
        <v>35028</v>
      </c>
      <c r="B1779" s="262" t="s">
        <v>1261</v>
      </c>
      <c r="C1779" s="262" t="s">
        <v>1274</v>
      </c>
      <c r="D1779" s="262">
        <v>-106.315252</v>
      </c>
      <c r="E1779" s="262">
        <v>35.85951</v>
      </c>
      <c r="M1779" s="262">
        <v>12.03612073</v>
      </c>
      <c r="N1779" s="262">
        <v>12.03612073</v>
      </c>
    </row>
    <row r="1780" spans="1:14" x14ac:dyDescent="0.25">
      <c r="A1780" s="262">
        <v>35029</v>
      </c>
      <c r="B1780" s="262" t="s">
        <v>1261</v>
      </c>
      <c r="C1780" s="262" t="s">
        <v>1275</v>
      </c>
      <c r="D1780" s="262">
        <v>-107.762235</v>
      </c>
      <c r="E1780" s="262">
        <v>32.181379999999997</v>
      </c>
      <c r="M1780" s="262">
        <v>16.789543609999999</v>
      </c>
      <c r="N1780" s="262">
        <v>16.789543609999999</v>
      </c>
    </row>
    <row r="1781" spans="1:14" x14ac:dyDescent="0.25">
      <c r="A1781" s="262">
        <v>35031</v>
      </c>
      <c r="B1781" s="262" t="s">
        <v>1261</v>
      </c>
      <c r="C1781" s="262" t="s">
        <v>1276</v>
      </c>
      <c r="D1781" s="262">
        <v>-108.267511</v>
      </c>
      <c r="E1781" s="262">
        <v>35.579830000000001</v>
      </c>
      <c r="M1781" s="262">
        <v>13.418211700000001</v>
      </c>
      <c r="N1781" s="262">
        <v>13.418211700000001</v>
      </c>
    </row>
    <row r="1782" spans="1:14" x14ac:dyDescent="0.25">
      <c r="A1782" s="262">
        <v>35033</v>
      </c>
      <c r="B1782" s="262" t="s">
        <v>1261</v>
      </c>
      <c r="C1782" s="262" t="s">
        <v>1277</v>
      </c>
      <c r="D1782" s="262">
        <v>-104.95169</v>
      </c>
      <c r="E1782" s="262">
        <v>36.002580000000002</v>
      </c>
      <c r="M1782" s="262">
        <v>12.31074637</v>
      </c>
      <c r="N1782" s="262">
        <v>12.31074637</v>
      </c>
    </row>
    <row r="1783" spans="1:14" x14ac:dyDescent="0.25">
      <c r="A1783" s="262">
        <v>35035</v>
      </c>
      <c r="B1783" s="262" t="s">
        <v>1261</v>
      </c>
      <c r="C1783" s="262" t="s">
        <v>351</v>
      </c>
      <c r="D1783" s="262">
        <v>-105.74915300000001</v>
      </c>
      <c r="E1783" s="262">
        <v>32.605429999999998</v>
      </c>
      <c r="M1783" s="262">
        <v>16.137846840000002</v>
      </c>
      <c r="N1783" s="262">
        <v>16.137846840000002</v>
      </c>
    </row>
    <row r="1784" spans="1:14" x14ac:dyDescent="0.25">
      <c r="A1784" s="262">
        <v>35037</v>
      </c>
      <c r="B1784" s="262" t="s">
        <v>1261</v>
      </c>
      <c r="C1784" s="262" t="s">
        <v>1278</v>
      </c>
      <c r="D1784" s="262">
        <v>-103.544922</v>
      </c>
      <c r="E1784" s="262">
        <v>35.10172</v>
      </c>
      <c r="M1784" s="262">
        <v>14.791741829999999</v>
      </c>
      <c r="N1784" s="262">
        <v>14.791741829999999</v>
      </c>
    </row>
    <row r="1785" spans="1:14" x14ac:dyDescent="0.25">
      <c r="A1785" s="262">
        <v>35039</v>
      </c>
      <c r="B1785" s="262" t="s">
        <v>1261</v>
      </c>
      <c r="C1785" s="262" t="s">
        <v>1279</v>
      </c>
      <c r="D1785" s="262">
        <v>-106.71129000000001</v>
      </c>
      <c r="E1785" s="262">
        <v>36.500459999999997</v>
      </c>
      <c r="M1785" s="262">
        <v>11.517642199999999</v>
      </c>
      <c r="N1785" s="262">
        <v>11.517642199999999</v>
      </c>
    </row>
    <row r="1786" spans="1:14" x14ac:dyDescent="0.25">
      <c r="A1786" s="262">
        <v>35041</v>
      </c>
      <c r="B1786" s="262" t="s">
        <v>1261</v>
      </c>
      <c r="C1786" s="262" t="s">
        <v>1177</v>
      </c>
      <c r="D1786" s="262">
        <v>-103.480671</v>
      </c>
      <c r="E1786" s="262">
        <v>34.020870000000002</v>
      </c>
      <c r="M1786" s="262">
        <v>15.619150940000001</v>
      </c>
      <c r="N1786" s="262">
        <v>15.619150940000001</v>
      </c>
    </row>
    <row r="1787" spans="1:14" x14ac:dyDescent="0.25">
      <c r="A1787" s="262">
        <v>35043</v>
      </c>
      <c r="B1787" s="262" t="s">
        <v>1261</v>
      </c>
      <c r="C1787" s="262" t="s">
        <v>1280</v>
      </c>
      <c r="D1787" s="262">
        <v>-106.86986</v>
      </c>
      <c r="E1787" s="262">
        <v>35.678879999999999</v>
      </c>
      <c r="M1787" s="262">
        <v>12.4713206</v>
      </c>
      <c r="N1787" s="262">
        <v>12.4713206</v>
      </c>
    </row>
    <row r="1788" spans="1:14" x14ac:dyDescent="0.25">
      <c r="A1788" s="262">
        <v>35045</v>
      </c>
      <c r="B1788" s="262" t="s">
        <v>1261</v>
      </c>
      <c r="C1788" s="262" t="s">
        <v>361</v>
      </c>
      <c r="D1788" s="262">
        <v>-108.32566300000001</v>
      </c>
      <c r="E1788" s="262">
        <v>36.508710000000001</v>
      </c>
      <c r="M1788" s="262">
        <v>12.42768023</v>
      </c>
      <c r="N1788" s="262">
        <v>12.42768023</v>
      </c>
    </row>
    <row r="1789" spans="1:14" x14ac:dyDescent="0.25">
      <c r="A1789" s="262">
        <v>35047</v>
      </c>
      <c r="B1789" s="262" t="s">
        <v>1261</v>
      </c>
      <c r="C1789" s="262" t="s">
        <v>362</v>
      </c>
      <c r="D1789" s="262">
        <v>-104.81256399999999</v>
      </c>
      <c r="E1789" s="262">
        <v>35.47166</v>
      </c>
      <c r="M1789" s="262">
        <v>13.25330488</v>
      </c>
      <c r="N1789" s="262">
        <v>13.25330488</v>
      </c>
    </row>
    <row r="1790" spans="1:14" x14ac:dyDescent="0.25">
      <c r="A1790" s="262">
        <v>35049</v>
      </c>
      <c r="B1790" s="262" t="s">
        <v>1261</v>
      </c>
      <c r="C1790" s="262" t="s">
        <v>1281</v>
      </c>
      <c r="D1790" s="262">
        <v>-105.977299</v>
      </c>
      <c r="E1790" s="262">
        <v>35.498559999999998</v>
      </c>
      <c r="M1790" s="262">
        <v>12.50210259</v>
      </c>
      <c r="N1790" s="262">
        <v>12.50210259</v>
      </c>
    </row>
    <row r="1791" spans="1:14" x14ac:dyDescent="0.25">
      <c r="A1791" s="262">
        <v>35051</v>
      </c>
      <c r="B1791" s="262" t="s">
        <v>1261</v>
      </c>
      <c r="C1791" s="262" t="s">
        <v>298</v>
      </c>
      <c r="D1791" s="262">
        <v>-107.20140600000001</v>
      </c>
      <c r="E1791" s="262">
        <v>33.126710000000003</v>
      </c>
      <c r="M1791" s="262">
        <v>15.79824157</v>
      </c>
      <c r="N1791" s="262">
        <v>15.79824157</v>
      </c>
    </row>
    <row r="1792" spans="1:14" x14ac:dyDescent="0.25">
      <c r="A1792" s="262">
        <v>35053</v>
      </c>
      <c r="B1792" s="262" t="s">
        <v>1261</v>
      </c>
      <c r="C1792" s="262" t="s">
        <v>1282</v>
      </c>
      <c r="D1792" s="262">
        <v>-106.933938</v>
      </c>
      <c r="E1792" s="262">
        <v>34.006219999999999</v>
      </c>
      <c r="M1792" s="262">
        <v>14.70333883</v>
      </c>
      <c r="N1792" s="262">
        <v>14.70333883</v>
      </c>
    </row>
    <row r="1793" spans="1:14" x14ac:dyDescent="0.25">
      <c r="A1793" s="262">
        <v>35055</v>
      </c>
      <c r="B1793" s="262" t="s">
        <v>1261</v>
      </c>
      <c r="C1793" s="262" t="s">
        <v>1283</v>
      </c>
      <c r="D1793" s="262">
        <v>-105.641143</v>
      </c>
      <c r="E1793" s="262">
        <v>36.565600000000003</v>
      </c>
      <c r="M1793" s="262">
        <v>11.12361134</v>
      </c>
      <c r="N1793" s="262">
        <v>11.12361134</v>
      </c>
    </row>
    <row r="1794" spans="1:14" x14ac:dyDescent="0.25">
      <c r="A1794" s="262">
        <v>35057</v>
      </c>
      <c r="B1794" s="262" t="s">
        <v>1261</v>
      </c>
      <c r="C1794" s="262" t="s">
        <v>1284</v>
      </c>
      <c r="D1794" s="262">
        <v>-105.846555</v>
      </c>
      <c r="E1794" s="262">
        <v>34.631259999999997</v>
      </c>
      <c r="M1794" s="262">
        <v>13.800995520000001</v>
      </c>
      <c r="N1794" s="262">
        <v>13.800995520000001</v>
      </c>
    </row>
    <row r="1795" spans="1:14" x14ac:dyDescent="0.25">
      <c r="A1795" s="262">
        <v>35059</v>
      </c>
      <c r="B1795" s="262" t="s">
        <v>1261</v>
      </c>
      <c r="C1795" s="262" t="s">
        <v>249</v>
      </c>
      <c r="D1795" s="262">
        <v>-103.474091</v>
      </c>
      <c r="E1795" s="262">
        <v>36.474899999999998</v>
      </c>
      <c r="M1795" s="262">
        <v>12.831104460000001</v>
      </c>
      <c r="N1795" s="262">
        <v>12.831104460000001</v>
      </c>
    </row>
    <row r="1796" spans="1:14" x14ac:dyDescent="0.25">
      <c r="A1796" s="262">
        <v>35061</v>
      </c>
      <c r="B1796" s="262" t="s">
        <v>1261</v>
      </c>
      <c r="C1796" s="262" t="s">
        <v>1285</v>
      </c>
      <c r="D1796" s="262">
        <v>-106.806082</v>
      </c>
      <c r="E1796" s="262">
        <v>34.710059999999999</v>
      </c>
      <c r="M1796" s="262">
        <v>13.68659104</v>
      </c>
      <c r="N1796" s="262">
        <v>13.68659104</v>
      </c>
    </row>
    <row r="1797" spans="1:14" x14ac:dyDescent="0.25">
      <c r="A1797" s="262">
        <v>36001</v>
      </c>
      <c r="B1797" s="262" t="s">
        <v>1286</v>
      </c>
      <c r="C1797" s="262" t="s">
        <v>1287</v>
      </c>
      <c r="D1797" s="262">
        <v>-73.974518399999994</v>
      </c>
      <c r="E1797" s="262">
        <v>42.603920000000002</v>
      </c>
      <c r="M1797" s="262">
        <v>9.2140341079999999</v>
      </c>
      <c r="N1797" s="262">
        <v>9.2140341079999999</v>
      </c>
    </row>
    <row r="1798" spans="1:14" x14ac:dyDescent="0.25">
      <c r="A1798" s="262">
        <v>36003</v>
      </c>
      <c r="B1798" s="262" t="s">
        <v>1286</v>
      </c>
      <c r="C1798" s="262" t="s">
        <v>919</v>
      </c>
      <c r="D1798" s="262">
        <v>-78.033522899999994</v>
      </c>
      <c r="E1798" s="262">
        <v>42.256039999999999</v>
      </c>
      <c r="M1798" s="262">
        <v>9.5099355550000002</v>
      </c>
      <c r="N1798" s="262">
        <v>9.5099355550000002</v>
      </c>
    </row>
    <row r="1799" spans="1:14" x14ac:dyDescent="0.25">
      <c r="A1799" s="262">
        <v>36005</v>
      </c>
      <c r="B1799" s="262" t="s">
        <v>1286</v>
      </c>
      <c r="C1799" s="262" t="s">
        <v>1288</v>
      </c>
      <c r="D1799" s="262">
        <v>-73.864944600000001</v>
      </c>
      <c r="E1799" s="262">
        <v>40.856180000000002</v>
      </c>
      <c r="M1799" s="262">
        <v>11.88495923</v>
      </c>
      <c r="N1799" s="262">
        <v>11.88495923</v>
      </c>
    </row>
    <row r="1800" spans="1:14" x14ac:dyDescent="0.25">
      <c r="A1800" s="262">
        <v>36007</v>
      </c>
      <c r="B1800" s="262" t="s">
        <v>1286</v>
      </c>
      <c r="C1800" s="262" t="s">
        <v>1289</v>
      </c>
      <c r="D1800" s="262">
        <v>-75.817662799999994</v>
      </c>
      <c r="E1800" s="262">
        <v>42.16337</v>
      </c>
      <c r="M1800" s="262">
        <v>9.6233518559999993</v>
      </c>
      <c r="N1800" s="262">
        <v>9.6233518559999993</v>
      </c>
    </row>
    <row r="1801" spans="1:14" x14ac:dyDescent="0.25">
      <c r="A1801" s="262">
        <v>36009</v>
      </c>
      <c r="B1801" s="262" t="s">
        <v>1286</v>
      </c>
      <c r="C1801" s="262" t="s">
        <v>1290</v>
      </c>
      <c r="D1801" s="262">
        <v>-78.677159500000002</v>
      </c>
      <c r="E1801" s="262">
        <v>42.249670000000002</v>
      </c>
      <c r="M1801" s="262">
        <v>9.5044319900000005</v>
      </c>
      <c r="N1801" s="262">
        <v>9.5044319900000005</v>
      </c>
    </row>
    <row r="1802" spans="1:14" x14ac:dyDescent="0.25">
      <c r="A1802" s="262">
        <v>36011</v>
      </c>
      <c r="B1802" s="262" t="s">
        <v>1286</v>
      </c>
      <c r="C1802" s="262" t="s">
        <v>1291</v>
      </c>
      <c r="D1802" s="262">
        <v>-76.554648700000001</v>
      </c>
      <c r="E1802" s="262">
        <v>42.919379999999997</v>
      </c>
      <c r="M1802" s="262">
        <v>9.2109729290000004</v>
      </c>
      <c r="N1802" s="262">
        <v>9.2109729290000004</v>
      </c>
    </row>
    <row r="1803" spans="1:14" x14ac:dyDescent="0.25">
      <c r="A1803" s="262">
        <v>36013</v>
      </c>
      <c r="B1803" s="262" t="s">
        <v>1286</v>
      </c>
      <c r="C1803" s="262" t="s">
        <v>725</v>
      </c>
      <c r="D1803" s="262">
        <v>-79.364960699999997</v>
      </c>
      <c r="E1803" s="262">
        <v>42.232100000000003</v>
      </c>
      <c r="M1803" s="262">
        <v>9.7734951080000005</v>
      </c>
      <c r="N1803" s="262">
        <v>9.7734951080000005</v>
      </c>
    </row>
    <row r="1804" spans="1:14" x14ac:dyDescent="0.25">
      <c r="A1804" s="262">
        <v>36015</v>
      </c>
      <c r="B1804" s="262" t="s">
        <v>1286</v>
      </c>
      <c r="C1804" s="262" t="s">
        <v>1292</v>
      </c>
      <c r="D1804" s="262">
        <v>-76.763166200000001</v>
      </c>
      <c r="E1804" s="262">
        <v>42.141590000000001</v>
      </c>
      <c r="M1804" s="262">
        <v>9.7551340989999993</v>
      </c>
      <c r="N1804" s="262">
        <v>9.7551340989999993</v>
      </c>
    </row>
    <row r="1805" spans="1:14" x14ac:dyDescent="0.25">
      <c r="A1805" s="262">
        <v>36017</v>
      </c>
      <c r="B1805" s="262" t="s">
        <v>1286</v>
      </c>
      <c r="C1805" s="262" t="s">
        <v>1293</v>
      </c>
      <c r="D1805" s="262">
        <v>-75.609515900000005</v>
      </c>
      <c r="E1805" s="262">
        <v>42.495800000000003</v>
      </c>
      <c r="M1805" s="262">
        <v>9.3984339680000009</v>
      </c>
      <c r="N1805" s="262">
        <v>9.3984339680000009</v>
      </c>
    </row>
    <row r="1806" spans="1:14" x14ac:dyDescent="0.25">
      <c r="A1806" s="262">
        <v>36019</v>
      </c>
      <c r="B1806" s="262" t="s">
        <v>1286</v>
      </c>
      <c r="C1806" s="262" t="s">
        <v>583</v>
      </c>
      <c r="D1806" s="262">
        <v>-73.686383699999993</v>
      </c>
      <c r="E1806" s="262">
        <v>44.74823</v>
      </c>
      <c r="M1806" s="262">
        <v>7.2550839439999999</v>
      </c>
      <c r="N1806" s="262">
        <v>7.2550839439999999</v>
      </c>
    </row>
    <row r="1807" spans="1:14" x14ac:dyDescent="0.25">
      <c r="A1807" s="262">
        <v>36021</v>
      </c>
      <c r="B1807" s="262" t="s">
        <v>1286</v>
      </c>
      <c r="C1807" s="262" t="s">
        <v>207</v>
      </c>
      <c r="D1807" s="262">
        <v>-73.637093899999996</v>
      </c>
      <c r="E1807" s="262">
        <v>42.25262</v>
      </c>
      <c r="M1807" s="262">
        <v>9.7638458900000007</v>
      </c>
      <c r="N1807" s="262">
        <v>9.7638458900000007</v>
      </c>
    </row>
    <row r="1808" spans="1:14" x14ac:dyDescent="0.25">
      <c r="A1808" s="262">
        <v>36023</v>
      </c>
      <c r="B1808" s="262" t="s">
        <v>1286</v>
      </c>
      <c r="C1808" s="262" t="s">
        <v>1294</v>
      </c>
      <c r="D1808" s="262">
        <v>-76.064491000000004</v>
      </c>
      <c r="E1808" s="262">
        <v>42.594749999999998</v>
      </c>
      <c r="M1808" s="262">
        <v>9.3733712899999997</v>
      </c>
      <c r="N1808" s="262">
        <v>9.3733712899999997</v>
      </c>
    </row>
    <row r="1809" spans="1:14" x14ac:dyDescent="0.25">
      <c r="A1809" s="262">
        <v>36025</v>
      </c>
      <c r="B1809" s="262" t="s">
        <v>1286</v>
      </c>
      <c r="C1809" s="262" t="s">
        <v>636</v>
      </c>
      <c r="D1809" s="262">
        <v>-74.970490699999999</v>
      </c>
      <c r="E1809" s="262">
        <v>42.19659</v>
      </c>
      <c r="M1809" s="262">
        <v>9.4865264299999996</v>
      </c>
      <c r="N1809" s="262">
        <v>9.4865264299999996</v>
      </c>
    </row>
    <row r="1810" spans="1:14" x14ac:dyDescent="0.25">
      <c r="A1810" s="262">
        <v>36027</v>
      </c>
      <c r="B1810" s="262" t="s">
        <v>1286</v>
      </c>
      <c r="C1810" s="262" t="s">
        <v>1295</v>
      </c>
      <c r="D1810" s="262">
        <v>-73.751907099999997</v>
      </c>
      <c r="E1810" s="262">
        <v>41.767330000000001</v>
      </c>
      <c r="M1810" s="262">
        <v>10.4289016</v>
      </c>
      <c r="N1810" s="262">
        <v>10.4289016</v>
      </c>
    </row>
    <row r="1811" spans="1:14" x14ac:dyDescent="0.25">
      <c r="A1811" s="262">
        <v>36029</v>
      </c>
      <c r="B1811" s="262" t="s">
        <v>1286</v>
      </c>
      <c r="C1811" s="262" t="s">
        <v>1296</v>
      </c>
      <c r="D1811" s="262">
        <v>-78.734932799999996</v>
      </c>
      <c r="E1811" s="262">
        <v>42.764499999999998</v>
      </c>
      <c r="M1811" s="262">
        <v>9.3474382089999999</v>
      </c>
      <c r="N1811" s="262">
        <v>9.3474382089999999</v>
      </c>
    </row>
    <row r="1812" spans="1:14" x14ac:dyDescent="0.25">
      <c r="A1812" s="262">
        <v>36031</v>
      </c>
      <c r="B1812" s="262" t="s">
        <v>1286</v>
      </c>
      <c r="C1812" s="262" t="s">
        <v>941</v>
      </c>
      <c r="D1812" s="262">
        <v>-73.780353099999999</v>
      </c>
      <c r="E1812" s="262">
        <v>44.116129999999998</v>
      </c>
      <c r="M1812" s="262">
        <v>7.362989464</v>
      </c>
      <c r="N1812" s="262">
        <v>7.362989464</v>
      </c>
    </row>
    <row r="1813" spans="1:14" x14ac:dyDescent="0.25">
      <c r="A1813" s="262">
        <v>36033</v>
      </c>
      <c r="B1813" s="262" t="s">
        <v>1286</v>
      </c>
      <c r="C1813" s="262" t="s">
        <v>142</v>
      </c>
      <c r="D1813" s="262">
        <v>-74.3067274</v>
      </c>
      <c r="E1813" s="262">
        <v>44.591430000000003</v>
      </c>
      <c r="M1813" s="262">
        <v>7.580253785</v>
      </c>
      <c r="N1813" s="262">
        <v>7.580253785</v>
      </c>
    </row>
    <row r="1814" spans="1:14" x14ac:dyDescent="0.25">
      <c r="A1814" s="262">
        <v>36035</v>
      </c>
      <c r="B1814" s="262" t="s">
        <v>1286</v>
      </c>
      <c r="C1814" s="262" t="s">
        <v>216</v>
      </c>
      <c r="D1814" s="262">
        <v>-74.425268700000004</v>
      </c>
      <c r="E1814" s="262">
        <v>43.111579999999996</v>
      </c>
      <c r="M1814" s="262">
        <v>8.6102245600000007</v>
      </c>
      <c r="N1814" s="262">
        <v>8.6102245600000007</v>
      </c>
    </row>
    <row r="1815" spans="1:14" x14ac:dyDescent="0.25">
      <c r="A1815" s="262">
        <v>36037</v>
      </c>
      <c r="B1815" s="262" t="s">
        <v>1286</v>
      </c>
      <c r="C1815" s="262" t="s">
        <v>963</v>
      </c>
      <c r="D1815" s="262">
        <v>-78.198071600000006</v>
      </c>
      <c r="E1815" s="262">
        <v>42.999630000000003</v>
      </c>
      <c r="M1815" s="262">
        <v>9.2141226580000009</v>
      </c>
      <c r="N1815" s="262">
        <v>9.2141226580000009</v>
      </c>
    </row>
    <row r="1816" spans="1:14" x14ac:dyDescent="0.25">
      <c r="A1816" s="262">
        <v>36039</v>
      </c>
      <c r="B1816" s="262" t="s">
        <v>1286</v>
      </c>
      <c r="C1816" s="262" t="s">
        <v>144</v>
      </c>
      <c r="D1816" s="262">
        <v>-74.130998399999996</v>
      </c>
      <c r="E1816" s="262">
        <v>42.27937</v>
      </c>
      <c r="M1816" s="262">
        <v>9.5764430679999997</v>
      </c>
      <c r="N1816" s="262">
        <v>9.5764430679999997</v>
      </c>
    </row>
    <row r="1817" spans="1:14" x14ac:dyDescent="0.25">
      <c r="A1817" s="262">
        <v>36041</v>
      </c>
      <c r="B1817" s="262" t="s">
        <v>1286</v>
      </c>
      <c r="C1817" s="262" t="s">
        <v>400</v>
      </c>
      <c r="D1817" s="262">
        <v>-74.504267799999994</v>
      </c>
      <c r="E1817" s="262">
        <v>43.660080000000001</v>
      </c>
      <c r="M1817" s="262">
        <v>8.1228276279999996</v>
      </c>
      <c r="N1817" s="262">
        <v>8.1228276279999996</v>
      </c>
    </row>
    <row r="1818" spans="1:14" x14ac:dyDescent="0.25">
      <c r="A1818" s="262">
        <v>36043</v>
      </c>
      <c r="B1818" s="262" t="s">
        <v>1286</v>
      </c>
      <c r="C1818" s="262" t="s">
        <v>1297</v>
      </c>
      <c r="D1818" s="262">
        <v>-74.972191300000006</v>
      </c>
      <c r="E1818" s="262">
        <v>43.414119999999997</v>
      </c>
      <c r="M1818" s="262">
        <v>8.5405449369999999</v>
      </c>
      <c r="N1818" s="262">
        <v>8.5405449369999999</v>
      </c>
    </row>
    <row r="1819" spans="1:14" x14ac:dyDescent="0.25">
      <c r="A1819" s="262">
        <v>36045</v>
      </c>
      <c r="B1819" s="262" t="s">
        <v>1286</v>
      </c>
      <c r="C1819" s="262" t="s">
        <v>149</v>
      </c>
      <c r="D1819" s="262">
        <v>-75.916296799999998</v>
      </c>
      <c r="E1819" s="262">
        <v>44.031700000000001</v>
      </c>
      <c r="M1819" s="262">
        <v>8.5247048109999994</v>
      </c>
      <c r="N1819" s="262">
        <v>8.5247048109999994</v>
      </c>
    </row>
    <row r="1820" spans="1:14" x14ac:dyDescent="0.25">
      <c r="A1820" s="262">
        <v>36047</v>
      </c>
      <c r="B1820" s="262" t="s">
        <v>1286</v>
      </c>
      <c r="C1820" s="262" t="s">
        <v>270</v>
      </c>
      <c r="D1820" s="262">
        <v>-73.954654199999993</v>
      </c>
      <c r="E1820" s="262">
        <v>40.64058</v>
      </c>
      <c r="M1820" s="262">
        <v>12.204874609999999</v>
      </c>
      <c r="N1820" s="262">
        <v>12.204874609999999</v>
      </c>
    </row>
    <row r="1821" spans="1:14" x14ac:dyDescent="0.25">
      <c r="A1821" s="262">
        <v>36049</v>
      </c>
      <c r="B1821" s="262" t="s">
        <v>1286</v>
      </c>
      <c r="C1821" s="262" t="s">
        <v>564</v>
      </c>
      <c r="D1821" s="262">
        <v>-75.451911300000006</v>
      </c>
      <c r="E1821" s="262">
        <v>43.78293</v>
      </c>
      <c r="M1821" s="262">
        <v>8.490330986</v>
      </c>
      <c r="N1821" s="262">
        <v>8.490330986</v>
      </c>
    </row>
    <row r="1822" spans="1:14" x14ac:dyDescent="0.25">
      <c r="A1822" s="262">
        <v>36051</v>
      </c>
      <c r="B1822" s="262" t="s">
        <v>1286</v>
      </c>
      <c r="C1822" s="262" t="s">
        <v>603</v>
      </c>
      <c r="D1822" s="262">
        <v>-77.782474300000004</v>
      </c>
      <c r="E1822" s="262">
        <v>42.722470000000001</v>
      </c>
      <c r="M1822" s="262">
        <v>9.3245429029999993</v>
      </c>
      <c r="N1822" s="262">
        <v>9.3245429029999993</v>
      </c>
    </row>
    <row r="1823" spans="1:14" x14ac:dyDescent="0.25">
      <c r="A1823" s="262">
        <v>36053</v>
      </c>
      <c r="B1823" s="262" t="s">
        <v>1286</v>
      </c>
      <c r="C1823" s="262" t="s">
        <v>157</v>
      </c>
      <c r="D1823" s="262">
        <v>-75.673177300000006</v>
      </c>
      <c r="E1823" s="262">
        <v>42.914859999999997</v>
      </c>
      <c r="M1823" s="262">
        <v>9.0942194109999992</v>
      </c>
      <c r="N1823" s="262">
        <v>9.0942194109999992</v>
      </c>
    </row>
    <row r="1824" spans="1:14" x14ac:dyDescent="0.25">
      <c r="A1824" s="262">
        <v>36055</v>
      </c>
      <c r="B1824" s="262" t="s">
        <v>1286</v>
      </c>
      <c r="C1824" s="262" t="s">
        <v>162</v>
      </c>
      <c r="D1824" s="262">
        <v>-77.701888299999993</v>
      </c>
      <c r="E1824" s="262">
        <v>43.143059999999998</v>
      </c>
      <c r="M1824" s="262">
        <v>9.1503848940000001</v>
      </c>
      <c r="N1824" s="262">
        <v>9.1503848940000001</v>
      </c>
    </row>
    <row r="1825" spans="1:14" x14ac:dyDescent="0.25">
      <c r="A1825" s="262">
        <v>36057</v>
      </c>
      <c r="B1825" s="262" t="s">
        <v>1286</v>
      </c>
      <c r="C1825" s="262" t="s">
        <v>163</v>
      </c>
      <c r="D1825" s="262">
        <v>-74.453339799999995</v>
      </c>
      <c r="E1825" s="262">
        <v>42.901580000000003</v>
      </c>
      <c r="M1825" s="262">
        <v>8.8371805620000004</v>
      </c>
      <c r="N1825" s="262">
        <v>8.8371805620000004</v>
      </c>
    </row>
    <row r="1826" spans="1:14" x14ac:dyDescent="0.25">
      <c r="A1826" s="262">
        <v>36059</v>
      </c>
      <c r="B1826" s="262" t="s">
        <v>1286</v>
      </c>
      <c r="C1826" s="262" t="s">
        <v>414</v>
      </c>
      <c r="D1826" s="262">
        <v>-73.583882700000004</v>
      </c>
      <c r="E1826" s="262">
        <v>40.74586</v>
      </c>
      <c r="M1826" s="262">
        <v>12.069711939999999</v>
      </c>
      <c r="N1826" s="262">
        <v>12.069711939999999</v>
      </c>
    </row>
    <row r="1827" spans="1:14" x14ac:dyDescent="0.25">
      <c r="A1827" s="262">
        <v>36061</v>
      </c>
      <c r="B1827" s="262" t="s">
        <v>1286</v>
      </c>
      <c r="C1827" s="262" t="s">
        <v>1298</v>
      </c>
      <c r="D1827" s="262">
        <v>-73.974270899999993</v>
      </c>
      <c r="E1827" s="262">
        <v>40.770220000000002</v>
      </c>
      <c r="M1827" s="262">
        <v>11.978117790000001</v>
      </c>
      <c r="N1827" s="262">
        <v>11.978117790000001</v>
      </c>
    </row>
    <row r="1828" spans="1:14" x14ac:dyDescent="0.25">
      <c r="A1828" s="262">
        <v>36063</v>
      </c>
      <c r="B1828" s="262" t="s">
        <v>1286</v>
      </c>
      <c r="C1828" s="262" t="s">
        <v>1299</v>
      </c>
      <c r="D1828" s="262">
        <v>-78.734668900000003</v>
      </c>
      <c r="E1828" s="262">
        <v>43.198560000000001</v>
      </c>
      <c r="M1828" s="262">
        <v>9.2364440289999994</v>
      </c>
      <c r="N1828" s="262">
        <v>9.2364440289999994</v>
      </c>
    </row>
    <row r="1829" spans="1:14" x14ac:dyDescent="0.25">
      <c r="A1829" s="262">
        <v>36065</v>
      </c>
      <c r="B1829" s="262" t="s">
        <v>1286</v>
      </c>
      <c r="C1829" s="262" t="s">
        <v>567</v>
      </c>
      <c r="D1829" s="262">
        <v>-75.446342599999994</v>
      </c>
      <c r="E1829" s="262">
        <v>43.243609999999997</v>
      </c>
      <c r="M1829" s="262">
        <v>8.8054267639999999</v>
      </c>
      <c r="N1829" s="262">
        <v>8.8054267639999999</v>
      </c>
    </row>
    <row r="1830" spans="1:14" x14ac:dyDescent="0.25">
      <c r="A1830" s="262">
        <v>36067</v>
      </c>
      <c r="B1830" s="262" t="s">
        <v>1286</v>
      </c>
      <c r="C1830" s="262" t="s">
        <v>1300</v>
      </c>
      <c r="D1830" s="262">
        <v>-76.193905099999995</v>
      </c>
      <c r="E1830" s="262">
        <v>43.004660000000001</v>
      </c>
      <c r="M1830" s="262">
        <v>9.1156847439999993</v>
      </c>
      <c r="N1830" s="262">
        <v>9.1156847439999993</v>
      </c>
    </row>
    <row r="1831" spans="1:14" x14ac:dyDescent="0.25">
      <c r="A1831" s="262">
        <v>36069</v>
      </c>
      <c r="B1831" s="262" t="s">
        <v>1286</v>
      </c>
      <c r="C1831" s="262" t="s">
        <v>1301</v>
      </c>
      <c r="D1831" s="262">
        <v>-77.299852400000006</v>
      </c>
      <c r="E1831" s="262">
        <v>42.853859999999997</v>
      </c>
      <c r="M1831" s="262">
        <v>9.2824985610000006</v>
      </c>
      <c r="N1831" s="262">
        <v>9.2824985610000006</v>
      </c>
    </row>
    <row r="1832" spans="1:14" x14ac:dyDescent="0.25">
      <c r="A1832" s="262">
        <v>36071</v>
      </c>
      <c r="B1832" s="262" t="s">
        <v>1286</v>
      </c>
      <c r="C1832" s="262" t="s">
        <v>283</v>
      </c>
      <c r="D1832" s="262">
        <v>-74.311350599999997</v>
      </c>
      <c r="E1832" s="262">
        <v>41.401069999999997</v>
      </c>
      <c r="M1832" s="262">
        <v>10.63137609</v>
      </c>
      <c r="N1832" s="262">
        <v>10.63137609</v>
      </c>
    </row>
    <row r="1833" spans="1:14" x14ac:dyDescent="0.25">
      <c r="A1833" s="262">
        <v>36073</v>
      </c>
      <c r="B1833" s="262" t="s">
        <v>1286</v>
      </c>
      <c r="C1833" s="262" t="s">
        <v>1302</v>
      </c>
      <c r="D1833" s="262">
        <v>-78.234253199999998</v>
      </c>
      <c r="E1833" s="262">
        <v>43.24727</v>
      </c>
      <c r="M1833" s="262">
        <v>9.1473021919999997</v>
      </c>
      <c r="N1833" s="262">
        <v>9.1473021919999997</v>
      </c>
    </row>
    <row r="1834" spans="1:14" x14ac:dyDescent="0.25">
      <c r="A1834" s="262">
        <v>36075</v>
      </c>
      <c r="B1834" s="262" t="s">
        <v>1286</v>
      </c>
      <c r="C1834" s="262" t="s">
        <v>1303</v>
      </c>
      <c r="D1834" s="262">
        <v>-76.1464091</v>
      </c>
      <c r="E1834" s="262">
        <v>43.42839</v>
      </c>
      <c r="M1834" s="262">
        <v>8.8613709459999992</v>
      </c>
      <c r="N1834" s="262">
        <v>8.8613709459999992</v>
      </c>
    </row>
    <row r="1835" spans="1:14" x14ac:dyDescent="0.25">
      <c r="A1835" s="262">
        <v>36077</v>
      </c>
      <c r="B1835" s="262" t="s">
        <v>1286</v>
      </c>
      <c r="C1835" s="262" t="s">
        <v>1000</v>
      </c>
      <c r="D1835" s="262">
        <v>-75.0349875</v>
      </c>
      <c r="E1835" s="262">
        <v>42.633969999999998</v>
      </c>
      <c r="M1835" s="262">
        <v>9.1663463190000005</v>
      </c>
      <c r="N1835" s="262">
        <v>9.1663463190000005</v>
      </c>
    </row>
    <row r="1836" spans="1:14" x14ac:dyDescent="0.25">
      <c r="A1836" s="262">
        <v>36079</v>
      </c>
      <c r="B1836" s="262" t="s">
        <v>1286</v>
      </c>
      <c r="C1836" s="262" t="s">
        <v>421</v>
      </c>
      <c r="D1836" s="262">
        <v>-73.752699899999996</v>
      </c>
      <c r="E1836" s="262">
        <v>41.428849999999997</v>
      </c>
      <c r="M1836" s="262">
        <v>10.950794180000001</v>
      </c>
      <c r="N1836" s="262">
        <v>10.950794180000001</v>
      </c>
    </row>
    <row r="1837" spans="1:14" x14ac:dyDescent="0.25">
      <c r="A1837" s="262">
        <v>36081</v>
      </c>
      <c r="B1837" s="262" t="s">
        <v>1286</v>
      </c>
      <c r="C1837" s="262" t="s">
        <v>1304</v>
      </c>
      <c r="D1837" s="262">
        <v>-73.814712</v>
      </c>
      <c r="E1837" s="262">
        <v>40.683529999999998</v>
      </c>
      <c r="M1837" s="262">
        <v>12.16949951</v>
      </c>
      <c r="N1837" s="262">
        <v>12.16949951</v>
      </c>
    </row>
    <row r="1838" spans="1:14" x14ac:dyDescent="0.25">
      <c r="A1838" s="262">
        <v>36083</v>
      </c>
      <c r="B1838" s="262" t="s">
        <v>1286</v>
      </c>
      <c r="C1838" s="262" t="s">
        <v>1305</v>
      </c>
      <c r="D1838" s="262">
        <v>-73.510421600000001</v>
      </c>
      <c r="E1838" s="262">
        <v>42.711919999999999</v>
      </c>
      <c r="M1838" s="262">
        <v>9.1833037310000005</v>
      </c>
      <c r="N1838" s="262">
        <v>9.1833037310000005</v>
      </c>
    </row>
    <row r="1839" spans="1:14" x14ac:dyDescent="0.25">
      <c r="A1839" s="262">
        <v>36085</v>
      </c>
      <c r="B1839" s="262" t="s">
        <v>1286</v>
      </c>
      <c r="C1839" s="262" t="s">
        <v>511</v>
      </c>
      <c r="D1839" s="262">
        <v>-74.173719899999995</v>
      </c>
      <c r="E1839" s="262">
        <v>40.577939999999998</v>
      </c>
      <c r="M1839" s="262">
        <v>12.239882550000001</v>
      </c>
      <c r="N1839" s="262">
        <v>12.239882550000001</v>
      </c>
    </row>
    <row r="1840" spans="1:14" x14ac:dyDescent="0.25">
      <c r="A1840" s="262">
        <v>36087</v>
      </c>
      <c r="B1840" s="262" t="s">
        <v>1286</v>
      </c>
      <c r="C1840" s="262" t="s">
        <v>1306</v>
      </c>
      <c r="D1840" s="262">
        <v>-74.024964900000001</v>
      </c>
      <c r="E1840" s="262">
        <v>41.152900000000002</v>
      </c>
      <c r="M1840" s="262">
        <v>11.266029489999999</v>
      </c>
      <c r="N1840" s="262">
        <v>11.266029489999999</v>
      </c>
    </row>
    <row r="1841" spans="1:14" x14ac:dyDescent="0.25">
      <c r="A1841" s="262">
        <v>36089</v>
      </c>
      <c r="B1841" s="262" t="s">
        <v>1286</v>
      </c>
      <c r="C1841" s="262" t="s">
        <v>1307</v>
      </c>
      <c r="D1841" s="262">
        <v>-75.070550800000007</v>
      </c>
      <c r="E1841" s="262">
        <v>44.497459999999997</v>
      </c>
      <c r="M1841" s="262">
        <v>8.0846754020000002</v>
      </c>
      <c r="N1841" s="262">
        <v>8.0846754020000002</v>
      </c>
    </row>
    <row r="1842" spans="1:14" x14ac:dyDescent="0.25">
      <c r="A1842" s="262">
        <v>36091</v>
      </c>
      <c r="B1842" s="262" t="s">
        <v>1286</v>
      </c>
      <c r="C1842" s="262" t="s">
        <v>1308</v>
      </c>
      <c r="D1842" s="262">
        <v>-73.866424199999997</v>
      </c>
      <c r="E1842" s="262">
        <v>43.109279999999998</v>
      </c>
      <c r="M1842" s="262">
        <v>8.5857902920000004</v>
      </c>
      <c r="N1842" s="262">
        <v>8.5857902920000004</v>
      </c>
    </row>
    <row r="1843" spans="1:14" x14ac:dyDescent="0.25">
      <c r="A1843" s="262">
        <v>36093</v>
      </c>
      <c r="B1843" s="262" t="s">
        <v>1286</v>
      </c>
      <c r="C1843" s="262" t="s">
        <v>1309</v>
      </c>
      <c r="D1843" s="262">
        <v>-74.065193500000007</v>
      </c>
      <c r="E1843" s="262">
        <v>42.82423</v>
      </c>
      <c r="M1843" s="262">
        <v>8.9291600379999991</v>
      </c>
      <c r="N1843" s="262">
        <v>8.9291600379999991</v>
      </c>
    </row>
    <row r="1844" spans="1:14" x14ac:dyDescent="0.25">
      <c r="A1844" s="262">
        <v>36095</v>
      </c>
      <c r="B1844" s="262" t="s">
        <v>1286</v>
      </c>
      <c r="C1844" s="262" t="s">
        <v>1310</v>
      </c>
      <c r="D1844" s="262">
        <v>-74.442671099999998</v>
      </c>
      <c r="E1844" s="262">
        <v>42.586689999999997</v>
      </c>
      <c r="M1844" s="262">
        <v>9.1714554499999998</v>
      </c>
      <c r="N1844" s="262">
        <v>9.1714554499999998</v>
      </c>
    </row>
    <row r="1845" spans="1:14" x14ac:dyDescent="0.25">
      <c r="A1845" s="262">
        <v>36097</v>
      </c>
      <c r="B1845" s="262" t="s">
        <v>1286</v>
      </c>
      <c r="C1845" s="262" t="s">
        <v>619</v>
      </c>
      <c r="D1845" s="262">
        <v>-76.877253699999997</v>
      </c>
      <c r="E1845" s="262">
        <v>42.395040000000002</v>
      </c>
      <c r="M1845" s="262">
        <v>9.5751108970000001</v>
      </c>
      <c r="N1845" s="262">
        <v>9.5751108970000001</v>
      </c>
    </row>
    <row r="1846" spans="1:14" x14ac:dyDescent="0.25">
      <c r="A1846" s="262">
        <v>36099</v>
      </c>
      <c r="B1846" s="262" t="s">
        <v>1286</v>
      </c>
      <c r="C1846" s="262" t="s">
        <v>1311</v>
      </c>
      <c r="D1846" s="262">
        <v>-76.833185099999994</v>
      </c>
      <c r="E1846" s="262">
        <v>42.773980000000002</v>
      </c>
      <c r="M1846" s="262">
        <v>9.3215501550000006</v>
      </c>
      <c r="N1846" s="262">
        <v>9.3215501550000006</v>
      </c>
    </row>
    <row r="1847" spans="1:14" x14ac:dyDescent="0.25">
      <c r="A1847" s="262">
        <v>36101</v>
      </c>
      <c r="B1847" s="262" t="s">
        <v>1286</v>
      </c>
      <c r="C1847" s="262" t="s">
        <v>661</v>
      </c>
      <c r="D1847" s="262">
        <v>-77.389099400000006</v>
      </c>
      <c r="E1847" s="262">
        <v>42.269300000000001</v>
      </c>
      <c r="M1847" s="262">
        <v>9.645091292</v>
      </c>
      <c r="N1847" s="262">
        <v>9.645091292</v>
      </c>
    </row>
    <row r="1848" spans="1:14" x14ac:dyDescent="0.25">
      <c r="A1848" s="262">
        <v>36103</v>
      </c>
      <c r="B1848" s="262" t="s">
        <v>1286</v>
      </c>
      <c r="C1848" s="262" t="s">
        <v>946</v>
      </c>
      <c r="D1848" s="262">
        <v>-72.846178199999997</v>
      </c>
      <c r="E1848" s="262">
        <v>40.866860000000003</v>
      </c>
      <c r="M1848" s="262">
        <v>11.92379517</v>
      </c>
      <c r="N1848" s="262">
        <v>11.92379517</v>
      </c>
    </row>
    <row r="1849" spans="1:14" x14ac:dyDescent="0.25">
      <c r="A1849" s="262">
        <v>36105</v>
      </c>
      <c r="B1849" s="262" t="s">
        <v>1286</v>
      </c>
      <c r="C1849" s="262" t="s">
        <v>662</v>
      </c>
      <c r="D1849" s="262">
        <v>-74.774178000000006</v>
      </c>
      <c r="E1849" s="262">
        <v>41.713569999999997</v>
      </c>
      <c r="M1849" s="262">
        <v>9.8761607120000008</v>
      </c>
      <c r="N1849" s="262">
        <v>9.8761607120000008</v>
      </c>
    </row>
    <row r="1850" spans="1:14" x14ac:dyDescent="0.25">
      <c r="A1850" s="262">
        <v>36107</v>
      </c>
      <c r="B1850" s="262" t="s">
        <v>1286</v>
      </c>
      <c r="C1850" s="262" t="s">
        <v>1312</v>
      </c>
      <c r="D1850" s="262">
        <v>-76.305684900000003</v>
      </c>
      <c r="E1850" s="262">
        <v>42.173650000000002</v>
      </c>
      <c r="M1850" s="262">
        <v>9.6593641340000005</v>
      </c>
      <c r="N1850" s="262">
        <v>9.6593641340000005</v>
      </c>
    </row>
    <row r="1851" spans="1:14" x14ac:dyDescent="0.25">
      <c r="A1851" s="262">
        <v>36109</v>
      </c>
      <c r="B1851" s="262" t="s">
        <v>1286</v>
      </c>
      <c r="C1851" s="262" t="s">
        <v>1313</v>
      </c>
      <c r="D1851" s="262">
        <v>-76.471458900000002</v>
      </c>
      <c r="E1851" s="262">
        <v>42.457859999999997</v>
      </c>
      <c r="M1851" s="262">
        <v>9.4901399929999997</v>
      </c>
      <c r="N1851" s="262">
        <v>9.4901399929999997</v>
      </c>
    </row>
    <row r="1852" spans="1:14" x14ac:dyDescent="0.25">
      <c r="A1852" s="262">
        <v>36111</v>
      </c>
      <c r="B1852" s="262" t="s">
        <v>1286</v>
      </c>
      <c r="C1852" s="262" t="s">
        <v>1314</v>
      </c>
      <c r="D1852" s="262">
        <v>-74.262550399999995</v>
      </c>
      <c r="E1852" s="262">
        <v>41.89</v>
      </c>
      <c r="M1852" s="262">
        <v>10.002613289999999</v>
      </c>
      <c r="N1852" s="262">
        <v>10.002613289999999</v>
      </c>
    </row>
    <row r="1853" spans="1:14" x14ac:dyDescent="0.25">
      <c r="A1853" s="262">
        <v>36113</v>
      </c>
      <c r="B1853" s="262" t="s">
        <v>1286</v>
      </c>
      <c r="C1853" s="262" t="s">
        <v>533</v>
      </c>
      <c r="D1853" s="262">
        <v>-73.858781899999997</v>
      </c>
      <c r="E1853" s="262">
        <v>43.561799999999998</v>
      </c>
      <c r="M1853" s="262">
        <v>7.994965627</v>
      </c>
      <c r="N1853" s="262">
        <v>7.994965627</v>
      </c>
    </row>
    <row r="1854" spans="1:14" x14ac:dyDescent="0.25">
      <c r="A1854" s="262">
        <v>36115</v>
      </c>
      <c r="B1854" s="262" t="s">
        <v>1286</v>
      </c>
      <c r="C1854" s="262" t="s">
        <v>177</v>
      </c>
      <c r="D1854" s="262">
        <v>-73.442171299999998</v>
      </c>
      <c r="E1854" s="262">
        <v>43.321779999999997</v>
      </c>
      <c r="M1854" s="262">
        <v>8.3953458750000003</v>
      </c>
      <c r="N1854" s="262">
        <v>8.3953458750000003</v>
      </c>
    </row>
    <row r="1855" spans="1:14" x14ac:dyDescent="0.25">
      <c r="A1855" s="262">
        <v>36117</v>
      </c>
      <c r="B1855" s="262" t="s">
        <v>1286</v>
      </c>
      <c r="C1855" s="262" t="s">
        <v>534</v>
      </c>
      <c r="D1855" s="262">
        <v>-77.035188399999996</v>
      </c>
      <c r="E1855" s="262">
        <v>43.159390000000002</v>
      </c>
      <c r="M1855" s="262">
        <v>9.1171545690000002</v>
      </c>
      <c r="N1855" s="262">
        <v>9.1171545690000002</v>
      </c>
    </row>
    <row r="1856" spans="1:14" x14ac:dyDescent="0.25">
      <c r="A1856" s="262">
        <v>36119</v>
      </c>
      <c r="B1856" s="262" t="s">
        <v>1286</v>
      </c>
      <c r="C1856" s="262" t="s">
        <v>1315</v>
      </c>
      <c r="D1856" s="262">
        <v>-73.762509899999998</v>
      </c>
      <c r="E1856" s="262">
        <v>41.163510000000002</v>
      </c>
      <c r="M1856" s="262">
        <v>11.389592049999999</v>
      </c>
      <c r="N1856" s="262">
        <v>11.389592049999999</v>
      </c>
    </row>
    <row r="1857" spans="1:14" x14ac:dyDescent="0.25">
      <c r="A1857" s="262">
        <v>36121</v>
      </c>
      <c r="B1857" s="262" t="s">
        <v>1286</v>
      </c>
      <c r="C1857" s="262" t="s">
        <v>1316</v>
      </c>
      <c r="D1857" s="262">
        <v>-78.232321099999993</v>
      </c>
      <c r="E1857" s="262">
        <v>42.701279999999997</v>
      </c>
      <c r="M1857" s="262">
        <v>9.3078579880000003</v>
      </c>
      <c r="N1857" s="262">
        <v>9.3078579880000003</v>
      </c>
    </row>
    <row r="1858" spans="1:14" x14ac:dyDescent="0.25">
      <c r="A1858" s="262">
        <v>36123</v>
      </c>
      <c r="B1858" s="262" t="s">
        <v>1286</v>
      </c>
      <c r="C1858" s="262" t="s">
        <v>1317</v>
      </c>
      <c r="D1858" s="262">
        <v>-77.119556299999999</v>
      </c>
      <c r="E1858" s="262">
        <v>42.631860000000003</v>
      </c>
      <c r="M1858" s="262">
        <v>9.4210944649999995</v>
      </c>
      <c r="N1858" s="262">
        <v>9.4210944649999995</v>
      </c>
    </row>
    <row r="1859" spans="1:14" x14ac:dyDescent="0.25">
      <c r="A1859" s="262">
        <v>37001</v>
      </c>
      <c r="B1859" s="262" t="s">
        <v>1318</v>
      </c>
      <c r="C1859" s="262" t="s">
        <v>1319</v>
      </c>
      <c r="D1859" s="262">
        <v>-79.399652599999996</v>
      </c>
      <c r="E1859" s="262">
        <v>36.035409999999999</v>
      </c>
      <c r="M1859" s="262">
        <v>15.21779205</v>
      </c>
      <c r="N1859" s="262">
        <v>15.21779205</v>
      </c>
    </row>
    <row r="1860" spans="1:14" x14ac:dyDescent="0.25">
      <c r="A1860" s="262">
        <v>37003</v>
      </c>
      <c r="B1860" s="262" t="s">
        <v>1318</v>
      </c>
      <c r="C1860" s="262" t="s">
        <v>576</v>
      </c>
      <c r="D1860" s="262">
        <v>-81.178388900000002</v>
      </c>
      <c r="E1860" s="262">
        <v>35.934890000000003</v>
      </c>
      <c r="M1860" s="262">
        <v>14.75158656</v>
      </c>
      <c r="N1860" s="262">
        <v>14.75158656</v>
      </c>
    </row>
    <row r="1861" spans="1:14" x14ac:dyDescent="0.25">
      <c r="A1861" s="262">
        <v>37005</v>
      </c>
      <c r="B1861" s="262" t="s">
        <v>1318</v>
      </c>
      <c r="C1861" s="262" t="s">
        <v>1320</v>
      </c>
      <c r="D1861" s="262">
        <v>-81.140630999999999</v>
      </c>
      <c r="E1861" s="262">
        <v>36.495089999999998</v>
      </c>
      <c r="M1861" s="262">
        <v>14.19833233</v>
      </c>
      <c r="N1861" s="262">
        <v>14.19833233</v>
      </c>
    </row>
    <row r="1862" spans="1:14" x14ac:dyDescent="0.25">
      <c r="A1862" s="262">
        <v>37007</v>
      </c>
      <c r="B1862" s="262" t="s">
        <v>1318</v>
      </c>
      <c r="C1862" s="262" t="s">
        <v>1321</v>
      </c>
      <c r="D1862" s="262">
        <v>-80.103578400000004</v>
      </c>
      <c r="E1862" s="262">
        <v>34.977080000000001</v>
      </c>
      <c r="M1862" s="262">
        <v>16.16183234</v>
      </c>
      <c r="N1862" s="262">
        <v>16.16183234</v>
      </c>
    </row>
    <row r="1863" spans="1:14" x14ac:dyDescent="0.25">
      <c r="A1863" s="262">
        <v>37009</v>
      </c>
      <c r="B1863" s="262" t="s">
        <v>1318</v>
      </c>
      <c r="C1863" s="262" t="s">
        <v>1322</v>
      </c>
      <c r="D1863" s="262">
        <v>-81.513875499999997</v>
      </c>
      <c r="E1863" s="262">
        <v>36.438850000000002</v>
      </c>
      <c r="M1863" s="262">
        <v>14.087930200000001</v>
      </c>
      <c r="N1863" s="262">
        <v>14.087930200000001</v>
      </c>
    </row>
    <row r="1864" spans="1:14" x14ac:dyDescent="0.25">
      <c r="A1864" s="262">
        <v>37011</v>
      </c>
      <c r="B1864" s="262" t="s">
        <v>1318</v>
      </c>
      <c r="C1864" s="262" t="s">
        <v>1323</v>
      </c>
      <c r="D1864" s="262">
        <v>-81.928544000000002</v>
      </c>
      <c r="E1864" s="262">
        <v>36.092489999999998</v>
      </c>
      <c r="M1864" s="262">
        <v>14.089293469999999</v>
      </c>
      <c r="N1864" s="262">
        <v>14.089293469999999</v>
      </c>
    </row>
    <row r="1865" spans="1:14" x14ac:dyDescent="0.25">
      <c r="A1865" s="262">
        <v>37013</v>
      </c>
      <c r="B1865" s="262" t="s">
        <v>1318</v>
      </c>
      <c r="C1865" s="262" t="s">
        <v>1324</v>
      </c>
      <c r="D1865" s="262">
        <v>-76.870794399999994</v>
      </c>
      <c r="E1865" s="262">
        <v>35.495950000000001</v>
      </c>
      <c r="M1865" s="262">
        <v>16.240886580000002</v>
      </c>
      <c r="N1865" s="262">
        <v>16.240886580000002</v>
      </c>
    </row>
    <row r="1866" spans="1:14" x14ac:dyDescent="0.25">
      <c r="A1866" s="262">
        <v>37015</v>
      </c>
      <c r="B1866" s="262" t="s">
        <v>1318</v>
      </c>
      <c r="C1866" s="262" t="s">
        <v>1325</v>
      </c>
      <c r="D1866" s="262">
        <v>-76.984652699999998</v>
      </c>
      <c r="E1866" s="262">
        <v>36.066580000000002</v>
      </c>
      <c r="M1866" s="262">
        <v>15.93294077</v>
      </c>
      <c r="N1866" s="262">
        <v>15.93294077</v>
      </c>
    </row>
    <row r="1867" spans="1:14" x14ac:dyDescent="0.25">
      <c r="A1867" s="262">
        <v>37017</v>
      </c>
      <c r="B1867" s="262" t="s">
        <v>1318</v>
      </c>
      <c r="C1867" s="262" t="s">
        <v>1326</v>
      </c>
      <c r="D1867" s="262">
        <v>-78.551755400000005</v>
      </c>
      <c r="E1867" s="262">
        <v>34.613869999999999</v>
      </c>
      <c r="M1867" s="262">
        <v>16.589442779999999</v>
      </c>
      <c r="N1867" s="262">
        <v>16.589442779999999</v>
      </c>
    </row>
    <row r="1868" spans="1:14" x14ac:dyDescent="0.25">
      <c r="A1868" s="262">
        <v>37019</v>
      </c>
      <c r="B1868" s="262" t="s">
        <v>1318</v>
      </c>
      <c r="C1868" s="262" t="s">
        <v>1327</v>
      </c>
      <c r="D1868" s="262">
        <v>-78.242522300000005</v>
      </c>
      <c r="E1868" s="262">
        <v>34.077640000000002</v>
      </c>
      <c r="M1868" s="262">
        <v>16.981379489999998</v>
      </c>
      <c r="N1868" s="262">
        <v>16.981379489999998</v>
      </c>
    </row>
    <row r="1869" spans="1:14" x14ac:dyDescent="0.25">
      <c r="A1869" s="262">
        <v>37021</v>
      </c>
      <c r="B1869" s="262" t="s">
        <v>1318</v>
      </c>
      <c r="C1869" s="262" t="s">
        <v>1328</v>
      </c>
      <c r="D1869" s="262">
        <v>-82.539550300000002</v>
      </c>
      <c r="E1869" s="262">
        <v>35.616190000000003</v>
      </c>
      <c r="M1869" s="262">
        <v>13.890952070000001</v>
      </c>
      <c r="N1869" s="262">
        <v>13.890952070000001</v>
      </c>
    </row>
    <row r="1870" spans="1:14" x14ac:dyDescent="0.25">
      <c r="A1870" s="262">
        <v>37023</v>
      </c>
      <c r="B1870" s="262" t="s">
        <v>1318</v>
      </c>
      <c r="C1870" s="262" t="s">
        <v>446</v>
      </c>
      <c r="D1870" s="262">
        <v>-81.713929399999998</v>
      </c>
      <c r="E1870" s="262">
        <v>35.758409999999998</v>
      </c>
      <c r="M1870" s="262">
        <v>14.57195765</v>
      </c>
      <c r="N1870" s="262">
        <v>14.57195765</v>
      </c>
    </row>
    <row r="1871" spans="1:14" x14ac:dyDescent="0.25">
      <c r="A1871" s="262">
        <v>37025</v>
      </c>
      <c r="B1871" s="262" t="s">
        <v>1318</v>
      </c>
      <c r="C1871" s="262" t="s">
        <v>1329</v>
      </c>
      <c r="D1871" s="262">
        <v>-80.560266799999994</v>
      </c>
      <c r="E1871" s="262">
        <v>35.385959999999997</v>
      </c>
      <c r="M1871" s="262">
        <v>15.682144109999999</v>
      </c>
      <c r="N1871" s="262">
        <v>15.682144109999999</v>
      </c>
    </row>
    <row r="1872" spans="1:14" x14ac:dyDescent="0.25">
      <c r="A1872" s="262">
        <v>37027</v>
      </c>
      <c r="B1872" s="262" t="s">
        <v>1318</v>
      </c>
      <c r="C1872" s="262" t="s">
        <v>797</v>
      </c>
      <c r="D1872" s="262">
        <v>-81.556077500000001</v>
      </c>
      <c r="E1872" s="262">
        <v>35.959319999999998</v>
      </c>
      <c r="M1872" s="262">
        <v>14.501600399999999</v>
      </c>
      <c r="N1872" s="262">
        <v>14.501600399999999</v>
      </c>
    </row>
    <row r="1873" spans="1:14" x14ac:dyDescent="0.25">
      <c r="A1873" s="262">
        <v>37029</v>
      </c>
      <c r="B1873" s="262" t="s">
        <v>1318</v>
      </c>
      <c r="C1873" s="262" t="s">
        <v>448</v>
      </c>
      <c r="D1873" s="262">
        <v>-76.221926400000001</v>
      </c>
      <c r="E1873" s="262">
        <v>36.39575</v>
      </c>
      <c r="M1873" s="262">
        <v>15.884921889999999</v>
      </c>
      <c r="N1873" s="262">
        <v>15.884921889999999</v>
      </c>
    </row>
    <row r="1874" spans="1:14" x14ac:dyDescent="0.25">
      <c r="A1874" s="262">
        <v>37031</v>
      </c>
      <c r="B1874" s="262" t="s">
        <v>1318</v>
      </c>
      <c r="C1874" s="262" t="s">
        <v>1330</v>
      </c>
      <c r="D1874" s="262">
        <v>-76.682861599999995</v>
      </c>
      <c r="E1874" s="262">
        <v>34.839089999999999</v>
      </c>
      <c r="M1874" s="262">
        <v>16.560598590000001</v>
      </c>
      <c r="N1874" s="262">
        <v>16.560598590000001</v>
      </c>
    </row>
    <row r="1875" spans="1:14" x14ac:dyDescent="0.25">
      <c r="A1875" s="262">
        <v>37033</v>
      </c>
      <c r="B1875" s="262" t="s">
        <v>1318</v>
      </c>
      <c r="C1875" s="262" t="s">
        <v>1331</v>
      </c>
      <c r="D1875" s="262">
        <v>-79.322002699999999</v>
      </c>
      <c r="E1875" s="262">
        <v>36.387819999999998</v>
      </c>
      <c r="M1875" s="262">
        <v>14.882834470000001</v>
      </c>
      <c r="N1875" s="262">
        <v>14.882834470000001</v>
      </c>
    </row>
    <row r="1876" spans="1:14" x14ac:dyDescent="0.25">
      <c r="A1876" s="262">
        <v>37035</v>
      </c>
      <c r="B1876" s="262" t="s">
        <v>1318</v>
      </c>
      <c r="C1876" s="262" t="s">
        <v>1332</v>
      </c>
      <c r="D1876" s="262">
        <v>-81.212122199999996</v>
      </c>
      <c r="E1876" s="262">
        <v>35.666449999999998</v>
      </c>
      <c r="M1876" s="262">
        <v>15.04116988</v>
      </c>
      <c r="N1876" s="262">
        <v>15.04116988</v>
      </c>
    </row>
    <row r="1877" spans="1:14" x14ac:dyDescent="0.25">
      <c r="A1877" s="262">
        <v>37037</v>
      </c>
      <c r="B1877" s="262" t="s">
        <v>1318</v>
      </c>
      <c r="C1877" s="262" t="s">
        <v>452</v>
      </c>
      <c r="D1877" s="262">
        <v>-79.241557700000001</v>
      </c>
      <c r="E1877" s="262">
        <v>35.702170000000002</v>
      </c>
      <c r="M1877" s="262">
        <v>15.594870179999999</v>
      </c>
      <c r="N1877" s="262">
        <v>15.594870179999999</v>
      </c>
    </row>
    <row r="1878" spans="1:14" x14ac:dyDescent="0.25">
      <c r="A1878" s="262">
        <v>37039</v>
      </c>
      <c r="B1878" s="262" t="s">
        <v>1318</v>
      </c>
      <c r="C1878" s="262" t="s">
        <v>122</v>
      </c>
      <c r="D1878" s="262">
        <v>-84.064402700000002</v>
      </c>
      <c r="E1878" s="262">
        <v>35.13203</v>
      </c>
      <c r="M1878" s="262">
        <v>13.91767969</v>
      </c>
      <c r="N1878" s="262">
        <v>13.91767969</v>
      </c>
    </row>
    <row r="1879" spans="1:14" x14ac:dyDescent="0.25">
      <c r="A1879" s="262">
        <v>37041</v>
      </c>
      <c r="B1879" s="262" t="s">
        <v>1318</v>
      </c>
      <c r="C1879" s="262" t="s">
        <v>1333</v>
      </c>
      <c r="D1879" s="262">
        <v>-76.598512499999998</v>
      </c>
      <c r="E1879" s="262">
        <v>36.15072</v>
      </c>
      <c r="M1879" s="262">
        <v>15.96132652</v>
      </c>
      <c r="N1879" s="262">
        <v>15.96132652</v>
      </c>
    </row>
    <row r="1880" spans="1:14" x14ac:dyDescent="0.25">
      <c r="A1880" s="262">
        <v>37043</v>
      </c>
      <c r="B1880" s="262" t="s">
        <v>1318</v>
      </c>
      <c r="C1880" s="262" t="s">
        <v>126</v>
      </c>
      <c r="D1880" s="262">
        <v>-83.754150999999993</v>
      </c>
      <c r="E1880" s="262">
        <v>35.055750000000003</v>
      </c>
      <c r="M1880" s="262">
        <v>13.724427629999999</v>
      </c>
      <c r="N1880" s="262">
        <v>13.724427629999999</v>
      </c>
    </row>
    <row r="1881" spans="1:14" x14ac:dyDescent="0.25">
      <c r="A1881" s="262">
        <v>37045</v>
      </c>
      <c r="B1881" s="262" t="s">
        <v>1318</v>
      </c>
      <c r="C1881" s="262" t="s">
        <v>206</v>
      </c>
      <c r="D1881" s="262">
        <v>-81.560664799999998</v>
      </c>
      <c r="E1881" s="262">
        <v>35.342820000000003</v>
      </c>
      <c r="M1881" s="262">
        <v>15.19022625</v>
      </c>
      <c r="N1881" s="262">
        <v>15.19022625</v>
      </c>
    </row>
    <row r="1882" spans="1:14" x14ac:dyDescent="0.25">
      <c r="A1882" s="262">
        <v>37047</v>
      </c>
      <c r="B1882" s="262" t="s">
        <v>1318</v>
      </c>
      <c r="C1882" s="262" t="s">
        <v>1334</v>
      </c>
      <c r="D1882" s="262">
        <v>-78.634542199999999</v>
      </c>
      <c r="E1882" s="262">
        <v>34.265160000000002</v>
      </c>
      <c r="M1882" s="262">
        <v>16.833242859999999</v>
      </c>
      <c r="N1882" s="262">
        <v>16.833242859999999</v>
      </c>
    </row>
    <row r="1883" spans="1:14" x14ac:dyDescent="0.25">
      <c r="A1883" s="262">
        <v>37049</v>
      </c>
      <c r="B1883" s="262" t="s">
        <v>1318</v>
      </c>
      <c r="C1883" s="262" t="s">
        <v>1335</v>
      </c>
      <c r="D1883" s="262">
        <v>-77.098095400000005</v>
      </c>
      <c r="E1883" s="262">
        <v>35.133499999999998</v>
      </c>
      <c r="M1883" s="262">
        <v>16.401763379999998</v>
      </c>
      <c r="N1883" s="262">
        <v>16.401763379999998</v>
      </c>
    </row>
    <row r="1884" spans="1:14" x14ac:dyDescent="0.25">
      <c r="A1884" s="262">
        <v>37051</v>
      </c>
      <c r="B1884" s="262" t="s">
        <v>1318</v>
      </c>
      <c r="C1884" s="262" t="s">
        <v>585</v>
      </c>
      <c r="D1884" s="262">
        <v>-78.830136199999998</v>
      </c>
      <c r="E1884" s="262">
        <v>35.047449999999998</v>
      </c>
      <c r="M1884" s="262">
        <v>16.224976510000001</v>
      </c>
      <c r="N1884" s="262">
        <v>16.224976510000001</v>
      </c>
    </row>
    <row r="1885" spans="1:14" x14ac:dyDescent="0.25">
      <c r="A1885" s="262">
        <v>37053</v>
      </c>
      <c r="B1885" s="262" t="s">
        <v>1318</v>
      </c>
      <c r="C1885" s="262" t="s">
        <v>1336</v>
      </c>
      <c r="D1885" s="262">
        <v>-75.946551499999998</v>
      </c>
      <c r="E1885" s="262">
        <v>36.523040000000002</v>
      </c>
      <c r="M1885" s="262">
        <v>15.90537028</v>
      </c>
      <c r="N1885" s="262">
        <v>15.90537028</v>
      </c>
    </row>
    <row r="1886" spans="1:14" x14ac:dyDescent="0.25">
      <c r="A1886" s="262">
        <v>37055</v>
      </c>
      <c r="B1886" s="262" t="s">
        <v>1318</v>
      </c>
      <c r="C1886" s="262" t="s">
        <v>1337</v>
      </c>
      <c r="D1886" s="262">
        <v>-75.851073600000007</v>
      </c>
      <c r="E1886" s="262">
        <v>35.763289999999998</v>
      </c>
      <c r="M1886" s="262">
        <v>16.1260519</v>
      </c>
      <c r="N1886" s="262">
        <v>16.1260519</v>
      </c>
    </row>
    <row r="1887" spans="1:14" x14ac:dyDescent="0.25">
      <c r="A1887" s="262">
        <v>37057</v>
      </c>
      <c r="B1887" s="262" t="s">
        <v>1318</v>
      </c>
      <c r="C1887" s="262" t="s">
        <v>1338</v>
      </c>
      <c r="D1887" s="262">
        <v>-80.206302600000001</v>
      </c>
      <c r="E1887" s="262">
        <v>35.791319999999999</v>
      </c>
      <c r="M1887" s="262">
        <v>15.286442340000001</v>
      </c>
      <c r="N1887" s="262">
        <v>15.286442340000001</v>
      </c>
    </row>
    <row r="1888" spans="1:14" x14ac:dyDescent="0.25">
      <c r="A1888" s="262">
        <v>37059</v>
      </c>
      <c r="B1888" s="262" t="s">
        <v>1318</v>
      </c>
      <c r="C1888" s="262" t="s">
        <v>1339</v>
      </c>
      <c r="D1888" s="262">
        <v>-80.539270700000003</v>
      </c>
      <c r="E1888" s="262">
        <v>35.929139999999997</v>
      </c>
      <c r="M1888" s="262">
        <v>15.034280989999999</v>
      </c>
      <c r="N1888" s="262">
        <v>15.034280989999999</v>
      </c>
    </row>
    <row r="1889" spans="1:14" x14ac:dyDescent="0.25">
      <c r="A1889" s="262">
        <v>37061</v>
      </c>
      <c r="B1889" s="262" t="s">
        <v>1318</v>
      </c>
      <c r="C1889" s="262" t="s">
        <v>1340</v>
      </c>
      <c r="D1889" s="262">
        <v>-77.925127900000007</v>
      </c>
      <c r="E1889" s="262">
        <v>34.939790000000002</v>
      </c>
      <c r="M1889" s="262">
        <v>16.430907609999998</v>
      </c>
      <c r="N1889" s="262">
        <v>16.430907609999998</v>
      </c>
    </row>
    <row r="1890" spans="1:14" x14ac:dyDescent="0.25">
      <c r="A1890" s="262">
        <v>37063</v>
      </c>
      <c r="B1890" s="262" t="s">
        <v>1318</v>
      </c>
      <c r="C1890" s="262" t="s">
        <v>1341</v>
      </c>
      <c r="D1890" s="262">
        <v>-78.882895099999999</v>
      </c>
      <c r="E1890" s="262">
        <v>36.029850000000003</v>
      </c>
      <c r="M1890" s="262">
        <v>15.393835640000001</v>
      </c>
      <c r="N1890" s="262">
        <v>15.393835640000001</v>
      </c>
    </row>
    <row r="1891" spans="1:14" x14ac:dyDescent="0.25">
      <c r="A1891" s="262">
        <v>37065</v>
      </c>
      <c r="B1891" s="262" t="s">
        <v>1318</v>
      </c>
      <c r="C1891" s="262" t="s">
        <v>1342</v>
      </c>
      <c r="D1891" s="262">
        <v>-77.599542700000001</v>
      </c>
      <c r="E1891" s="262">
        <v>35.908589999999997</v>
      </c>
      <c r="M1891" s="262">
        <v>15.8730551</v>
      </c>
      <c r="N1891" s="262">
        <v>15.8730551</v>
      </c>
    </row>
    <row r="1892" spans="1:14" x14ac:dyDescent="0.25">
      <c r="A1892" s="262">
        <v>37067</v>
      </c>
      <c r="B1892" s="262" t="s">
        <v>1318</v>
      </c>
      <c r="C1892" s="262" t="s">
        <v>475</v>
      </c>
      <c r="D1892" s="262">
        <v>-80.256786000000005</v>
      </c>
      <c r="E1892" s="262">
        <v>36.126579999999997</v>
      </c>
      <c r="M1892" s="262">
        <v>14.90367758</v>
      </c>
      <c r="N1892" s="262">
        <v>14.90367758</v>
      </c>
    </row>
    <row r="1893" spans="1:14" x14ac:dyDescent="0.25">
      <c r="A1893" s="262">
        <v>37069</v>
      </c>
      <c r="B1893" s="262" t="s">
        <v>1318</v>
      </c>
      <c r="C1893" s="262" t="s">
        <v>142</v>
      </c>
      <c r="D1893" s="262">
        <v>-78.278445099999999</v>
      </c>
      <c r="E1893" s="262">
        <v>36.076320000000003</v>
      </c>
      <c r="M1893" s="262">
        <v>15.543113809999999</v>
      </c>
      <c r="N1893" s="262">
        <v>15.543113809999999</v>
      </c>
    </row>
    <row r="1894" spans="1:14" x14ac:dyDescent="0.25">
      <c r="A1894" s="262">
        <v>37071</v>
      </c>
      <c r="B1894" s="262" t="s">
        <v>1318</v>
      </c>
      <c r="C1894" s="262" t="s">
        <v>1343</v>
      </c>
      <c r="D1894" s="262">
        <v>-81.178578400000006</v>
      </c>
      <c r="E1894" s="262">
        <v>35.30518</v>
      </c>
      <c r="M1894" s="262">
        <v>15.47890874</v>
      </c>
      <c r="N1894" s="262">
        <v>15.47890874</v>
      </c>
    </row>
    <row r="1895" spans="1:14" x14ac:dyDescent="0.25">
      <c r="A1895" s="262">
        <v>37073</v>
      </c>
      <c r="B1895" s="262" t="s">
        <v>1318</v>
      </c>
      <c r="C1895" s="262" t="s">
        <v>1344</v>
      </c>
      <c r="D1895" s="262">
        <v>-76.697597000000002</v>
      </c>
      <c r="E1895" s="262">
        <v>36.444510000000001</v>
      </c>
      <c r="M1895" s="262">
        <v>15.80409128</v>
      </c>
      <c r="N1895" s="262">
        <v>15.80409128</v>
      </c>
    </row>
    <row r="1896" spans="1:14" x14ac:dyDescent="0.25">
      <c r="A1896" s="262">
        <v>37075</v>
      </c>
      <c r="B1896" s="262" t="s">
        <v>1318</v>
      </c>
      <c r="C1896" s="262" t="s">
        <v>185</v>
      </c>
      <c r="D1896" s="262">
        <v>-83.836937899999995</v>
      </c>
      <c r="E1896" s="262">
        <v>35.350140000000003</v>
      </c>
      <c r="M1896" s="262">
        <v>13.157116419999999</v>
      </c>
      <c r="N1896" s="262">
        <v>13.157116419999999</v>
      </c>
    </row>
    <row r="1897" spans="1:14" x14ac:dyDescent="0.25">
      <c r="A1897" s="262">
        <v>37077</v>
      </c>
      <c r="B1897" s="262" t="s">
        <v>1318</v>
      </c>
      <c r="C1897" s="262" t="s">
        <v>1345</v>
      </c>
      <c r="D1897" s="262">
        <v>-78.649088800000001</v>
      </c>
      <c r="E1897" s="262">
        <v>36.29759</v>
      </c>
      <c r="M1897" s="262">
        <v>15.223905670000001</v>
      </c>
      <c r="N1897" s="262">
        <v>15.223905670000001</v>
      </c>
    </row>
    <row r="1898" spans="1:14" x14ac:dyDescent="0.25">
      <c r="A1898" s="262">
        <v>37079</v>
      </c>
      <c r="B1898" s="262" t="s">
        <v>1318</v>
      </c>
      <c r="C1898" s="262" t="s">
        <v>144</v>
      </c>
      <c r="D1898" s="262">
        <v>-77.681517299999996</v>
      </c>
      <c r="E1898" s="262">
        <v>35.484000000000002</v>
      </c>
      <c r="M1898" s="262">
        <v>16.123443259999998</v>
      </c>
      <c r="N1898" s="262">
        <v>16.123443259999998</v>
      </c>
    </row>
    <row r="1899" spans="1:14" x14ac:dyDescent="0.25">
      <c r="A1899" s="262">
        <v>37081</v>
      </c>
      <c r="B1899" s="262" t="s">
        <v>1318</v>
      </c>
      <c r="C1899" s="262" t="s">
        <v>1346</v>
      </c>
      <c r="D1899" s="262">
        <v>-79.786894099999998</v>
      </c>
      <c r="E1899" s="262">
        <v>36.071100000000001</v>
      </c>
      <c r="M1899" s="262">
        <v>15.078590609999999</v>
      </c>
      <c r="N1899" s="262">
        <v>15.078590609999999</v>
      </c>
    </row>
    <row r="1900" spans="1:14" x14ac:dyDescent="0.25">
      <c r="A1900" s="262">
        <v>37083</v>
      </c>
      <c r="B1900" s="262" t="s">
        <v>1318</v>
      </c>
      <c r="C1900" s="262" t="s">
        <v>1347</v>
      </c>
      <c r="D1900" s="262">
        <v>-77.643248499999999</v>
      </c>
      <c r="E1900" s="262">
        <v>36.252029999999998</v>
      </c>
      <c r="M1900" s="262">
        <v>15.62927945</v>
      </c>
      <c r="N1900" s="262">
        <v>15.62927945</v>
      </c>
    </row>
    <row r="1901" spans="1:14" x14ac:dyDescent="0.25">
      <c r="A1901" s="262">
        <v>37085</v>
      </c>
      <c r="B1901" s="262" t="s">
        <v>1318</v>
      </c>
      <c r="C1901" s="262" t="s">
        <v>1348</v>
      </c>
      <c r="D1901" s="262">
        <v>-78.865382699999998</v>
      </c>
      <c r="E1901" s="262">
        <v>35.368870000000001</v>
      </c>
      <c r="M1901" s="262">
        <v>15.9651364</v>
      </c>
      <c r="N1901" s="262">
        <v>15.9651364</v>
      </c>
    </row>
    <row r="1902" spans="1:14" x14ac:dyDescent="0.25">
      <c r="A1902" s="262">
        <v>37087</v>
      </c>
      <c r="B1902" s="262" t="s">
        <v>1318</v>
      </c>
      <c r="C1902" s="262" t="s">
        <v>1349</v>
      </c>
      <c r="D1902" s="262">
        <v>-82.984154399999994</v>
      </c>
      <c r="E1902" s="262">
        <v>35.560600000000001</v>
      </c>
      <c r="M1902" s="262">
        <v>13.35917525</v>
      </c>
      <c r="N1902" s="262">
        <v>13.35917525</v>
      </c>
    </row>
    <row r="1903" spans="1:14" x14ac:dyDescent="0.25">
      <c r="A1903" s="262">
        <v>37089</v>
      </c>
      <c r="B1903" s="262" t="s">
        <v>1318</v>
      </c>
      <c r="C1903" s="262" t="s">
        <v>594</v>
      </c>
      <c r="D1903" s="262">
        <v>-82.487628200000003</v>
      </c>
      <c r="E1903" s="262">
        <v>35.338099999999997</v>
      </c>
      <c r="M1903" s="262">
        <v>14.27730008</v>
      </c>
      <c r="N1903" s="262">
        <v>14.27730008</v>
      </c>
    </row>
    <row r="1904" spans="1:14" x14ac:dyDescent="0.25">
      <c r="A1904" s="262">
        <v>37091</v>
      </c>
      <c r="B1904" s="262" t="s">
        <v>1318</v>
      </c>
      <c r="C1904" s="262" t="s">
        <v>1350</v>
      </c>
      <c r="D1904" s="262">
        <v>-76.990346200000005</v>
      </c>
      <c r="E1904" s="262">
        <v>36.357419999999998</v>
      </c>
      <c r="M1904" s="262">
        <v>15.77240626</v>
      </c>
      <c r="N1904" s="262">
        <v>15.77240626</v>
      </c>
    </row>
    <row r="1905" spans="1:14" x14ac:dyDescent="0.25">
      <c r="A1905" s="262">
        <v>37093</v>
      </c>
      <c r="B1905" s="262" t="s">
        <v>1318</v>
      </c>
      <c r="C1905" s="262" t="s">
        <v>1351</v>
      </c>
      <c r="D1905" s="262">
        <v>-79.237768000000003</v>
      </c>
      <c r="E1905" s="262">
        <v>34.983620000000002</v>
      </c>
      <c r="M1905" s="262">
        <v>16.230510370000001</v>
      </c>
      <c r="N1905" s="262">
        <v>16.230510370000001</v>
      </c>
    </row>
    <row r="1906" spans="1:14" x14ac:dyDescent="0.25">
      <c r="A1906" s="262">
        <v>37095</v>
      </c>
      <c r="B1906" s="262" t="s">
        <v>1318</v>
      </c>
      <c r="C1906" s="262" t="s">
        <v>1352</v>
      </c>
      <c r="D1906" s="262">
        <v>-76.245710799999998</v>
      </c>
      <c r="E1906" s="262">
        <v>35.535319999999999</v>
      </c>
      <c r="M1906" s="262">
        <v>16.24505387</v>
      </c>
      <c r="N1906" s="262">
        <v>16.24505387</v>
      </c>
    </row>
    <row r="1907" spans="1:14" x14ac:dyDescent="0.25">
      <c r="A1907" s="262">
        <v>37097</v>
      </c>
      <c r="B1907" s="262" t="s">
        <v>1318</v>
      </c>
      <c r="C1907" s="262" t="s">
        <v>1353</v>
      </c>
      <c r="D1907" s="262">
        <v>-80.872321400000004</v>
      </c>
      <c r="E1907" s="262">
        <v>35.806919999999998</v>
      </c>
      <c r="M1907" s="262">
        <v>15.07589785</v>
      </c>
      <c r="N1907" s="262">
        <v>15.07589785</v>
      </c>
    </row>
    <row r="1908" spans="1:14" x14ac:dyDescent="0.25">
      <c r="A1908" s="262">
        <v>37099</v>
      </c>
      <c r="B1908" s="262" t="s">
        <v>1318</v>
      </c>
      <c r="C1908" s="262" t="s">
        <v>148</v>
      </c>
      <c r="D1908" s="262">
        <v>-83.139928400000002</v>
      </c>
      <c r="E1908" s="262">
        <v>35.283560000000001</v>
      </c>
      <c r="M1908" s="262">
        <v>13.488789069999999</v>
      </c>
      <c r="N1908" s="262">
        <v>13.488789069999999</v>
      </c>
    </row>
    <row r="1909" spans="1:14" x14ac:dyDescent="0.25">
      <c r="A1909" s="262">
        <v>37101</v>
      </c>
      <c r="B1909" s="262" t="s">
        <v>1318</v>
      </c>
      <c r="C1909" s="262" t="s">
        <v>1354</v>
      </c>
      <c r="D1909" s="262">
        <v>-78.3681859</v>
      </c>
      <c r="E1909" s="262">
        <v>35.5152</v>
      </c>
      <c r="M1909" s="262">
        <v>15.942309420000001</v>
      </c>
      <c r="N1909" s="262">
        <v>15.942309420000001</v>
      </c>
    </row>
    <row r="1910" spans="1:14" x14ac:dyDescent="0.25">
      <c r="A1910" s="262">
        <v>37103</v>
      </c>
      <c r="B1910" s="262" t="s">
        <v>1318</v>
      </c>
      <c r="C1910" s="262" t="s">
        <v>493</v>
      </c>
      <c r="D1910" s="262">
        <v>-77.374866999999995</v>
      </c>
      <c r="E1910" s="262">
        <v>35.032449999999997</v>
      </c>
      <c r="M1910" s="262">
        <v>16.43117487</v>
      </c>
      <c r="N1910" s="262">
        <v>16.43117487</v>
      </c>
    </row>
    <row r="1911" spans="1:14" x14ac:dyDescent="0.25">
      <c r="A1911" s="262">
        <v>37105</v>
      </c>
      <c r="B1911" s="262" t="s">
        <v>1318</v>
      </c>
      <c r="C1911" s="262" t="s">
        <v>153</v>
      </c>
      <c r="D1911" s="262">
        <v>-79.1779461</v>
      </c>
      <c r="E1911" s="262">
        <v>35.469099999999997</v>
      </c>
      <c r="M1911" s="262">
        <v>15.8198747</v>
      </c>
      <c r="N1911" s="262">
        <v>15.8198747</v>
      </c>
    </row>
    <row r="1912" spans="1:14" x14ac:dyDescent="0.25">
      <c r="A1912" s="262">
        <v>37107</v>
      </c>
      <c r="B1912" s="262" t="s">
        <v>1318</v>
      </c>
      <c r="C1912" s="262" t="s">
        <v>1355</v>
      </c>
      <c r="D1912" s="262">
        <v>-77.646573599999996</v>
      </c>
      <c r="E1912" s="262">
        <v>35.256570000000004</v>
      </c>
      <c r="M1912" s="262">
        <v>16.27397448</v>
      </c>
      <c r="N1912" s="262">
        <v>16.27397448</v>
      </c>
    </row>
    <row r="1913" spans="1:14" x14ac:dyDescent="0.25">
      <c r="A1913" s="262">
        <v>37109</v>
      </c>
      <c r="B1913" s="262" t="s">
        <v>1318</v>
      </c>
      <c r="C1913" s="262" t="s">
        <v>226</v>
      </c>
      <c r="D1913" s="262">
        <v>-81.245675599999998</v>
      </c>
      <c r="E1913" s="262">
        <v>35.494230000000002</v>
      </c>
      <c r="M1913" s="262">
        <v>15.19548339</v>
      </c>
      <c r="N1913" s="262">
        <v>15.19548339</v>
      </c>
    </row>
    <row r="1914" spans="1:14" x14ac:dyDescent="0.25">
      <c r="A1914" s="262">
        <v>37111</v>
      </c>
      <c r="B1914" s="262" t="s">
        <v>1318</v>
      </c>
      <c r="C1914" s="262" t="s">
        <v>1356</v>
      </c>
      <c r="D1914" s="262">
        <v>-82.059548699999993</v>
      </c>
      <c r="E1914" s="262">
        <v>35.682780000000001</v>
      </c>
      <c r="M1914" s="262">
        <v>14.3544094</v>
      </c>
      <c r="N1914" s="262">
        <v>14.3544094</v>
      </c>
    </row>
    <row r="1915" spans="1:14" x14ac:dyDescent="0.25">
      <c r="A1915" s="262">
        <v>37113</v>
      </c>
      <c r="B1915" s="262" t="s">
        <v>1318</v>
      </c>
      <c r="C1915" s="262" t="s">
        <v>156</v>
      </c>
      <c r="D1915" s="262">
        <v>-83.421374</v>
      </c>
      <c r="E1915" s="262">
        <v>35.151299999999999</v>
      </c>
      <c r="M1915" s="262">
        <v>13.470922290000001</v>
      </c>
      <c r="N1915" s="262">
        <v>13.470922290000001</v>
      </c>
    </row>
    <row r="1916" spans="1:14" x14ac:dyDescent="0.25">
      <c r="A1916" s="262">
        <v>37115</v>
      </c>
      <c r="B1916" s="262" t="s">
        <v>1318</v>
      </c>
      <c r="C1916" s="262" t="s">
        <v>157</v>
      </c>
      <c r="D1916" s="262">
        <v>-82.710672400000007</v>
      </c>
      <c r="E1916" s="262">
        <v>35.860709999999997</v>
      </c>
      <c r="M1916" s="262">
        <v>13.47532414</v>
      </c>
      <c r="N1916" s="262">
        <v>13.47532414</v>
      </c>
    </row>
    <row r="1917" spans="1:14" x14ac:dyDescent="0.25">
      <c r="A1917" s="262">
        <v>37117</v>
      </c>
      <c r="B1917" s="262" t="s">
        <v>1318</v>
      </c>
      <c r="C1917" s="262" t="s">
        <v>412</v>
      </c>
      <c r="D1917" s="262">
        <v>-77.1019316</v>
      </c>
      <c r="E1917" s="262">
        <v>35.839700000000001</v>
      </c>
      <c r="M1917" s="262">
        <v>16.028233159999999</v>
      </c>
      <c r="N1917" s="262">
        <v>16.028233159999999</v>
      </c>
    </row>
    <row r="1918" spans="1:14" x14ac:dyDescent="0.25">
      <c r="A1918" s="262">
        <v>37119</v>
      </c>
      <c r="B1918" s="262" t="s">
        <v>1318</v>
      </c>
      <c r="C1918" s="262" t="s">
        <v>1357</v>
      </c>
      <c r="D1918" s="262">
        <v>-80.837142</v>
      </c>
      <c r="E1918" s="262">
        <v>35.251989999999999</v>
      </c>
      <c r="M1918" s="262">
        <v>15.72905836</v>
      </c>
      <c r="N1918" s="262">
        <v>15.72905836</v>
      </c>
    </row>
    <row r="1919" spans="1:14" x14ac:dyDescent="0.25">
      <c r="A1919" s="262">
        <v>37121</v>
      </c>
      <c r="B1919" s="262" t="s">
        <v>1318</v>
      </c>
      <c r="C1919" s="262" t="s">
        <v>501</v>
      </c>
      <c r="D1919" s="262">
        <v>-82.1652019</v>
      </c>
      <c r="E1919" s="262">
        <v>36.009950000000003</v>
      </c>
      <c r="M1919" s="262">
        <v>13.945502019999999</v>
      </c>
      <c r="N1919" s="262">
        <v>13.945502019999999</v>
      </c>
    </row>
    <row r="1920" spans="1:14" x14ac:dyDescent="0.25">
      <c r="A1920" s="262">
        <v>37123</v>
      </c>
      <c r="B1920" s="262" t="s">
        <v>1318</v>
      </c>
      <c r="C1920" s="262" t="s">
        <v>163</v>
      </c>
      <c r="D1920" s="262">
        <v>-79.896383299999997</v>
      </c>
      <c r="E1920" s="262">
        <v>35.338769999999997</v>
      </c>
      <c r="M1920" s="262">
        <v>15.83674268</v>
      </c>
      <c r="N1920" s="262">
        <v>15.83674268</v>
      </c>
    </row>
    <row r="1921" spans="1:14" x14ac:dyDescent="0.25">
      <c r="A1921" s="262">
        <v>37125</v>
      </c>
      <c r="B1921" s="262" t="s">
        <v>1318</v>
      </c>
      <c r="C1921" s="262" t="s">
        <v>1358</v>
      </c>
      <c r="D1921" s="262">
        <v>-79.449601099999995</v>
      </c>
      <c r="E1921" s="262">
        <v>35.297350000000002</v>
      </c>
      <c r="M1921" s="262">
        <v>15.92056887</v>
      </c>
      <c r="N1921" s="262">
        <v>15.92056887</v>
      </c>
    </row>
    <row r="1922" spans="1:14" x14ac:dyDescent="0.25">
      <c r="A1922" s="262">
        <v>37127</v>
      </c>
      <c r="B1922" s="262" t="s">
        <v>1318</v>
      </c>
      <c r="C1922" s="262" t="s">
        <v>1359</v>
      </c>
      <c r="D1922" s="262">
        <v>-77.982069800000005</v>
      </c>
      <c r="E1922" s="262">
        <v>35.959269999999997</v>
      </c>
      <c r="M1922" s="262">
        <v>15.725567679999999</v>
      </c>
      <c r="N1922" s="262">
        <v>15.725567679999999</v>
      </c>
    </row>
    <row r="1923" spans="1:14" x14ac:dyDescent="0.25">
      <c r="A1923" s="262">
        <v>37129</v>
      </c>
      <c r="B1923" s="262" t="s">
        <v>1318</v>
      </c>
      <c r="C1923" s="262" t="s">
        <v>1360</v>
      </c>
      <c r="D1923" s="262">
        <v>-77.885286100000002</v>
      </c>
      <c r="E1923" s="262">
        <v>34.242820000000002</v>
      </c>
      <c r="M1923" s="262">
        <v>16.87491077</v>
      </c>
      <c r="N1923" s="262">
        <v>16.87491077</v>
      </c>
    </row>
    <row r="1924" spans="1:14" x14ac:dyDescent="0.25">
      <c r="A1924" s="262">
        <v>37131</v>
      </c>
      <c r="B1924" s="262" t="s">
        <v>1318</v>
      </c>
      <c r="C1924" s="262" t="s">
        <v>1361</v>
      </c>
      <c r="D1924" s="262">
        <v>-77.397993</v>
      </c>
      <c r="E1924" s="262">
        <v>36.417439999999999</v>
      </c>
      <c r="M1924" s="262">
        <v>15.6139992</v>
      </c>
      <c r="N1924" s="262">
        <v>15.6139992</v>
      </c>
    </row>
    <row r="1925" spans="1:14" x14ac:dyDescent="0.25">
      <c r="A1925" s="262">
        <v>37133</v>
      </c>
      <c r="B1925" s="262" t="s">
        <v>1318</v>
      </c>
      <c r="C1925" s="262" t="s">
        <v>1362</v>
      </c>
      <c r="D1925" s="262">
        <v>-77.433447400000006</v>
      </c>
      <c r="E1925" s="262">
        <v>34.739490000000004</v>
      </c>
      <c r="M1925" s="262">
        <v>16.597279159999999</v>
      </c>
      <c r="N1925" s="262">
        <v>16.597279159999999</v>
      </c>
    </row>
    <row r="1926" spans="1:14" x14ac:dyDescent="0.25">
      <c r="A1926" s="262">
        <v>37135</v>
      </c>
      <c r="B1926" s="262" t="s">
        <v>1318</v>
      </c>
      <c r="C1926" s="262" t="s">
        <v>283</v>
      </c>
      <c r="D1926" s="262">
        <v>-79.127370499999998</v>
      </c>
      <c r="E1926" s="262">
        <v>36.054780000000001</v>
      </c>
      <c r="M1926" s="262">
        <v>15.28551315</v>
      </c>
      <c r="N1926" s="262">
        <v>15.28551315</v>
      </c>
    </row>
    <row r="1927" spans="1:14" x14ac:dyDescent="0.25">
      <c r="A1927" s="262">
        <v>37137</v>
      </c>
      <c r="B1927" s="262" t="s">
        <v>1318</v>
      </c>
      <c r="C1927" s="262" t="s">
        <v>1363</v>
      </c>
      <c r="D1927" s="262">
        <v>-76.732676499999997</v>
      </c>
      <c r="E1927" s="262">
        <v>35.145499999999998</v>
      </c>
      <c r="M1927" s="262">
        <v>16.417134229999998</v>
      </c>
      <c r="N1927" s="262">
        <v>16.417134229999998</v>
      </c>
    </row>
    <row r="1928" spans="1:14" x14ac:dyDescent="0.25">
      <c r="A1928" s="262">
        <v>37139</v>
      </c>
      <c r="B1928" s="262" t="s">
        <v>1318</v>
      </c>
      <c r="C1928" s="262" t="s">
        <v>1364</v>
      </c>
      <c r="D1928" s="262">
        <v>-76.283315099999996</v>
      </c>
      <c r="E1928" s="262">
        <v>36.300229999999999</v>
      </c>
      <c r="M1928" s="262">
        <v>15.924972779999999</v>
      </c>
      <c r="N1928" s="262">
        <v>15.924972779999999</v>
      </c>
    </row>
    <row r="1929" spans="1:14" x14ac:dyDescent="0.25">
      <c r="A1929" s="262">
        <v>37141</v>
      </c>
      <c r="B1929" s="262" t="s">
        <v>1318</v>
      </c>
      <c r="C1929" s="262" t="s">
        <v>1365</v>
      </c>
      <c r="D1929" s="262">
        <v>-77.904442099999997</v>
      </c>
      <c r="E1929" s="262">
        <v>34.530670000000001</v>
      </c>
      <c r="M1929" s="262">
        <v>16.693359569999998</v>
      </c>
      <c r="N1929" s="262">
        <v>16.693359569999998</v>
      </c>
    </row>
    <row r="1930" spans="1:14" x14ac:dyDescent="0.25">
      <c r="A1930" s="262">
        <v>37143</v>
      </c>
      <c r="B1930" s="262" t="s">
        <v>1318</v>
      </c>
      <c r="C1930" s="262" t="s">
        <v>1366</v>
      </c>
      <c r="D1930" s="262">
        <v>-76.4411068</v>
      </c>
      <c r="E1930" s="262">
        <v>36.209870000000002</v>
      </c>
      <c r="M1930" s="262">
        <v>15.954643709999999</v>
      </c>
      <c r="N1930" s="262">
        <v>15.954643709999999</v>
      </c>
    </row>
    <row r="1931" spans="1:14" x14ac:dyDescent="0.25">
      <c r="A1931" s="262">
        <v>37145</v>
      </c>
      <c r="B1931" s="262" t="s">
        <v>1318</v>
      </c>
      <c r="C1931" s="262" t="s">
        <v>1367</v>
      </c>
      <c r="D1931" s="262">
        <v>-78.970351500000007</v>
      </c>
      <c r="E1931" s="262">
        <v>36.383310000000002</v>
      </c>
      <c r="M1931" s="262">
        <v>15.02800229</v>
      </c>
      <c r="N1931" s="262">
        <v>15.02800229</v>
      </c>
    </row>
    <row r="1932" spans="1:14" x14ac:dyDescent="0.25">
      <c r="A1932" s="262">
        <v>37147</v>
      </c>
      <c r="B1932" s="262" t="s">
        <v>1318</v>
      </c>
      <c r="C1932" s="262" t="s">
        <v>1368</v>
      </c>
      <c r="D1932" s="262">
        <v>-77.380527700000002</v>
      </c>
      <c r="E1932" s="262">
        <v>35.596429999999998</v>
      </c>
      <c r="M1932" s="262">
        <v>16.11362214</v>
      </c>
      <c r="N1932" s="262">
        <v>16.11362214</v>
      </c>
    </row>
    <row r="1933" spans="1:14" x14ac:dyDescent="0.25">
      <c r="A1933" s="262">
        <v>37149</v>
      </c>
      <c r="B1933" s="262" t="s">
        <v>1318</v>
      </c>
      <c r="C1933" s="262" t="s">
        <v>237</v>
      </c>
      <c r="D1933" s="262">
        <v>-82.182581600000006</v>
      </c>
      <c r="E1933" s="262">
        <v>35.28425</v>
      </c>
      <c r="M1933" s="262">
        <v>14.72032905</v>
      </c>
      <c r="N1933" s="262">
        <v>14.72032905</v>
      </c>
    </row>
    <row r="1934" spans="1:14" x14ac:dyDescent="0.25">
      <c r="A1934" s="262">
        <v>37151</v>
      </c>
      <c r="B1934" s="262" t="s">
        <v>1318</v>
      </c>
      <c r="C1934" s="262" t="s">
        <v>168</v>
      </c>
      <c r="D1934" s="262">
        <v>-79.796901500000004</v>
      </c>
      <c r="E1934" s="262">
        <v>35.709389999999999</v>
      </c>
      <c r="M1934" s="262">
        <v>15.46707763</v>
      </c>
      <c r="N1934" s="262">
        <v>15.46707763</v>
      </c>
    </row>
    <row r="1935" spans="1:14" x14ac:dyDescent="0.25">
      <c r="A1935" s="262">
        <v>37153</v>
      </c>
      <c r="B1935" s="262" t="s">
        <v>1318</v>
      </c>
      <c r="C1935" s="262" t="s">
        <v>511</v>
      </c>
      <c r="D1935" s="262">
        <v>-79.736919</v>
      </c>
      <c r="E1935" s="262">
        <v>35.004080000000002</v>
      </c>
      <c r="M1935" s="262">
        <v>16.165470490000001</v>
      </c>
      <c r="N1935" s="262">
        <v>16.165470490000001</v>
      </c>
    </row>
    <row r="1936" spans="1:14" x14ac:dyDescent="0.25">
      <c r="A1936" s="262">
        <v>37155</v>
      </c>
      <c r="B1936" s="262" t="s">
        <v>1318</v>
      </c>
      <c r="C1936" s="262" t="s">
        <v>1369</v>
      </c>
      <c r="D1936" s="262">
        <v>-79.084984500000004</v>
      </c>
      <c r="E1936" s="262">
        <v>34.633420000000001</v>
      </c>
      <c r="M1936" s="262">
        <v>16.52646829</v>
      </c>
      <c r="N1936" s="262">
        <v>16.52646829</v>
      </c>
    </row>
    <row r="1937" spans="1:14" x14ac:dyDescent="0.25">
      <c r="A1937" s="262">
        <v>37157</v>
      </c>
      <c r="B1937" s="262" t="s">
        <v>1318</v>
      </c>
      <c r="C1937" s="262" t="s">
        <v>1247</v>
      </c>
      <c r="D1937" s="262">
        <v>-79.767494400000004</v>
      </c>
      <c r="E1937" s="262">
        <v>36.395049999999998</v>
      </c>
      <c r="M1937" s="262">
        <v>14.730320710000001</v>
      </c>
      <c r="N1937" s="262">
        <v>14.730320710000001</v>
      </c>
    </row>
    <row r="1938" spans="1:14" x14ac:dyDescent="0.25">
      <c r="A1938" s="262">
        <v>37159</v>
      </c>
      <c r="B1938" s="262" t="s">
        <v>1318</v>
      </c>
      <c r="C1938" s="262" t="s">
        <v>836</v>
      </c>
      <c r="D1938" s="262">
        <v>-80.526877400000004</v>
      </c>
      <c r="E1938" s="262">
        <v>35.641820000000003</v>
      </c>
      <c r="M1938" s="262">
        <v>15.383762239999999</v>
      </c>
      <c r="N1938" s="262">
        <v>15.383762239999999</v>
      </c>
    </row>
    <row r="1939" spans="1:14" x14ac:dyDescent="0.25">
      <c r="A1939" s="262">
        <v>37161</v>
      </c>
      <c r="B1939" s="262" t="s">
        <v>1318</v>
      </c>
      <c r="C1939" s="262" t="s">
        <v>1370</v>
      </c>
      <c r="D1939" s="262">
        <v>-81.927739900000006</v>
      </c>
      <c r="E1939" s="262">
        <v>35.407179999999997</v>
      </c>
      <c r="M1939" s="262">
        <v>14.80743687</v>
      </c>
      <c r="N1939" s="262">
        <v>14.80743687</v>
      </c>
    </row>
    <row r="1940" spans="1:14" x14ac:dyDescent="0.25">
      <c r="A1940" s="262">
        <v>37163</v>
      </c>
      <c r="B1940" s="262" t="s">
        <v>1318</v>
      </c>
      <c r="C1940" s="262" t="s">
        <v>1371</v>
      </c>
      <c r="D1940" s="262">
        <v>-78.367563799999999</v>
      </c>
      <c r="E1940" s="262">
        <v>34.988219999999998</v>
      </c>
      <c r="M1940" s="262">
        <v>16.33924425</v>
      </c>
      <c r="N1940" s="262">
        <v>16.33924425</v>
      </c>
    </row>
    <row r="1941" spans="1:14" x14ac:dyDescent="0.25">
      <c r="A1941" s="262">
        <v>37165</v>
      </c>
      <c r="B1941" s="262" t="s">
        <v>1318</v>
      </c>
      <c r="C1941" s="262" t="s">
        <v>1144</v>
      </c>
      <c r="D1941" s="262">
        <v>-79.464607799999996</v>
      </c>
      <c r="E1941" s="262">
        <v>34.832500000000003</v>
      </c>
      <c r="M1941" s="262">
        <v>16.327095780000001</v>
      </c>
      <c r="N1941" s="262">
        <v>16.327095780000001</v>
      </c>
    </row>
    <row r="1942" spans="1:14" x14ac:dyDescent="0.25">
      <c r="A1942" s="262">
        <v>37167</v>
      </c>
      <c r="B1942" s="262" t="s">
        <v>1318</v>
      </c>
      <c r="C1942" s="262" t="s">
        <v>1372</v>
      </c>
      <c r="D1942" s="262">
        <v>-80.2574252</v>
      </c>
      <c r="E1942" s="262">
        <v>35.315890000000003</v>
      </c>
      <c r="M1942" s="262">
        <v>15.813206709999999</v>
      </c>
      <c r="N1942" s="262">
        <v>15.813206709999999</v>
      </c>
    </row>
    <row r="1943" spans="1:14" x14ac:dyDescent="0.25">
      <c r="A1943" s="262">
        <v>37169</v>
      </c>
      <c r="B1943" s="262" t="s">
        <v>1318</v>
      </c>
      <c r="C1943" s="262" t="s">
        <v>1373</v>
      </c>
      <c r="D1943" s="262">
        <v>-80.237847900000006</v>
      </c>
      <c r="E1943" s="262">
        <v>36.401560000000003</v>
      </c>
      <c r="M1943" s="262">
        <v>14.612729809999999</v>
      </c>
      <c r="N1943" s="262">
        <v>14.612729809999999</v>
      </c>
    </row>
    <row r="1944" spans="1:14" x14ac:dyDescent="0.25">
      <c r="A1944" s="262">
        <v>37171</v>
      </c>
      <c r="B1944" s="262" t="s">
        <v>1318</v>
      </c>
      <c r="C1944" s="262" t="s">
        <v>1374</v>
      </c>
      <c r="D1944" s="262">
        <v>-80.688966600000001</v>
      </c>
      <c r="E1944" s="262">
        <v>36.415329999999997</v>
      </c>
      <c r="M1944" s="262">
        <v>14.457007880000001</v>
      </c>
      <c r="N1944" s="262">
        <v>14.457007880000001</v>
      </c>
    </row>
    <row r="1945" spans="1:14" x14ac:dyDescent="0.25">
      <c r="A1945" s="262">
        <v>37173</v>
      </c>
      <c r="B1945" s="262" t="s">
        <v>1318</v>
      </c>
      <c r="C1945" s="262" t="s">
        <v>1375</v>
      </c>
      <c r="D1945" s="262">
        <v>-83.498227600000007</v>
      </c>
      <c r="E1945" s="262">
        <v>35.484029999999997</v>
      </c>
      <c r="M1945" s="262">
        <v>12.781284360000001</v>
      </c>
      <c r="N1945" s="262">
        <v>12.781284360000001</v>
      </c>
    </row>
    <row r="1946" spans="1:14" x14ac:dyDescent="0.25">
      <c r="A1946" s="262">
        <v>37175</v>
      </c>
      <c r="B1946" s="262" t="s">
        <v>1318</v>
      </c>
      <c r="C1946" s="262" t="s">
        <v>1376</v>
      </c>
      <c r="D1946" s="262">
        <v>-82.802424700000003</v>
      </c>
      <c r="E1946" s="262">
        <v>35.202970000000001</v>
      </c>
      <c r="M1946" s="262">
        <v>14.089101189999999</v>
      </c>
      <c r="N1946" s="262">
        <v>14.089101189999999</v>
      </c>
    </row>
    <row r="1947" spans="1:14" x14ac:dyDescent="0.25">
      <c r="A1947" s="262">
        <v>37177</v>
      </c>
      <c r="B1947" s="262" t="s">
        <v>1318</v>
      </c>
      <c r="C1947" s="262" t="s">
        <v>1377</v>
      </c>
      <c r="D1947" s="262">
        <v>-76.212924000000001</v>
      </c>
      <c r="E1947" s="262">
        <v>35.810409999999997</v>
      </c>
      <c r="M1947" s="262">
        <v>16.127636420000002</v>
      </c>
      <c r="N1947" s="262">
        <v>16.127636420000002</v>
      </c>
    </row>
    <row r="1948" spans="1:14" x14ac:dyDescent="0.25">
      <c r="A1948" s="262">
        <v>37179</v>
      </c>
      <c r="B1948" s="262" t="s">
        <v>1318</v>
      </c>
      <c r="C1948" s="262" t="s">
        <v>249</v>
      </c>
      <c r="D1948" s="262">
        <v>-80.536206800000002</v>
      </c>
      <c r="E1948" s="262">
        <v>34.987819999999999</v>
      </c>
      <c r="M1948" s="262">
        <v>16.111117579999998</v>
      </c>
      <c r="N1948" s="262">
        <v>16.111117579999998</v>
      </c>
    </row>
    <row r="1949" spans="1:14" x14ac:dyDescent="0.25">
      <c r="A1949" s="262">
        <v>37181</v>
      </c>
      <c r="B1949" s="262" t="s">
        <v>1318</v>
      </c>
      <c r="C1949" s="262" t="s">
        <v>1378</v>
      </c>
      <c r="D1949" s="262">
        <v>-78.401714400000003</v>
      </c>
      <c r="E1949" s="262">
        <v>36.360639999999997</v>
      </c>
      <c r="M1949" s="262">
        <v>15.25976595</v>
      </c>
      <c r="N1949" s="262">
        <v>15.25976595</v>
      </c>
    </row>
    <row r="1950" spans="1:14" x14ac:dyDescent="0.25">
      <c r="A1950" s="262">
        <v>37183</v>
      </c>
      <c r="B1950" s="262" t="s">
        <v>1318</v>
      </c>
      <c r="C1950" s="262" t="s">
        <v>1379</v>
      </c>
      <c r="D1950" s="262">
        <v>-78.649502900000002</v>
      </c>
      <c r="E1950" s="262">
        <v>35.786540000000002</v>
      </c>
      <c r="M1950" s="262">
        <v>15.66640816</v>
      </c>
      <c r="N1950" s="262">
        <v>15.66640816</v>
      </c>
    </row>
    <row r="1951" spans="1:14" x14ac:dyDescent="0.25">
      <c r="A1951" s="262">
        <v>37185</v>
      </c>
      <c r="B1951" s="262" t="s">
        <v>1318</v>
      </c>
      <c r="C1951" s="262" t="s">
        <v>533</v>
      </c>
      <c r="D1951" s="262">
        <v>-78.096283999999997</v>
      </c>
      <c r="E1951" s="262">
        <v>36.387079999999997</v>
      </c>
      <c r="M1951" s="262">
        <v>15.357994250000001</v>
      </c>
      <c r="N1951" s="262">
        <v>15.357994250000001</v>
      </c>
    </row>
    <row r="1952" spans="1:14" x14ac:dyDescent="0.25">
      <c r="A1952" s="262">
        <v>37187</v>
      </c>
      <c r="B1952" s="262" t="s">
        <v>1318</v>
      </c>
      <c r="C1952" s="262" t="s">
        <v>177</v>
      </c>
      <c r="D1952" s="262">
        <v>-76.577432799999997</v>
      </c>
      <c r="E1952" s="262">
        <v>35.817549999999997</v>
      </c>
      <c r="M1952" s="262">
        <v>16.115822680000001</v>
      </c>
      <c r="N1952" s="262">
        <v>16.115822680000001</v>
      </c>
    </row>
    <row r="1953" spans="1:14" x14ac:dyDescent="0.25">
      <c r="A1953" s="262">
        <v>37189</v>
      </c>
      <c r="B1953" s="262" t="s">
        <v>1318</v>
      </c>
      <c r="C1953" s="262" t="s">
        <v>1380</v>
      </c>
      <c r="D1953" s="262">
        <v>-81.695739700000004</v>
      </c>
      <c r="E1953" s="262">
        <v>36.228969999999997</v>
      </c>
      <c r="M1953" s="262">
        <v>14.157190979999999</v>
      </c>
      <c r="N1953" s="262">
        <v>14.157190979999999</v>
      </c>
    </row>
    <row r="1954" spans="1:14" x14ac:dyDescent="0.25">
      <c r="A1954" s="262">
        <v>37191</v>
      </c>
      <c r="B1954" s="262" t="s">
        <v>1318</v>
      </c>
      <c r="C1954" s="262" t="s">
        <v>534</v>
      </c>
      <c r="D1954" s="262">
        <v>-78.008205899999993</v>
      </c>
      <c r="E1954" s="262">
        <v>35.365789999999997</v>
      </c>
      <c r="M1954" s="262">
        <v>16.12982792</v>
      </c>
      <c r="N1954" s="262">
        <v>16.12982792</v>
      </c>
    </row>
    <row r="1955" spans="1:14" x14ac:dyDescent="0.25">
      <c r="A1955" s="262">
        <v>37193</v>
      </c>
      <c r="B1955" s="262" t="s">
        <v>1318</v>
      </c>
      <c r="C1955" s="262" t="s">
        <v>538</v>
      </c>
      <c r="D1955" s="262">
        <v>-81.1745193</v>
      </c>
      <c r="E1955" s="262">
        <v>36.217919999999999</v>
      </c>
      <c r="M1955" s="262">
        <v>14.45923105</v>
      </c>
      <c r="N1955" s="262">
        <v>14.45923105</v>
      </c>
    </row>
    <row r="1956" spans="1:14" x14ac:dyDescent="0.25">
      <c r="A1956" s="262">
        <v>37195</v>
      </c>
      <c r="B1956" s="262" t="s">
        <v>1318</v>
      </c>
      <c r="C1956" s="262" t="s">
        <v>783</v>
      </c>
      <c r="D1956" s="262">
        <v>-77.920541299999996</v>
      </c>
      <c r="E1956" s="262">
        <v>35.700479999999999</v>
      </c>
      <c r="M1956" s="262">
        <v>15.922778080000001</v>
      </c>
      <c r="N1956" s="262">
        <v>15.922778080000001</v>
      </c>
    </row>
    <row r="1957" spans="1:14" x14ac:dyDescent="0.25">
      <c r="A1957" s="262">
        <v>37197</v>
      </c>
      <c r="B1957" s="262" t="s">
        <v>1318</v>
      </c>
      <c r="C1957" s="262" t="s">
        <v>1381</v>
      </c>
      <c r="D1957" s="262">
        <v>-80.663372600000002</v>
      </c>
      <c r="E1957" s="262">
        <v>36.161700000000003</v>
      </c>
      <c r="M1957" s="262">
        <v>14.742400050000001</v>
      </c>
      <c r="N1957" s="262">
        <v>14.742400050000001</v>
      </c>
    </row>
    <row r="1958" spans="1:14" x14ac:dyDescent="0.25">
      <c r="A1958" s="262">
        <v>37199</v>
      </c>
      <c r="B1958" s="262" t="s">
        <v>1318</v>
      </c>
      <c r="C1958" s="262" t="s">
        <v>1382</v>
      </c>
      <c r="D1958" s="262">
        <v>-82.314181899999994</v>
      </c>
      <c r="E1958" s="262">
        <v>35.897300000000001</v>
      </c>
      <c r="M1958" s="262">
        <v>13.88648942</v>
      </c>
      <c r="N1958" s="262">
        <v>13.88648942</v>
      </c>
    </row>
    <row r="1959" spans="1:14" x14ac:dyDescent="0.25">
      <c r="A1959" s="262">
        <v>38001</v>
      </c>
      <c r="B1959" s="262" t="s">
        <v>1383</v>
      </c>
      <c r="C1959" s="262" t="s">
        <v>312</v>
      </c>
      <c r="D1959" s="262">
        <v>-102.52049599999999</v>
      </c>
      <c r="E1959" s="262">
        <v>46.094720000000002</v>
      </c>
      <c r="M1959" s="262">
        <v>9.7975456829999992</v>
      </c>
      <c r="N1959" s="262">
        <v>9.7975456829999992</v>
      </c>
    </row>
    <row r="1960" spans="1:14" x14ac:dyDescent="0.25">
      <c r="A1960" s="262">
        <v>38003</v>
      </c>
      <c r="B1960" s="262" t="s">
        <v>1383</v>
      </c>
      <c r="C1960" s="262" t="s">
        <v>1384</v>
      </c>
      <c r="D1960" s="262">
        <v>-98.066011799999998</v>
      </c>
      <c r="E1960" s="262">
        <v>46.932749999999999</v>
      </c>
      <c r="M1960" s="262">
        <v>9.4443383579999995</v>
      </c>
      <c r="N1960" s="262">
        <v>9.4443383579999995</v>
      </c>
    </row>
    <row r="1961" spans="1:14" x14ac:dyDescent="0.25">
      <c r="A1961" s="262">
        <v>38005</v>
      </c>
      <c r="B1961" s="262" t="s">
        <v>1383</v>
      </c>
      <c r="C1961" s="262" t="s">
        <v>1385</v>
      </c>
      <c r="D1961" s="262">
        <v>-99.372658000000001</v>
      </c>
      <c r="E1961" s="262">
        <v>48.072830000000003</v>
      </c>
      <c r="M1961" s="262">
        <v>9.1303153530000003</v>
      </c>
      <c r="N1961" s="262">
        <v>9.1303153530000003</v>
      </c>
    </row>
    <row r="1962" spans="1:14" x14ac:dyDescent="0.25">
      <c r="A1962" s="262">
        <v>38007</v>
      </c>
      <c r="B1962" s="262" t="s">
        <v>1383</v>
      </c>
      <c r="C1962" s="262" t="s">
        <v>1386</v>
      </c>
      <c r="D1962" s="262">
        <v>-103.36957</v>
      </c>
      <c r="E1962" s="262">
        <v>47.025910000000003</v>
      </c>
      <c r="M1962" s="262">
        <v>9.5992335230000005</v>
      </c>
      <c r="N1962" s="262">
        <v>9.5992335230000005</v>
      </c>
    </row>
    <row r="1963" spans="1:14" x14ac:dyDescent="0.25">
      <c r="A1963" s="262">
        <v>38009</v>
      </c>
      <c r="B1963" s="262" t="s">
        <v>1383</v>
      </c>
      <c r="C1963" s="262" t="s">
        <v>1387</v>
      </c>
      <c r="D1963" s="262">
        <v>-100.83033500000001</v>
      </c>
      <c r="E1963" s="262">
        <v>48.79157</v>
      </c>
      <c r="M1963" s="262">
        <v>9.0262819539999999</v>
      </c>
      <c r="N1963" s="262">
        <v>9.0262819539999999</v>
      </c>
    </row>
    <row r="1964" spans="1:14" x14ac:dyDescent="0.25">
      <c r="A1964" s="262">
        <v>38011</v>
      </c>
      <c r="B1964" s="262" t="s">
        <v>1383</v>
      </c>
      <c r="C1964" s="262" t="s">
        <v>1388</v>
      </c>
      <c r="D1964" s="262">
        <v>-103.513336</v>
      </c>
      <c r="E1964" s="262">
        <v>46.107199999999999</v>
      </c>
      <c r="M1964" s="262">
        <v>9.8217793889999996</v>
      </c>
      <c r="N1964" s="262">
        <v>9.8217793889999996</v>
      </c>
    </row>
    <row r="1965" spans="1:14" x14ac:dyDescent="0.25">
      <c r="A1965" s="262">
        <v>38013</v>
      </c>
      <c r="B1965" s="262" t="s">
        <v>1383</v>
      </c>
      <c r="C1965" s="262" t="s">
        <v>446</v>
      </c>
      <c r="D1965" s="262">
        <v>-102.51104100000001</v>
      </c>
      <c r="E1965" s="262">
        <v>48.794080000000001</v>
      </c>
      <c r="M1965" s="262">
        <v>9.2573277669999996</v>
      </c>
      <c r="N1965" s="262">
        <v>9.2573277669999996</v>
      </c>
    </row>
    <row r="1966" spans="1:14" x14ac:dyDescent="0.25">
      <c r="A1966" s="262">
        <v>38015</v>
      </c>
      <c r="B1966" s="262" t="s">
        <v>1383</v>
      </c>
      <c r="C1966" s="262" t="s">
        <v>1389</v>
      </c>
      <c r="D1966" s="262">
        <v>-100.460685</v>
      </c>
      <c r="E1966" s="262">
        <v>46.979039999999998</v>
      </c>
      <c r="M1966" s="262">
        <v>9.2789299070000002</v>
      </c>
      <c r="N1966" s="262">
        <v>9.2789299070000002</v>
      </c>
    </row>
    <row r="1967" spans="1:14" x14ac:dyDescent="0.25">
      <c r="A1967" s="262">
        <v>38017</v>
      </c>
      <c r="B1967" s="262" t="s">
        <v>1383</v>
      </c>
      <c r="C1967" s="262" t="s">
        <v>580</v>
      </c>
      <c r="D1967" s="262">
        <v>-97.2382834</v>
      </c>
      <c r="E1967" s="262">
        <v>46.929769999999998</v>
      </c>
      <c r="M1967" s="262">
        <v>9.35189819</v>
      </c>
      <c r="N1967" s="262">
        <v>9.35189819</v>
      </c>
    </row>
    <row r="1968" spans="1:14" x14ac:dyDescent="0.25">
      <c r="A1968" s="262">
        <v>38019</v>
      </c>
      <c r="B1968" s="262" t="s">
        <v>1383</v>
      </c>
      <c r="C1968" s="262" t="s">
        <v>1390</v>
      </c>
      <c r="D1968" s="262">
        <v>-98.450089500000004</v>
      </c>
      <c r="E1968" s="262">
        <v>48.773319999999998</v>
      </c>
      <c r="M1968" s="262">
        <v>9.0773226840000003</v>
      </c>
      <c r="N1968" s="262">
        <v>9.0773226840000003</v>
      </c>
    </row>
    <row r="1969" spans="1:14" x14ac:dyDescent="0.25">
      <c r="A1969" s="262">
        <v>38021</v>
      </c>
      <c r="B1969" s="262" t="s">
        <v>1383</v>
      </c>
      <c r="C1969" s="262" t="s">
        <v>1391</v>
      </c>
      <c r="D1969" s="262">
        <v>-98.500632199999998</v>
      </c>
      <c r="E1969" s="262">
        <v>46.109870000000001</v>
      </c>
      <c r="M1969" s="262">
        <v>9.8250181009999995</v>
      </c>
      <c r="N1969" s="262">
        <v>9.8250181009999995</v>
      </c>
    </row>
    <row r="1970" spans="1:14" x14ac:dyDescent="0.25">
      <c r="A1970" s="262">
        <v>38023</v>
      </c>
      <c r="B1970" s="262" t="s">
        <v>1383</v>
      </c>
      <c r="C1970" s="262" t="s">
        <v>1392</v>
      </c>
      <c r="D1970" s="262">
        <v>-103.48327500000001</v>
      </c>
      <c r="E1970" s="262">
        <v>48.816000000000003</v>
      </c>
      <c r="M1970" s="262">
        <v>9.4211426679999999</v>
      </c>
      <c r="N1970" s="262">
        <v>9.4211426679999999</v>
      </c>
    </row>
    <row r="1971" spans="1:14" x14ac:dyDescent="0.25">
      <c r="A1971" s="262">
        <v>38025</v>
      </c>
      <c r="B1971" s="262" t="s">
        <v>1383</v>
      </c>
      <c r="C1971" s="262" t="s">
        <v>1393</v>
      </c>
      <c r="D1971" s="262">
        <v>-102.610872</v>
      </c>
      <c r="E1971" s="262">
        <v>47.356520000000003</v>
      </c>
      <c r="M1971" s="262">
        <v>9.4288400849999991</v>
      </c>
      <c r="N1971" s="262">
        <v>9.4288400849999991</v>
      </c>
    </row>
    <row r="1972" spans="1:14" x14ac:dyDescent="0.25">
      <c r="A1972" s="262">
        <v>38027</v>
      </c>
      <c r="B1972" s="262" t="s">
        <v>1383</v>
      </c>
      <c r="C1972" s="262" t="s">
        <v>1269</v>
      </c>
      <c r="D1972" s="262">
        <v>-98.899881699999995</v>
      </c>
      <c r="E1972" s="262">
        <v>47.71996</v>
      </c>
      <c r="M1972" s="262">
        <v>9.2189605960000005</v>
      </c>
      <c r="N1972" s="262">
        <v>9.2189605960000005</v>
      </c>
    </row>
    <row r="1973" spans="1:14" x14ac:dyDescent="0.25">
      <c r="A1973" s="262">
        <v>38029</v>
      </c>
      <c r="B1973" s="262" t="s">
        <v>1383</v>
      </c>
      <c r="C1973" s="262" t="s">
        <v>1394</v>
      </c>
      <c r="D1973" s="262">
        <v>-100.22586099999999</v>
      </c>
      <c r="E1973" s="262">
        <v>46.282330000000002</v>
      </c>
      <c r="M1973" s="262">
        <v>9.5920245410000007</v>
      </c>
      <c r="N1973" s="262">
        <v>9.5920245410000007</v>
      </c>
    </row>
    <row r="1974" spans="1:14" x14ac:dyDescent="0.25">
      <c r="A1974" s="262">
        <v>38031</v>
      </c>
      <c r="B1974" s="262" t="s">
        <v>1383</v>
      </c>
      <c r="C1974" s="262" t="s">
        <v>1395</v>
      </c>
      <c r="D1974" s="262">
        <v>-98.881061299999999</v>
      </c>
      <c r="E1974" s="262">
        <v>47.459679999999999</v>
      </c>
      <c r="M1974" s="262">
        <v>9.2813178250000004</v>
      </c>
      <c r="N1974" s="262">
        <v>9.2813178250000004</v>
      </c>
    </row>
    <row r="1975" spans="1:14" x14ac:dyDescent="0.25">
      <c r="A1975" s="262">
        <v>38033</v>
      </c>
      <c r="B1975" s="262" t="s">
        <v>1383</v>
      </c>
      <c r="C1975" s="262" t="s">
        <v>1164</v>
      </c>
      <c r="D1975" s="262">
        <v>-103.845291</v>
      </c>
      <c r="E1975" s="262">
        <v>46.94267</v>
      </c>
      <c r="M1975" s="262">
        <v>9.6561273019999998</v>
      </c>
      <c r="N1975" s="262">
        <v>9.6561273019999998</v>
      </c>
    </row>
    <row r="1976" spans="1:14" x14ac:dyDescent="0.25">
      <c r="A1976" s="262">
        <v>38035</v>
      </c>
      <c r="B1976" s="262" t="s">
        <v>1383</v>
      </c>
      <c r="C1976" s="262" t="s">
        <v>1396</v>
      </c>
      <c r="D1976" s="262">
        <v>-97.446873199999999</v>
      </c>
      <c r="E1976" s="262">
        <v>47.920209999999997</v>
      </c>
      <c r="M1976" s="262">
        <v>9.1165761799999991</v>
      </c>
      <c r="N1976" s="262">
        <v>9.1165761799999991</v>
      </c>
    </row>
    <row r="1977" spans="1:14" x14ac:dyDescent="0.25">
      <c r="A1977" s="262">
        <v>38037</v>
      </c>
      <c r="B1977" s="262" t="s">
        <v>1383</v>
      </c>
      <c r="C1977" s="262" t="s">
        <v>218</v>
      </c>
      <c r="D1977" s="262">
        <v>-101.636943</v>
      </c>
      <c r="E1977" s="262">
        <v>46.35886</v>
      </c>
      <c r="M1977" s="262">
        <v>9.6298060989999996</v>
      </c>
      <c r="N1977" s="262">
        <v>9.6298060989999996</v>
      </c>
    </row>
    <row r="1978" spans="1:14" x14ac:dyDescent="0.25">
      <c r="A1978" s="262">
        <v>38039</v>
      </c>
      <c r="B1978" s="262" t="s">
        <v>1383</v>
      </c>
      <c r="C1978" s="262" t="s">
        <v>1397</v>
      </c>
      <c r="D1978" s="262">
        <v>-98.225660300000001</v>
      </c>
      <c r="E1978" s="262">
        <v>47.456150000000001</v>
      </c>
      <c r="M1978" s="262">
        <v>9.2856742410000006</v>
      </c>
      <c r="N1978" s="262">
        <v>9.2856742410000006</v>
      </c>
    </row>
    <row r="1979" spans="1:14" x14ac:dyDescent="0.25">
      <c r="A1979" s="262">
        <v>38041</v>
      </c>
      <c r="B1979" s="262" t="s">
        <v>1383</v>
      </c>
      <c r="C1979" s="262" t="s">
        <v>1398</v>
      </c>
      <c r="D1979" s="262">
        <v>-102.45245</v>
      </c>
      <c r="E1979" s="262">
        <v>46.431060000000002</v>
      </c>
      <c r="M1979" s="262">
        <v>9.6717144749999999</v>
      </c>
      <c r="N1979" s="262">
        <v>9.6717144749999999</v>
      </c>
    </row>
    <row r="1980" spans="1:14" x14ac:dyDescent="0.25">
      <c r="A1980" s="262">
        <v>38043</v>
      </c>
      <c r="B1980" s="262" t="s">
        <v>1383</v>
      </c>
      <c r="C1980" s="262" t="s">
        <v>1399</v>
      </c>
      <c r="D1980" s="262">
        <v>-99.777696899999995</v>
      </c>
      <c r="E1980" s="262">
        <v>46.97889</v>
      </c>
      <c r="M1980" s="262">
        <v>9.3475955469999992</v>
      </c>
      <c r="N1980" s="262">
        <v>9.3475955469999992</v>
      </c>
    </row>
    <row r="1981" spans="1:14" x14ac:dyDescent="0.25">
      <c r="A1981" s="262">
        <v>38045</v>
      </c>
      <c r="B1981" s="262" t="s">
        <v>1383</v>
      </c>
      <c r="C1981" s="262" t="s">
        <v>1400</v>
      </c>
      <c r="D1981" s="262">
        <v>-98.533053600000002</v>
      </c>
      <c r="E1981" s="262">
        <v>46.45628</v>
      </c>
      <c r="M1981" s="262">
        <v>9.6536517360000005</v>
      </c>
      <c r="N1981" s="262">
        <v>9.6536517360000005</v>
      </c>
    </row>
    <row r="1982" spans="1:14" x14ac:dyDescent="0.25">
      <c r="A1982" s="262">
        <v>38047</v>
      </c>
      <c r="B1982" s="262" t="s">
        <v>1383</v>
      </c>
      <c r="C1982" s="262" t="s">
        <v>228</v>
      </c>
      <c r="D1982" s="262">
        <v>-99.469981899999993</v>
      </c>
      <c r="E1982" s="262">
        <v>46.457529999999998</v>
      </c>
      <c r="M1982" s="262">
        <v>9.6050448720000006</v>
      </c>
      <c r="N1982" s="262">
        <v>9.6050448720000006</v>
      </c>
    </row>
    <row r="1983" spans="1:14" x14ac:dyDescent="0.25">
      <c r="A1983" s="262">
        <v>38049</v>
      </c>
      <c r="B1983" s="262" t="s">
        <v>1383</v>
      </c>
      <c r="C1983" s="262" t="s">
        <v>605</v>
      </c>
      <c r="D1983" s="262">
        <v>-100.63338299999999</v>
      </c>
      <c r="E1983" s="262">
        <v>48.235639999999997</v>
      </c>
      <c r="M1983" s="262">
        <v>9.0093240960000003</v>
      </c>
      <c r="N1983" s="262">
        <v>9.0093240960000003</v>
      </c>
    </row>
    <row r="1984" spans="1:14" x14ac:dyDescent="0.25">
      <c r="A1984" s="262">
        <v>38051</v>
      </c>
      <c r="B1984" s="262" t="s">
        <v>1383</v>
      </c>
      <c r="C1984" s="262" t="s">
        <v>499</v>
      </c>
      <c r="D1984" s="262">
        <v>-99.432532899999998</v>
      </c>
      <c r="E1984" s="262">
        <v>46.111449999999998</v>
      </c>
      <c r="M1984" s="262">
        <v>9.7976272180000006</v>
      </c>
      <c r="N1984" s="262">
        <v>9.7976272180000006</v>
      </c>
    </row>
    <row r="1985" spans="1:14" x14ac:dyDescent="0.25">
      <c r="A1985" s="262">
        <v>38053</v>
      </c>
      <c r="B1985" s="262" t="s">
        <v>1383</v>
      </c>
      <c r="C1985" s="262" t="s">
        <v>1401</v>
      </c>
      <c r="D1985" s="262">
        <v>-103.391763</v>
      </c>
      <c r="E1985" s="262">
        <v>47.740070000000003</v>
      </c>
      <c r="M1985" s="262">
        <v>9.4793801799999997</v>
      </c>
      <c r="N1985" s="262">
        <v>9.4793801799999997</v>
      </c>
    </row>
    <row r="1986" spans="1:14" x14ac:dyDescent="0.25">
      <c r="A1986" s="262">
        <v>38055</v>
      </c>
      <c r="B1986" s="262" t="s">
        <v>1383</v>
      </c>
      <c r="C1986" s="262" t="s">
        <v>606</v>
      </c>
      <c r="D1986" s="262">
        <v>-101.312079</v>
      </c>
      <c r="E1986" s="262">
        <v>47.607939999999999</v>
      </c>
      <c r="M1986" s="262">
        <v>9.1465502809999997</v>
      </c>
      <c r="N1986" s="262">
        <v>9.1465502809999997</v>
      </c>
    </row>
    <row r="1987" spans="1:14" x14ac:dyDescent="0.25">
      <c r="A1987" s="262">
        <v>38057</v>
      </c>
      <c r="B1987" s="262" t="s">
        <v>1383</v>
      </c>
      <c r="C1987" s="262" t="s">
        <v>611</v>
      </c>
      <c r="D1987" s="262">
        <v>-101.82782</v>
      </c>
      <c r="E1987" s="262">
        <v>47.305599999999998</v>
      </c>
      <c r="M1987" s="262">
        <v>9.2995894759999995</v>
      </c>
      <c r="N1987" s="262">
        <v>9.2995894759999995</v>
      </c>
    </row>
    <row r="1988" spans="1:14" x14ac:dyDescent="0.25">
      <c r="A1988" s="262">
        <v>38059</v>
      </c>
      <c r="B1988" s="262" t="s">
        <v>1383</v>
      </c>
      <c r="C1988" s="262" t="s">
        <v>753</v>
      </c>
      <c r="D1988" s="262">
        <v>-101.27531399999999</v>
      </c>
      <c r="E1988" s="262">
        <v>46.717939999999999</v>
      </c>
      <c r="M1988" s="262">
        <v>9.4280413270000007</v>
      </c>
      <c r="N1988" s="262">
        <v>9.4280413270000007</v>
      </c>
    </row>
    <row r="1989" spans="1:14" x14ac:dyDescent="0.25">
      <c r="A1989" s="262">
        <v>38061</v>
      </c>
      <c r="B1989" s="262" t="s">
        <v>1383</v>
      </c>
      <c r="C1989" s="262" t="s">
        <v>1402</v>
      </c>
      <c r="D1989" s="262">
        <v>-102.349977</v>
      </c>
      <c r="E1989" s="262">
        <v>48.20279</v>
      </c>
      <c r="M1989" s="262">
        <v>9.2417913550000002</v>
      </c>
      <c r="N1989" s="262">
        <v>9.2417913550000002</v>
      </c>
    </row>
    <row r="1990" spans="1:14" x14ac:dyDescent="0.25">
      <c r="A1990" s="262">
        <v>38063</v>
      </c>
      <c r="B1990" s="262" t="s">
        <v>1383</v>
      </c>
      <c r="C1990" s="262" t="s">
        <v>828</v>
      </c>
      <c r="D1990" s="262">
        <v>-98.186148399999993</v>
      </c>
      <c r="E1990" s="262">
        <v>47.923670000000001</v>
      </c>
      <c r="M1990" s="262">
        <v>9.1770286559999992</v>
      </c>
      <c r="N1990" s="262">
        <v>9.1770286559999992</v>
      </c>
    </row>
    <row r="1991" spans="1:14" x14ac:dyDescent="0.25">
      <c r="A1991" s="262">
        <v>38065</v>
      </c>
      <c r="B1991" s="262" t="s">
        <v>1383</v>
      </c>
      <c r="C1991" s="262" t="s">
        <v>1403</v>
      </c>
      <c r="D1991" s="262">
        <v>-101.32786900000001</v>
      </c>
      <c r="E1991" s="262">
        <v>47.115029999999997</v>
      </c>
      <c r="M1991" s="262">
        <v>9.2826528889999995</v>
      </c>
      <c r="N1991" s="262">
        <v>9.2826528889999995</v>
      </c>
    </row>
    <row r="1992" spans="1:14" x14ac:dyDescent="0.25">
      <c r="A1992" s="262">
        <v>38067</v>
      </c>
      <c r="B1992" s="262" t="s">
        <v>1383</v>
      </c>
      <c r="C1992" s="262" t="s">
        <v>1404</v>
      </c>
      <c r="D1992" s="262">
        <v>-97.541211000000004</v>
      </c>
      <c r="E1992" s="262">
        <v>48.770060000000001</v>
      </c>
      <c r="M1992" s="262">
        <v>9.0186454830000002</v>
      </c>
      <c r="N1992" s="262">
        <v>9.0186454830000002</v>
      </c>
    </row>
    <row r="1993" spans="1:14" x14ac:dyDescent="0.25">
      <c r="A1993" s="262">
        <v>38069</v>
      </c>
      <c r="B1993" s="262" t="s">
        <v>1383</v>
      </c>
      <c r="C1993" s="262" t="s">
        <v>508</v>
      </c>
      <c r="D1993" s="262">
        <v>-99.969625699999995</v>
      </c>
      <c r="E1993" s="262">
        <v>48.251620000000003</v>
      </c>
      <c r="M1993" s="262">
        <v>9.0670604620000006</v>
      </c>
      <c r="N1993" s="262">
        <v>9.0670604620000006</v>
      </c>
    </row>
    <row r="1994" spans="1:14" x14ac:dyDescent="0.25">
      <c r="A1994" s="262">
        <v>38071</v>
      </c>
      <c r="B1994" s="262" t="s">
        <v>1383</v>
      </c>
      <c r="C1994" s="262" t="s">
        <v>1052</v>
      </c>
      <c r="D1994" s="262">
        <v>-98.721909999999994</v>
      </c>
      <c r="E1994" s="262">
        <v>48.267940000000003</v>
      </c>
      <c r="M1994" s="262">
        <v>9.1292709890000001</v>
      </c>
      <c r="N1994" s="262">
        <v>9.1292709890000001</v>
      </c>
    </row>
    <row r="1995" spans="1:14" x14ac:dyDescent="0.25">
      <c r="A1995" s="262">
        <v>38073</v>
      </c>
      <c r="B1995" s="262" t="s">
        <v>1383</v>
      </c>
      <c r="C1995" s="262" t="s">
        <v>1405</v>
      </c>
      <c r="D1995" s="262">
        <v>-97.651989299999997</v>
      </c>
      <c r="E1995" s="262">
        <v>46.453989999999997</v>
      </c>
      <c r="M1995" s="262">
        <v>9.5889115389999997</v>
      </c>
      <c r="N1995" s="262">
        <v>9.5889115389999997</v>
      </c>
    </row>
    <row r="1996" spans="1:14" x14ac:dyDescent="0.25">
      <c r="A1996" s="262">
        <v>38075</v>
      </c>
      <c r="B1996" s="262" t="s">
        <v>1383</v>
      </c>
      <c r="C1996" s="262" t="s">
        <v>1055</v>
      </c>
      <c r="D1996" s="262">
        <v>-101.658265</v>
      </c>
      <c r="E1996" s="262">
        <v>48.718919999999997</v>
      </c>
      <c r="M1996" s="262">
        <v>9.0841366909999994</v>
      </c>
      <c r="N1996" s="262">
        <v>9.0841366909999994</v>
      </c>
    </row>
    <row r="1997" spans="1:14" x14ac:dyDescent="0.25">
      <c r="A1997" s="262">
        <v>38077</v>
      </c>
      <c r="B1997" s="262" t="s">
        <v>1383</v>
      </c>
      <c r="C1997" s="262" t="s">
        <v>616</v>
      </c>
      <c r="D1997" s="262">
        <v>-96.939877100000004</v>
      </c>
      <c r="E1997" s="262">
        <v>46.267510000000001</v>
      </c>
      <c r="M1997" s="262">
        <v>9.5499251740000002</v>
      </c>
      <c r="N1997" s="262">
        <v>9.5499251740000002</v>
      </c>
    </row>
    <row r="1998" spans="1:14" x14ac:dyDescent="0.25">
      <c r="A1998" s="262">
        <v>38079</v>
      </c>
      <c r="B1998" s="262" t="s">
        <v>1383</v>
      </c>
      <c r="C1998" s="262" t="s">
        <v>1406</v>
      </c>
      <c r="D1998" s="262">
        <v>-99.842469800000003</v>
      </c>
      <c r="E1998" s="262">
        <v>48.774990000000003</v>
      </c>
      <c r="M1998" s="262">
        <v>9.0562597910000004</v>
      </c>
      <c r="N1998" s="262">
        <v>9.0562597910000004</v>
      </c>
    </row>
    <row r="1999" spans="1:14" x14ac:dyDescent="0.25">
      <c r="A1999" s="262">
        <v>38081</v>
      </c>
      <c r="B1999" s="262" t="s">
        <v>1383</v>
      </c>
      <c r="C1999" s="262" t="s">
        <v>1407</v>
      </c>
      <c r="D1999" s="262">
        <v>-97.623619399999995</v>
      </c>
      <c r="E1999" s="262">
        <v>46.109569999999998</v>
      </c>
      <c r="M1999" s="262">
        <v>9.7433665569999999</v>
      </c>
      <c r="N1999" s="262">
        <v>9.7433665569999999</v>
      </c>
    </row>
    <row r="2000" spans="1:14" x14ac:dyDescent="0.25">
      <c r="A2000" s="262">
        <v>38083</v>
      </c>
      <c r="B2000" s="262" t="s">
        <v>1383</v>
      </c>
      <c r="C2000" s="262" t="s">
        <v>772</v>
      </c>
      <c r="D2000" s="262">
        <v>-100.338174</v>
      </c>
      <c r="E2000" s="262">
        <v>47.577660000000002</v>
      </c>
      <c r="M2000" s="262">
        <v>9.1297808519999997</v>
      </c>
      <c r="N2000" s="262">
        <v>9.1297808519999997</v>
      </c>
    </row>
    <row r="2001" spans="1:14" x14ac:dyDescent="0.25">
      <c r="A2001" s="262">
        <v>38085</v>
      </c>
      <c r="B2001" s="262" t="s">
        <v>1383</v>
      </c>
      <c r="C2001" s="262" t="s">
        <v>711</v>
      </c>
      <c r="D2001" s="262">
        <v>-101.03400000000001</v>
      </c>
      <c r="E2001" s="262">
        <v>46.110810000000001</v>
      </c>
      <c r="M2001" s="262">
        <v>9.693235906</v>
      </c>
      <c r="N2001" s="262">
        <v>9.693235906</v>
      </c>
    </row>
    <row r="2002" spans="1:14" x14ac:dyDescent="0.25">
      <c r="A2002" s="262">
        <v>38087</v>
      </c>
      <c r="B2002" s="262" t="s">
        <v>1383</v>
      </c>
      <c r="C2002" s="262" t="s">
        <v>1408</v>
      </c>
      <c r="D2002" s="262">
        <v>-103.454341</v>
      </c>
      <c r="E2002" s="262">
        <v>46.445279999999997</v>
      </c>
      <c r="M2002" s="262">
        <v>9.7330604530000002</v>
      </c>
      <c r="N2002" s="262">
        <v>9.7330604530000002</v>
      </c>
    </row>
    <row r="2003" spans="1:14" x14ac:dyDescent="0.25">
      <c r="A2003" s="262">
        <v>38089</v>
      </c>
      <c r="B2003" s="262" t="s">
        <v>1383</v>
      </c>
      <c r="C2003" s="262" t="s">
        <v>620</v>
      </c>
      <c r="D2003" s="262">
        <v>-102.652862</v>
      </c>
      <c r="E2003" s="262">
        <v>46.807630000000003</v>
      </c>
      <c r="M2003" s="262">
        <v>9.5704991639999992</v>
      </c>
      <c r="N2003" s="262">
        <v>9.5704991639999992</v>
      </c>
    </row>
    <row r="2004" spans="1:14" x14ac:dyDescent="0.25">
      <c r="A2004" s="262">
        <v>38091</v>
      </c>
      <c r="B2004" s="262" t="s">
        <v>1383</v>
      </c>
      <c r="C2004" s="262" t="s">
        <v>1062</v>
      </c>
      <c r="D2004" s="262">
        <v>-97.711622300000002</v>
      </c>
      <c r="E2004" s="262">
        <v>47.451549999999997</v>
      </c>
      <c r="M2004" s="262">
        <v>9.2536128120000001</v>
      </c>
      <c r="N2004" s="262">
        <v>9.2536128120000001</v>
      </c>
    </row>
    <row r="2005" spans="1:14" x14ac:dyDescent="0.25">
      <c r="A2005" s="262">
        <v>38093</v>
      </c>
      <c r="B2005" s="262" t="s">
        <v>1383</v>
      </c>
      <c r="C2005" s="262" t="s">
        <v>1409</v>
      </c>
      <c r="D2005" s="262">
        <v>-98.958238499999993</v>
      </c>
      <c r="E2005" s="262">
        <v>46.980429999999998</v>
      </c>
      <c r="M2005" s="262">
        <v>9.4309774409999996</v>
      </c>
      <c r="N2005" s="262">
        <v>9.4309774409999996</v>
      </c>
    </row>
    <row r="2006" spans="1:14" x14ac:dyDescent="0.25">
      <c r="A2006" s="262">
        <v>38095</v>
      </c>
      <c r="B2006" s="262" t="s">
        <v>1383</v>
      </c>
      <c r="C2006" s="262" t="s">
        <v>1410</v>
      </c>
      <c r="D2006" s="262">
        <v>-99.245726599999998</v>
      </c>
      <c r="E2006" s="262">
        <v>48.687060000000002</v>
      </c>
      <c r="M2006" s="262">
        <v>9.0839068340000004</v>
      </c>
      <c r="N2006" s="262">
        <v>9.0839068340000004</v>
      </c>
    </row>
    <row r="2007" spans="1:14" x14ac:dyDescent="0.25">
      <c r="A2007" s="262">
        <v>38097</v>
      </c>
      <c r="B2007" s="262" t="s">
        <v>1383</v>
      </c>
      <c r="C2007" s="262" t="s">
        <v>1411</v>
      </c>
      <c r="D2007" s="262">
        <v>-97.1499369</v>
      </c>
      <c r="E2007" s="262">
        <v>47.452869999999997</v>
      </c>
      <c r="M2007" s="262">
        <v>9.1817140829999992</v>
      </c>
      <c r="N2007" s="262">
        <v>9.1817140829999992</v>
      </c>
    </row>
    <row r="2008" spans="1:14" x14ac:dyDescent="0.25">
      <c r="A2008" s="262">
        <v>38099</v>
      </c>
      <c r="B2008" s="262" t="s">
        <v>1383</v>
      </c>
      <c r="C2008" s="262" t="s">
        <v>1412</v>
      </c>
      <c r="D2008" s="262">
        <v>-97.718557300000001</v>
      </c>
      <c r="E2008" s="262">
        <v>48.371360000000003</v>
      </c>
      <c r="M2008" s="262">
        <v>9.071686669</v>
      </c>
      <c r="N2008" s="262">
        <v>9.071686669</v>
      </c>
    </row>
    <row r="2009" spans="1:14" x14ac:dyDescent="0.25">
      <c r="A2009" s="262">
        <v>38101</v>
      </c>
      <c r="B2009" s="262" t="s">
        <v>1383</v>
      </c>
      <c r="C2009" s="262" t="s">
        <v>1413</v>
      </c>
      <c r="D2009" s="262">
        <v>-101.538113</v>
      </c>
      <c r="E2009" s="262">
        <v>48.221179999999997</v>
      </c>
      <c r="M2009" s="262">
        <v>9.0522062600000002</v>
      </c>
      <c r="N2009" s="262">
        <v>9.0522062600000002</v>
      </c>
    </row>
    <row r="2010" spans="1:14" x14ac:dyDescent="0.25">
      <c r="A2010" s="262">
        <v>38103</v>
      </c>
      <c r="B2010" s="262" t="s">
        <v>1383</v>
      </c>
      <c r="C2010" s="262" t="s">
        <v>670</v>
      </c>
      <c r="D2010" s="262">
        <v>-99.663471999999999</v>
      </c>
      <c r="E2010" s="262">
        <v>47.590150000000001</v>
      </c>
      <c r="M2010" s="262">
        <v>9.1946273709999993</v>
      </c>
      <c r="N2010" s="262">
        <v>9.1946273709999993</v>
      </c>
    </row>
    <row r="2011" spans="1:14" x14ac:dyDescent="0.25">
      <c r="A2011" s="262">
        <v>38105</v>
      </c>
      <c r="B2011" s="262" t="s">
        <v>1383</v>
      </c>
      <c r="C2011" s="262" t="s">
        <v>1414</v>
      </c>
      <c r="D2011" s="262">
        <v>-103.478656</v>
      </c>
      <c r="E2011" s="262">
        <v>48.342559999999999</v>
      </c>
      <c r="M2011" s="262">
        <v>9.437689786</v>
      </c>
      <c r="N2011" s="262">
        <v>9.437689786</v>
      </c>
    </row>
    <row r="2012" spans="1:14" x14ac:dyDescent="0.25">
      <c r="A2012" s="262">
        <v>39001</v>
      </c>
      <c r="B2012" s="262" t="s">
        <v>1415</v>
      </c>
      <c r="C2012" s="262" t="s">
        <v>312</v>
      </c>
      <c r="D2012" s="262">
        <v>-83.463590999999994</v>
      </c>
      <c r="E2012" s="262">
        <v>38.856619999999999</v>
      </c>
      <c r="M2012" s="262">
        <v>12.82815336</v>
      </c>
      <c r="N2012" s="262">
        <v>12.82815336</v>
      </c>
    </row>
    <row r="2013" spans="1:14" x14ac:dyDescent="0.25">
      <c r="A2013" s="262">
        <v>39003</v>
      </c>
      <c r="B2013" s="262" t="s">
        <v>1415</v>
      </c>
      <c r="C2013" s="262" t="s">
        <v>631</v>
      </c>
      <c r="D2013" s="262">
        <v>-84.108251199999998</v>
      </c>
      <c r="E2013" s="262">
        <v>40.77675</v>
      </c>
      <c r="M2013" s="262">
        <v>11.782689570000001</v>
      </c>
      <c r="N2013" s="262">
        <v>11.782689570000001</v>
      </c>
    </row>
    <row r="2014" spans="1:14" x14ac:dyDescent="0.25">
      <c r="A2014" s="262">
        <v>39005</v>
      </c>
      <c r="B2014" s="262" t="s">
        <v>1415</v>
      </c>
      <c r="C2014" s="262" t="s">
        <v>1416</v>
      </c>
      <c r="D2014" s="262">
        <v>-82.269219100000001</v>
      </c>
      <c r="E2014" s="262">
        <v>40.861220000000003</v>
      </c>
      <c r="M2014" s="262">
        <v>11.426721049999999</v>
      </c>
      <c r="N2014" s="262">
        <v>11.426721049999999</v>
      </c>
    </row>
    <row r="2015" spans="1:14" x14ac:dyDescent="0.25">
      <c r="A2015" s="262">
        <v>39007</v>
      </c>
      <c r="B2015" s="262" t="s">
        <v>1415</v>
      </c>
      <c r="C2015" s="262" t="s">
        <v>1417</v>
      </c>
      <c r="D2015" s="262">
        <v>-80.756465199999994</v>
      </c>
      <c r="E2015" s="262">
        <v>41.710169999999998</v>
      </c>
      <c r="M2015" s="262">
        <v>10.659311519999999</v>
      </c>
      <c r="N2015" s="262">
        <v>10.659311519999999</v>
      </c>
    </row>
    <row r="2016" spans="1:14" x14ac:dyDescent="0.25">
      <c r="A2016" s="262">
        <v>39009</v>
      </c>
      <c r="B2016" s="262" t="s">
        <v>1415</v>
      </c>
      <c r="C2016" s="262" t="s">
        <v>1418</v>
      </c>
      <c r="D2016" s="262">
        <v>-82.040525200000005</v>
      </c>
      <c r="E2016" s="262">
        <v>39.345759999999999</v>
      </c>
      <c r="M2016" s="262">
        <v>12.340574650000001</v>
      </c>
      <c r="N2016" s="262">
        <v>12.340574650000001</v>
      </c>
    </row>
    <row r="2017" spans="1:14" x14ac:dyDescent="0.25">
      <c r="A2017" s="262">
        <v>39011</v>
      </c>
      <c r="B2017" s="262" t="s">
        <v>1415</v>
      </c>
      <c r="C2017" s="262" t="s">
        <v>1419</v>
      </c>
      <c r="D2017" s="262">
        <v>-84.221918599999995</v>
      </c>
      <c r="E2017" s="262">
        <v>40.564210000000003</v>
      </c>
      <c r="M2017" s="262">
        <v>11.8920394</v>
      </c>
      <c r="N2017" s="262">
        <v>11.8920394</v>
      </c>
    </row>
    <row r="2018" spans="1:14" x14ac:dyDescent="0.25">
      <c r="A2018" s="262">
        <v>39013</v>
      </c>
      <c r="B2018" s="262" t="s">
        <v>1415</v>
      </c>
      <c r="C2018" s="262" t="s">
        <v>1420</v>
      </c>
      <c r="D2018" s="262">
        <v>-80.992092900000003</v>
      </c>
      <c r="E2018" s="262">
        <v>40.030320000000003</v>
      </c>
      <c r="M2018" s="262">
        <v>11.62995237</v>
      </c>
      <c r="N2018" s="262">
        <v>11.62995237</v>
      </c>
    </row>
    <row r="2019" spans="1:14" x14ac:dyDescent="0.25">
      <c r="A2019" s="262">
        <v>39015</v>
      </c>
      <c r="B2019" s="262" t="s">
        <v>1415</v>
      </c>
      <c r="C2019" s="262" t="s">
        <v>578</v>
      </c>
      <c r="D2019" s="262">
        <v>-83.868561600000007</v>
      </c>
      <c r="E2019" s="262">
        <v>38.938859999999998</v>
      </c>
      <c r="M2019" s="262">
        <v>12.826643410000001</v>
      </c>
      <c r="N2019" s="262">
        <v>12.826643410000001</v>
      </c>
    </row>
    <row r="2020" spans="1:14" x14ac:dyDescent="0.25">
      <c r="A2020" s="262">
        <v>39017</v>
      </c>
      <c r="B2020" s="262" t="s">
        <v>1415</v>
      </c>
      <c r="C2020" s="262" t="s">
        <v>119</v>
      </c>
      <c r="D2020" s="262">
        <v>-84.574262599999997</v>
      </c>
      <c r="E2020" s="262">
        <v>39.446510000000004</v>
      </c>
      <c r="M2020" s="262">
        <v>12.67441737</v>
      </c>
      <c r="N2020" s="262">
        <v>12.67441737</v>
      </c>
    </row>
    <row r="2021" spans="1:14" x14ac:dyDescent="0.25">
      <c r="A2021" s="262">
        <v>39019</v>
      </c>
      <c r="B2021" s="262" t="s">
        <v>1415</v>
      </c>
      <c r="C2021" s="262" t="s">
        <v>203</v>
      </c>
      <c r="D2021" s="262">
        <v>-81.083060700000004</v>
      </c>
      <c r="E2021" s="262">
        <v>40.593029999999999</v>
      </c>
      <c r="M2021" s="262">
        <v>11.41187452</v>
      </c>
      <c r="N2021" s="262">
        <v>11.41187452</v>
      </c>
    </row>
    <row r="2022" spans="1:14" x14ac:dyDescent="0.25">
      <c r="A2022" s="262">
        <v>39021</v>
      </c>
      <c r="B2022" s="262" t="s">
        <v>1415</v>
      </c>
      <c r="C2022" s="262" t="s">
        <v>581</v>
      </c>
      <c r="D2022" s="262">
        <v>-83.767086199999994</v>
      </c>
      <c r="E2022" s="262">
        <v>40.14705</v>
      </c>
      <c r="M2022" s="262">
        <v>12.068291520000001</v>
      </c>
      <c r="N2022" s="262">
        <v>12.068291520000001</v>
      </c>
    </row>
    <row r="2023" spans="1:14" x14ac:dyDescent="0.25">
      <c r="A2023" s="262">
        <v>39023</v>
      </c>
      <c r="B2023" s="262" t="s">
        <v>1415</v>
      </c>
      <c r="C2023" s="262" t="s">
        <v>205</v>
      </c>
      <c r="D2023" s="262">
        <v>-83.785537000000005</v>
      </c>
      <c r="E2023" s="262">
        <v>39.922930000000001</v>
      </c>
      <c r="M2023" s="262">
        <v>12.17184559</v>
      </c>
      <c r="N2023" s="262">
        <v>12.17184559</v>
      </c>
    </row>
    <row r="2024" spans="1:14" x14ac:dyDescent="0.25">
      <c r="A2024" s="262">
        <v>39025</v>
      </c>
      <c r="B2024" s="262" t="s">
        <v>1415</v>
      </c>
      <c r="C2024" s="262" t="s">
        <v>1421</v>
      </c>
      <c r="D2024" s="262">
        <v>-84.151636100000005</v>
      </c>
      <c r="E2024" s="262">
        <v>39.05968</v>
      </c>
      <c r="M2024" s="262">
        <v>12.811623600000001</v>
      </c>
      <c r="N2024" s="262">
        <v>12.811623600000001</v>
      </c>
    </row>
    <row r="2025" spans="1:14" x14ac:dyDescent="0.25">
      <c r="A2025" s="262">
        <v>39027</v>
      </c>
      <c r="B2025" s="262" t="s">
        <v>1415</v>
      </c>
      <c r="C2025" s="262" t="s">
        <v>583</v>
      </c>
      <c r="D2025" s="262">
        <v>-83.806792900000005</v>
      </c>
      <c r="E2025" s="262">
        <v>39.423940000000002</v>
      </c>
      <c r="M2025" s="262">
        <v>12.462444809999999</v>
      </c>
      <c r="N2025" s="262">
        <v>12.462444809999999</v>
      </c>
    </row>
    <row r="2026" spans="1:14" x14ac:dyDescent="0.25">
      <c r="A2026" s="262">
        <v>39029</v>
      </c>
      <c r="B2026" s="262" t="s">
        <v>1415</v>
      </c>
      <c r="C2026" s="262" t="s">
        <v>1422</v>
      </c>
      <c r="D2026" s="262">
        <v>-80.772490300000001</v>
      </c>
      <c r="E2026" s="262">
        <v>40.78219</v>
      </c>
      <c r="M2026" s="262">
        <v>11.29933355</v>
      </c>
      <c r="N2026" s="262">
        <v>11.29933355</v>
      </c>
    </row>
    <row r="2027" spans="1:14" x14ac:dyDescent="0.25">
      <c r="A2027" s="262">
        <v>39031</v>
      </c>
      <c r="B2027" s="262" t="s">
        <v>1415</v>
      </c>
      <c r="C2027" s="262" t="s">
        <v>1423</v>
      </c>
      <c r="D2027" s="262">
        <v>-81.919652400000004</v>
      </c>
      <c r="E2027" s="262">
        <v>40.316189999999999</v>
      </c>
      <c r="M2027" s="262">
        <v>11.67681902</v>
      </c>
      <c r="N2027" s="262">
        <v>11.67681902</v>
      </c>
    </row>
    <row r="2028" spans="1:14" x14ac:dyDescent="0.25">
      <c r="A2028" s="262">
        <v>39033</v>
      </c>
      <c r="B2028" s="262" t="s">
        <v>1415</v>
      </c>
      <c r="C2028" s="262" t="s">
        <v>210</v>
      </c>
      <c r="D2028" s="262">
        <v>-82.915144299999994</v>
      </c>
      <c r="E2028" s="262">
        <v>40.861130000000003</v>
      </c>
      <c r="M2028" s="262">
        <v>11.618884230000001</v>
      </c>
      <c r="N2028" s="262">
        <v>11.618884230000001</v>
      </c>
    </row>
    <row r="2029" spans="1:14" x14ac:dyDescent="0.25">
      <c r="A2029" s="262">
        <v>39035</v>
      </c>
      <c r="B2029" s="262" t="s">
        <v>1415</v>
      </c>
      <c r="C2029" s="262" t="s">
        <v>1424</v>
      </c>
      <c r="D2029" s="262">
        <v>-81.6542484</v>
      </c>
      <c r="E2029" s="262">
        <v>41.438189999999999</v>
      </c>
      <c r="M2029" s="262">
        <v>10.9993018</v>
      </c>
      <c r="N2029" s="262">
        <v>10.9993018</v>
      </c>
    </row>
    <row r="2030" spans="1:14" x14ac:dyDescent="0.25">
      <c r="A2030" s="262">
        <v>39037</v>
      </c>
      <c r="B2030" s="262" t="s">
        <v>1415</v>
      </c>
      <c r="C2030" s="262" t="s">
        <v>1425</v>
      </c>
      <c r="D2030" s="262">
        <v>-84.624881700000003</v>
      </c>
      <c r="E2030" s="262">
        <v>40.137129999999999</v>
      </c>
      <c r="M2030" s="262">
        <v>12.1776713</v>
      </c>
      <c r="N2030" s="262">
        <v>12.1776713</v>
      </c>
    </row>
    <row r="2031" spans="1:14" x14ac:dyDescent="0.25">
      <c r="A2031" s="262">
        <v>39039</v>
      </c>
      <c r="B2031" s="262" t="s">
        <v>1415</v>
      </c>
      <c r="C2031" s="262" t="s">
        <v>1426</v>
      </c>
      <c r="D2031" s="262">
        <v>-84.494432399999994</v>
      </c>
      <c r="E2031" s="262">
        <v>41.329160000000002</v>
      </c>
      <c r="M2031" s="262">
        <v>11.404250579999999</v>
      </c>
      <c r="N2031" s="262">
        <v>11.404250579999999</v>
      </c>
    </row>
    <row r="2032" spans="1:14" x14ac:dyDescent="0.25">
      <c r="A2032" s="262">
        <v>39041</v>
      </c>
      <c r="B2032" s="262" t="s">
        <v>1415</v>
      </c>
      <c r="C2032" s="262" t="s">
        <v>636</v>
      </c>
      <c r="D2032" s="262">
        <v>-82.993484199999997</v>
      </c>
      <c r="E2032" s="262">
        <v>40.288269999999997</v>
      </c>
      <c r="M2032" s="262">
        <v>11.919737400000001</v>
      </c>
      <c r="N2032" s="262">
        <v>11.919737400000001</v>
      </c>
    </row>
    <row r="2033" spans="1:14" x14ac:dyDescent="0.25">
      <c r="A2033" s="262">
        <v>39043</v>
      </c>
      <c r="B2033" s="262" t="s">
        <v>1415</v>
      </c>
      <c r="C2033" s="262" t="s">
        <v>1296</v>
      </c>
      <c r="D2033" s="262">
        <v>-82.624861100000004</v>
      </c>
      <c r="E2033" s="262">
        <v>41.3782</v>
      </c>
      <c r="M2033" s="262">
        <v>11.246948700000001</v>
      </c>
      <c r="N2033" s="262">
        <v>11.246948700000001</v>
      </c>
    </row>
    <row r="2034" spans="1:14" x14ac:dyDescent="0.25">
      <c r="A2034" s="262">
        <v>39045</v>
      </c>
      <c r="B2034" s="262" t="s">
        <v>1415</v>
      </c>
      <c r="C2034" s="262" t="s">
        <v>368</v>
      </c>
      <c r="D2034" s="262">
        <v>-82.621206999999998</v>
      </c>
      <c r="E2034" s="262">
        <v>39.756920000000001</v>
      </c>
      <c r="M2034" s="262">
        <v>12.18621896</v>
      </c>
      <c r="N2034" s="262">
        <v>12.18621896</v>
      </c>
    </row>
    <row r="2035" spans="1:14" x14ac:dyDescent="0.25">
      <c r="A2035" s="262">
        <v>39047</v>
      </c>
      <c r="B2035" s="262" t="s">
        <v>1415</v>
      </c>
      <c r="C2035" s="262" t="s">
        <v>141</v>
      </c>
      <c r="D2035" s="262">
        <v>-83.447459300000006</v>
      </c>
      <c r="E2035" s="262">
        <v>39.565179999999998</v>
      </c>
      <c r="M2035" s="262">
        <v>12.36762959</v>
      </c>
      <c r="N2035" s="262">
        <v>12.36762959</v>
      </c>
    </row>
    <row r="2036" spans="1:14" x14ac:dyDescent="0.25">
      <c r="A2036" s="262">
        <v>39049</v>
      </c>
      <c r="B2036" s="262" t="s">
        <v>1415</v>
      </c>
      <c r="C2036" s="262" t="s">
        <v>142</v>
      </c>
      <c r="D2036" s="262">
        <v>-82.999450199999998</v>
      </c>
      <c r="E2036" s="262">
        <v>39.977469999999997</v>
      </c>
      <c r="M2036" s="262">
        <v>12.105482370000001</v>
      </c>
      <c r="N2036" s="262">
        <v>12.105482370000001</v>
      </c>
    </row>
    <row r="2037" spans="1:14" x14ac:dyDescent="0.25">
      <c r="A2037" s="262">
        <v>39051</v>
      </c>
      <c r="B2037" s="262" t="s">
        <v>1415</v>
      </c>
      <c r="C2037" s="262" t="s">
        <v>216</v>
      </c>
      <c r="D2037" s="262">
        <v>-84.132178499999995</v>
      </c>
      <c r="E2037" s="262">
        <v>41.613860000000003</v>
      </c>
      <c r="M2037" s="262">
        <v>11.208688710000001</v>
      </c>
      <c r="N2037" s="262">
        <v>11.208688710000001</v>
      </c>
    </row>
    <row r="2038" spans="1:14" x14ac:dyDescent="0.25">
      <c r="A2038" s="262">
        <v>39053</v>
      </c>
      <c r="B2038" s="262" t="s">
        <v>1415</v>
      </c>
      <c r="C2038" s="262" t="s">
        <v>1427</v>
      </c>
      <c r="D2038" s="262">
        <v>-82.320710300000002</v>
      </c>
      <c r="E2038" s="262">
        <v>38.838819999999998</v>
      </c>
      <c r="M2038" s="262">
        <v>12.76650648</v>
      </c>
      <c r="N2038" s="262">
        <v>12.76650648</v>
      </c>
    </row>
    <row r="2039" spans="1:14" x14ac:dyDescent="0.25">
      <c r="A2039" s="262">
        <v>39055</v>
      </c>
      <c r="B2039" s="262" t="s">
        <v>1415</v>
      </c>
      <c r="C2039" s="262" t="s">
        <v>1428</v>
      </c>
      <c r="D2039" s="262">
        <v>-81.179830699999997</v>
      </c>
      <c r="E2039" s="262">
        <v>41.51811</v>
      </c>
      <c r="M2039" s="262">
        <v>10.883767539999999</v>
      </c>
      <c r="N2039" s="262">
        <v>10.883767539999999</v>
      </c>
    </row>
    <row r="2040" spans="1:14" x14ac:dyDescent="0.25">
      <c r="A2040" s="262">
        <v>39057</v>
      </c>
      <c r="B2040" s="262" t="s">
        <v>1415</v>
      </c>
      <c r="C2040" s="262" t="s">
        <v>144</v>
      </c>
      <c r="D2040" s="262">
        <v>-83.888622999999995</v>
      </c>
      <c r="E2040" s="262">
        <v>39.696579999999997</v>
      </c>
      <c r="M2040" s="262">
        <v>12.28537637</v>
      </c>
      <c r="N2040" s="262">
        <v>12.28537637</v>
      </c>
    </row>
    <row r="2041" spans="1:14" x14ac:dyDescent="0.25">
      <c r="A2041" s="262">
        <v>39059</v>
      </c>
      <c r="B2041" s="262" t="s">
        <v>1415</v>
      </c>
      <c r="C2041" s="262" t="s">
        <v>1429</v>
      </c>
      <c r="D2041" s="262">
        <v>-81.489559799999995</v>
      </c>
      <c r="E2041" s="262">
        <v>40.06532</v>
      </c>
      <c r="M2041" s="262">
        <v>11.73146519</v>
      </c>
      <c r="N2041" s="262">
        <v>11.73146519</v>
      </c>
    </row>
    <row r="2042" spans="1:14" x14ac:dyDescent="0.25">
      <c r="A2042" s="262">
        <v>39061</v>
      </c>
      <c r="B2042" s="262" t="s">
        <v>1415</v>
      </c>
      <c r="C2042" s="262" t="s">
        <v>400</v>
      </c>
      <c r="D2042" s="262">
        <v>-84.545805599999994</v>
      </c>
      <c r="E2042" s="262">
        <v>39.20093</v>
      </c>
      <c r="M2042" s="262">
        <v>12.841290989999999</v>
      </c>
      <c r="N2042" s="262">
        <v>12.841290989999999</v>
      </c>
    </row>
    <row r="2043" spans="1:14" x14ac:dyDescent="0.25">
      <c r="A2043" s="262">
        <v>39063</v>
      </c>
      <c r="B2043" s="262" t="s">
        <v>1415</v>
      </c>
      <c r="C2043" s="262" t="s">
        <v>484</v>
      </c>
      <c r="D2043" s="262">
        <v>-83.667192099999994</v>
      </c>
      <c r="E2043" s="262">
        <v>41.011150000000001</v>
      </c>
      <c r="M2043" s="262">
        <v>11.66949921</v>
      </c>
      <c r="N2043" s="262">
        <v>11.66949921</v>
      </c>
    </row>
    <row r="2044" spans="1:14" x14ac:dyDescent="0.25">
      <c r="A2044" s="262">
        <v>39065</v>
      </c>
      <c r="B2044" s="262" t="s">
        <v>1415</v>
      </c>
      <c r="C2044" s="262" t="s">
        <v>593</v>
      </c>
      <c r="D2044" s="262">
        <v>-83.658004199999993</v>
      </c>
      <c r="E2044" s="262">
        <v>40.671669999999999</v>
      </c>
      <c r="M2044" s="262">
        <v>11.824737109999999</v>
      </c>
      <c r="N2044" s="262">
        <v>11.824737109999999</v>
      </c>
    </row>
    <row r="2045" spans="1:14" x14ac:dyDescent="0.25">
      <c r="A2045" s="262">
        <v>39067</v>
      </c>
      <c r="B2045" s="262" t="s">
        <v>1415</v>
      </c>
      <c r="C2045" s="262" t="s">
        <v>641</v>
      </c>
      <c r="D2045" s="262">
        <v>-81.084779900000001</v>
      </c>
      <c r="E2045" s="262">
        <v>40.310049999999997</v>
      </c>
      <c r="M2045" s="262">
        <v>11.542382999999999</v>
      </c>
      <c r="N2045" s="262">
        <v>11.542382999999999</v>
      </c>
    </row>
    <row r="2046" spans="1:14" x14ac:dyDescent="0.25">
      <c r="A2046" s="262">
        <v>39069</v>
      </c>
      <c r="B2046" s="262" t="s">
        <v>1415</v>
      </c>
      <c r="C2046" s="262" t="s">
        <v>146</v>
      </c>
      <c r="D2046" s="262">
        <v>-84.072501399999993</v>
      </c>
      <c r="E2046" s="262">
        <v>41.338239999999999</v>
      </c>
      <c r="M2046" s="262">
        <v>11.43629396</v>
      </c>
      <c r="N2046" s="262">
        <v>11.43629396</v>
      </c>
    </row>
    <row r="2047" spans="1:14" x14ac:dyDescent="0.25">
      <c r="A2047" s="262">
        <v>39071</v>
      </c>
      <c r="B2047" s="262" t="s">
        <v>1415</v>
      </c>
      <c r="C2047" s="262" t="s">
        <v>1430</v>
      </c>
      <c r="D2047" s="262">
        <v>-83.607821400000006</v>
      </c>
      <c r="E2047" s="262">
        <v>39.18994</v>
      </c>
      <c r="M2047" s="262">
        <v>12.612904479999999</v>
      </c>
      <c r="N2047" s="262">
        <v>12.612904479999999</v>
      </c>
    </row>
    <row r="2048" spans="1:14" x14ac:dyDescent="0.25">
      <c r="A2048" s="262">
        <v>39073</v>
      </c>
      <c r="B2048" s="262" t="s">
        <v>1415</v>
      </c>
      <c r="C2048" s="262" t="s">
        <v>1431</v>
      </c>
      <c r="D2048" s="262">
        <v>-82.469865799999994</v>
      </c>
      <c r="E2048" s="262">
        <v>39.506990000000002</v>
      </c>
      <c r="M2048" s="262">
        <v>12.31840088</v>
      </c>
      <c r="N2048" s="262">
        <v>12.31840088</v>
      </c>
    </row>
    <row r="2049" spans="1:14" x14ac:dyDescent="0.25">
      <c r="A2049" s="262">
        <v>39075</v>
      </c>
      <c r="B2049" s="262" t="s">
        <v>1415</v>
      </c>
      <c r="C2049" s="262" t="s">
        <v>406</v>
      </c>
      <c r="D2049" s="262">
        <v>-81.924965</v>
      </c>
      <c r="E2049" s="262">
        <v>40.573560000000001</v>
      </c>
      <c r="M2049" s="262">
        <v>11.52646667</v>
      </c>
      <c r="N2049" s="262">
        <v>11.52646667</v>
      </c>
    </row>
    <row r="2050" spans="1:14" x14ac:dyDescent="0.25">
      <c r="A2050" s="262">
        <v>39077</v>
      </c>
      <c r="B2050" s="262" t="s">
        <v>1415</v>
      </c>
      <c r="C2050" s="262" t="s">
        <v>970</v>
      </c>
      <c r="D2050" s="262">
        <v>-82.599269800000002</v>
      </c>
      <c r="E2050" s="262">
        <v>41.162669999999999</v>
      </c>
      <c r="M2050" s="262">
        <v>11.3699648</v>
      </c>
      <c r="N2050" s="262">
        <v>11.3699648</v>
      </c>
    </row>
    <row r="2051" spans="1:14" x14ac:dyDescent="0.25">
      <c r="A2051" s="262">
        <v>39079</v>
      </c>
      <c r="B2051" s="262" t="s">
        <v>1415</v>
      </c>
      <c r="C2051" s="262" t="s">
        <v>148</v>
      </c>
      <c r="D2051" s="262">
        <v>-82.609883600000003</v>
      </c>
      <c r="E2051" s="262">
        <v>39.036250000000003</v>
      </c>
      <c r="M2051" s="262">
        <v>12.66496895</v>
      </c>
      <c r="N2051" s="262">
        <v>12.66496895</v>
      </c>
    </row>
    <row r="2052" spans="1:14" x14ac:dyDescent="0.25">
      <c r="A2052" s="262">
        <v>39081</v>
      </c>
      <c r="B2052" s="262" t="s">
        <v>1415</v>
      </c>
      <c r="C2052" s="262" t="s">
        <v>149</v>
      </c>
      <c r="D2052" s="262">
        <v>-80.760257800000005</v>
      </c>
      <c r="E2052" s="262">
        <v>40.396990000000002</v>
      </c>
      <c r="M2052" s="262">
        <v>11.48695107</v>
      </c>
      <c r="N2052" s="262">
        <v>11.48695107</v>
      </c>
    </row>
    <row r="2053" spans="1:14" x14ac:dyDescent="0.25">
      <c r="A2053" s="262">
        <v>39083</v>
      </c>
      <c r="B2053" s="262" t="s">
        <v>1415</v>
      </c>
      <c r="C2053" s="262" t="s">
        <v>601</v>
      </c>
      <c r="D2053" s="262">
        <v>-82.414340600000003</v>
      </c>
      <c r="E2053" s="262">
        <v>40.413460000000001</v>
      </c>
      <c r="M2053" s="262">
        <v>11.710712150000001</v>
      </c>
      <c r="N2053" s="262">
        <v>11.710712150000001</v>
      </c>
    </row>
    <row r="2054" spans="1:14" x14ac:dyDescent="0.25">
      <c r="A2054" s="262">
        <v>39085</v>
      </c>
      <c r="B2054" s="262" t="s">
        <v>1415</v>
      </c>
      <c r="C2054" s="262" t="s">
        <v>271</v>
      </c>
      <c r="D2054" s="262">
        <v>-81.233314300000004</v>
      </c>
      <c r="E2054" s="262">
        <v>41.713039999999999</v>
      </c>
      <c r="M2054" s="262">
        <v>10.7550828</v>
      </c>
      <c r="N2054" s="262">
        <v>10.7550828</v>
      </c>
    </row>
    <row r="2055" spans="1:14" x14ac:dyDescent="0.25">
      <c r="A2055" s="262">
        <v>39087</v>
      </c>
      <c r="B2055" s="262" t="s">
        <v>1415</v>
      </c>
      <c r="C2055" s="262" t="s">
        <v>152</v>
      </c>
      <c r="D2055" s="262">
        <v>-82.534321800000001</v>
      </c>
      <c r="E2055" s="262">
        <v>38.618009999999998</v>
      </c>
      <c r="M2055" s="262">
        <v>12.94349384</v>
      </c>
      <c r="N2055" s="262">
        <v>12.94349384</v>
      </c>
    </row>
    <row r="2056" spans="1:14" x14ac:dyDescent="0.25">
      <c r="A2056" s="262">
        <v>39089</v>
      </c>
      <c r="B2056" s="262" t="s">
        <v>1415</v>
      </c>
      <c r="C2056" s="262" t="s">
        <v>1432</v>
      </c>
      <c r="D2056" s="262">
        <v>-82.477546899999993</v>
      </c>
      <c r="E2056" s="262">
        <v>40.101590000000002</v>
      </c>
      <c r="M2056" s="262">
        <v>11.935491750000001</v>
      </c>
      <c r="N2056" s="262">
        <v>11.935491750000001</v>
      </c>
    </row>
    <row r="2057" spans="1:14" x14ac:dyDescent="0.25">
      <c r="A2057" s="262">
        <v>39091</v>
      </c>
      <c r="B2057" s="262" t="s">
        <v>1415</v>
      </c>
      <c r="C2057" s="262" t="s">
        <v>228</v>
      </c>
      <c r="D2057" s="262">
        <v>-83.764403299999998</v>
      </c>
      <c r="E2057" s="262">
        <v>40.397869999999998</v>
      </c>
      <c r="M2057" s="262">
        <v>11.95469057</v>
      </c>
      <c r="N2057" s="262">
        <v>11.95469057</v>
      </c>
    </row>
    <row r="2058" spans="1:14" x14ac:dyDescent="0.25">
      <c r="A2058" s="262">
        <v>39093</v>
      </c>
      <c r="B2058" s="262" t="s">
        <v>1415</v>
      </c>
      <c r="C2058" s="262" t="s">
        <v>1433</v>
      </c>
      <c r="D2058" s="262">
        <v>-82.152267399999999</v>
      </c>
      <c r="E2058" s="262">
        <v>41.302230000000002</v>
      </c>
      <c r="M2058" s="262">
        <v>11.176736010000001</v>
      </c>
      <c r="N2058" s="262">
        <v>11.176736010000001</v>
      </c>
    </row>
    <row r="2059" spans="1:14" x14ac:dyDescent="0.25">
      <c r="A2059" s="262">
        <v>39095</v>
      </c>
      <c r="B2059" s="262" t="s">
        <v>1415</v>
      </c>
      <c r="C2059" s="262" t="s">
        <v>696</v>
      </c>
      <c r="D2059" s="262">
        <v>-83.662653800000001</v>
      </c>
      <c r="E2059" s="262">
        <v>41.633809999999997</v>
      </c>
      <c r="M2059" s="262">
        <v>11.261417659999999</v>
      </c>
      <c r="N2059" s="262">
        <v>11.261417659999999</v>
      </c>
    </row>
    <row r="2060" spans="1:14" x14ac:dyDescent="0.25">
      <c r="A2060" s="262">
        <v>39097</v>
      </c>
      <c r="B2060" s="262" t="s">
        <v>1415</v>
      </c>
      <c r="C2060" s="262" t="s">
        <v>157</v>
      </c>
      <c r="D2060" s="262">
        <v>-83.399942300000006</v>
      </c>
      <c r="E2060" s="262">
        <v>39.896999999999998</v>
      </c>
      <c r="M2060" s="262">
        <v>12.186198109999999</v>
      </c>
      <c r="N2060" s="262">
        <v>12.186198109999999</v>
      </c>
    </row>
    <row r="2061" spans="1:14" x14ac:dyDescent="0.25">
      <c r="A2061" s="262">
        <v>39099</v>
      </c>
      <c r="B2061" s="262" t="s">
        <v>1415</v>
      </c>
      <c r="C2061" s="262" t="s">
        <v>1434</v>
      </c>
      <c r="D2061" s="262">
        <v>-80.775073399999997</v>
      </c>
      <c r="E2061" s="262">
        <v>41.023029999999999</v>
      </c>
      <c r="M2061" s="262">
        <v>11.144056519999999</v>
      </c>
      <c r="N2061" s="262">
        <v>11.144056519999999</v>
      </c>
    </row>
    <row r="2062" spans="1:14" x14ac:dyDescent="0.25">
      <c r="A2062" s="262">
        <v>39101</v>
      </c>
      <c r="B2062" s="262" t="s">
        <v>1415</v>
      </c>
      <c r="C2062" s="262" t="s">
        <v>159</v>
      </c>
      <c r="D2062" s="262">
        <v>-83.1575287</v>
      </c>
      <c r="E2062" s="262">
        <v>40.59704</v>
      </c>
      <c r="M2062" s="262">
        <v>11.80105539</v>
      </c>
      <c r="N2062" s="262">
        <v>11.80105539</v>
      </c>
    </row>
    <row r="2063" spans="1:14" x14ac:dyDescent="0.25">
      <c r="A2063" s="262">
        <v>39103</v>
      </c>
      <c r="B2063" s="262" t="s">
        <v>1415</v>
      </c>
      <c r="C2063" s="262" t="s">
        <v>1435</v>
      </c>
      <c r="D2063" s="262">
        <v>-81.892194700000005</v>
      </c>
      <c r="E2063" s="262">
        <v>41.133940000000003</v>
      </c>
      <c r="M2063" s="262">
        <v>11.22107755</v>
      </c>
      <c r="N2063" s="262">
        <v>11.22107755</v>
      </c>
    </row>
    <row r="2064" spans="1:14" x14ac:dyDescent="0.25">
      <c r="A2064" s="262">
        <v>39105</v>
      </c>
      <c r="B2064" s="262" t="s">
        <v>1415</v>
      </c>
      <c r="C2064" s="262" t="s">
        <v>1436</v>
      </c>
      <c r="D2064" s="262">
        <v>-82.023973999999995</v>
      </c>
      <c r="E2064" s="262">
        <v>39.09337</v>
      </c>
      <c r="M2064" s="262">
        <v>12.511369970000001</v>
      </c>
      <c r="N2064" s="262">
        <v>12.511369970000001</v>
      </c>
    </row>
    <row r="2065" spans="1:14" x14ac:dyDescent="0.25">
      <c r="A2065" s="262">
        <v>39107</v>
      </c>
      <c r="B2065" s="262" t="s">
        <v>1415</v>
      </c>
      <c r="C2065" s="262" t="s">
        <v>611</v>
      </c>
      <c r="D2065" s="262">
        <v>-84.637758000000005</v>
      </c>
      <c r="E2065" s="262">
        <v>40.543500000000002</v>
      </c>
      <c r="M2065" s="262">
        <v>11.926994730000001</v>
      </c>
      <c r="N2065" s="262">
        <v>11.926994730000001</v>
      </c>
    </row>
    <row r="2066" spans="1:14" x14ac:dyDescent="0.25">
      <c r="A2066" s="262">
        <v>39109</v>
      </c>
      <c r="B2066" s="262" t="s">
        <v>1415</v>
      </c>
      <c r="C2066" s="262" t="s">
        <v>649</v>
      </c>
      <c r="D2066" s="262">
        <v>-84.228394199999997</v>
      </c>
      <c r="E2066" s="262">
        <v>40.05959</v>
      </c>
      <c r="M2066" s="262">
        <v>12.15286641</v>
      </c>
      <c r="N2066" s="262">
        <v>12.15286641</v>
      </c>
    </row>
    <row r="2067" spans="1:14" x14ac:dyDescent="0.25">
      <c r="A2067" s="262">
        <v>39111</v>
      </c>
      <c r="B2067" s="262" t="s">
        <v>1415</v>
      </c>
      <c r="C2067" s="262" t="s">
        <v>162</v>
      </c>
      <c r="D2067" s="262">
        <v>-81.080757500000004</v>
      </c>
      <c r="E2067" s="262">
        <v>39.741570000000003</v>
      </c>
      <c r="M2067" s="262">
        <v>11.750028159999999</v>
      </c>
      <c r="N2067" s="262">
        <v>11.750028159999999</v>
      </c>
    </row>
    <row r="2068" spans="1:14" x14ac:dyDescent="0.25">
      <c r="A2068" s="262">
        <v>39113</v>
      </c>
      <c r="B2068" s="262" t="s">
        <v>1415</v>
      </c>
      <c r="C2068" s="262" t="s">
        <v>163</v>
      </c>
      <c r="D2068" s="262">
        <v>-84.295839400000006</v>
      </c>
      <c r="E2068" s="262">
        <v>39.762360000000001</v>
      </c>
      <c r="M2068" s="262">
        <v>12.32612726</v>
      </c>
      <c r="N2068" s="262">
        <v>12.32612726</v>
      </c>
    </row>
    <row r="2069" spans="1:14" x14ac:dyDescent="0.25">
      <c r="A2069" s="262">
        <v>39115</v>
      </c>
      <c r="B2069" s="262" t="s">
        <v>1415</v>
      </c>
      <c r="C2069" s="262" t="s">
        <v>164</v>
      </c>
      <c r="D2069" s="262">
        <v>-81.853492299999999</v>
      </c>
      <c r="E2069" s="262">
        <v>39.634590000000003</v>
      </c>
      <c r="M2069" s="262">
        <v>12.08703983</v>
      </c>
      <c r="N2069" s="262">
        <v>12.08703983</v>
      </c>
    </row>
    <row r="2070" spans="1:14" x14ac:dyDescent="0.25">
      <c r="A2070" s="262">
        <v>39117</v>
      </c>
      <c r="B2070" s="262" t="s">
        <v>1415</v>
      </c>
      <c r="C2070" s="262" t="s">
        <v>1437</v>
      </c>
      <c r="D2070" s="262">
        <v>-82.784866399999999</v>
      </c>
      <c r="E2070" s="262">
        <v>40.540790000000001</v>
      </c>
      <c r="M2070" s="262">
        <v>11.73063426</v>
      </c>
      <c r="N2070" s="262">
        <v>11.73063426</v>
      </c>
    </row>
    <row r="2071" spans="1:14" x14ac:dyDescent="0.25">
      <c r="A2071" s="262">
        <v>39119</v>
      </c>
      <c r="B2071" s="262" t="s">
        <v>1415</v>
      </c>
      <c r="C2071" s="262" t="s">
        <v>1438</v>
      </c>
      <c r="D2071" s="262">
        <v>-81.946984299999997</v>
      </c>
      <c r="E2071" s="262">
        <v>39.979129999999998</v>
      </c>
      <c r="M2071" s="262">
        <v>11.884238180000001</v>
      </c>
      <c r="N2071" s="262">
        <v>11.884238180000001</v>
      </c>
    </row>
    <row r="2072" spans="1:14" x14ac:dyDescent="0.25">
      <c r="A2072" s="262">
        <v>39121</v>
      </c>
      <c r="B2072" s="262" t="s">
        <v>1415</v>
      </c>
      <c r="C2072" s="262" t="s">
        <v>650</v>
      </c>
      <c r="D2072" s="262">
        <v>-81.452300100000002</v>
      </c>
      <c r="E2072" s="262">
        <v>39.779870000000003</v>
      </c>
      <c r="M2072" s="262">
        <v>11.8758543</v>
      </c>
      <c r="N2072" s="262">
        <v>11.8758543</v>
      </c>
    </row>
    <row r="2073" spans="1:14" x14ac:dyDescent="0.25">
      <c r="A2073" s="262">
        <v>39123</v>
      </c>
      <c r="B2073" s="262" t="s">
        <v>1415</v>
      </c>
      <c r="C2073" s="262" t="s">
        <v>760</v>
      </c>
      <c r="D2073" s="262">
        <v>-83.143838500000001</v>
      </c>
      <c r="E2073" s="262">
        <v>41.545769999999997</v>
      </c>
      <c r="M2073" s="262">
        <v>11.28427958</v>
      </c>
      <c r="N2073" s="262">
        <v>11.28427958</v>
      </c>
    </row>
    <row r="2074" spans="1:14" x14ac:dyDescent="0.25">
      <c r="A2074" s="262">
        <v>39125</v>
      </c>
      <c r="B2074" s="262" t="s">
        <v>1415</v>
      </c>
      <c r="C2074" s="262" t="s">
        <v>506</v>
      </c>
      <c r="D2074" s="262">
        <v>-84.584389000000002</v>
      </c>
      <c r="E2074" s="262">
        <v>41.123130000000003</v>
      </c>
      <c r="M2074" s="262">
        <v>11.55441004</v>
      </c>
      <c r="N2074" s="262">
        <v>11.55441004</v>
      </c>
    </row>
    <row r="2075" spans="1:14" x14ac:dyDescent="0.25">
      <c r="A2075" s="262">
        <v>39127</v>
      </c>
      <c r="B2075" s="262" t="s">
        <v>1415</v>
      </c>
      <c r="C2075" s="262" t="s">
        <v>165</v>
      </c>
      <c r="D2075" s="262">
        <v>-82.236013700000001</v>
      </c>
      <c r="E2075" s="262">
        <v>39.745669999999997</v>
      </c>
      <c r="M2075" s="262">
        <v>12.112357980000001</v>
      </c>
      <c r="N2075" s="262">
        <v>12.112357980000001</v>
      </c>
    </row>
    <row r="2076" spans="1:14" x14ac:dyDescent="0.25">
      <c r="A2076" s="262">
        <v>39129</v>
      </c>
      <c r="B2076" s="262" t="s">
        <v>1415</v>
      </c>
      <c r="C2076" s="262" t="s">
        <v>1439</v>
      </c>
      <c r="D2076" s="262">
        <v>-83.015116399999997</v>
      </c>
      <c r="E2076" s="262">
        <v>39.645130000000002</v>
      </c>
      <c r="M2076" s="262">
        <v>12.3022673</v>
      </c>
      <c r="N2076" s="262">
        <v>12.3022673</v>
      </c>
    </row>
    <row r="2077" spans="1:14" x14ac:dyDescent="0.25">
      <c r="A2077" s="262">
        <v>39131</v>
      </c>
      <c r="B2077" s="262" t="s">
        <v>1415</v>
      </c>
      <c r="C2077" s="262" t="s">
        <v>167</v>
      </c>
      <c r="D2077" s="262">
        <v>-83.057525600000005</v>
      </c>
      <c r="E2077" s="262">
        <v>39.088760000000001</v>
      </c>
      <c r="M2077" s="262">
        <v>12.65368909</v>
      </c>
      <c r="N2077" s="262">
        <v>12.65368909</v>
      </c>
    </row>
    <row r="2078" spans="1:14" x14ac:dyDescent="0.25">
      <c r="A2078" s="262">
        <v>39133</v>
      </c>
      <c r="B2078" s="262" t="s">
        <v>1415</v>
      </c>
      <c r="C2078" s="262" t="s">
        <v>1440</v>
      </c>
      <c r="D2078" s="262">
        <v>-81.198454900000002</v>
      </c>
      <c r="E2078" s="262">
        <v>41.18573</v>
      </c>
      <c r="M2078" s="262">
        <v>11.09961219</v>
      </c>
      <c r="N2078" s="262">
        <v>11.09961219</v>
      </c>
    </row>
    <row r="2079" spans="1:14" x14ac:dyDescent="0.25">
      <c r="A2079" s="262">
        <v>39135</v>
      </c>
      <c r="B2079" s="262" t="s">
        <v>1415</v>
      </c>
      <c r="C2079" s="262" t="s">
        <v>1441</v>
      </c>
      <c r="D2079" s="262">
        <v>-84.654392799999997</v>
      </c>
      <c r="E2079" s="262">
        <v>39.749859999999998</v>
      </c>
      <c r="M2079" s="262">
        <v>12.44017844</v>
      </c>
      <c r="N2079" s="262">
        <v>12.44017844</v>
      </c>
    </row>
    <row r="2080" spans="1:14" x14ac:dyDescent="0.25">
      <c r="A2080" s="262">
        <v>39137</v>
      </c>
      <c r="B2080" s="262" t="s">
        <v>1415</v>
      </c>
      <c r="C2080" s="262" t="s">
        <v>421</v>
      </c>
      <c r="D2080" s="262">
        <v>-84.138496399999994</v>
      </c>
      <c r="E2080" s="262">
        <v>41.02805</v>
      </c>
      <c r="M2080" s="262">
        <v>11.63512901</v>
      </c>
      <c r="N2080" s="262">
        <v>11.63512901</v>
      </c>
    </row>
    <row r="2081" spans="1:14" x14ac:dyDescent="0.25">
      <c r="A2081" s="262">
        <v>39139</v>
      </c>
      <c r="B2081" s="262" t="s">
        <v>1415</v>
      </c>
      <c r="C2081" s="262" t="s">
        <v>616</v>
      </c>
      <c r="D2081" s="262">
        <v>-82.531943699999999</v>
      </c>
      <c r="E2081" s="262">
        <v>40.790950000000002</v>
      </c>
      <c r="M2081" s="262">
        <v>11.546107360000001</v>
      </c>
      <c r="N2081" s="262">
        <v>11.546107360000001</v>
      </c>
    </row>
    <row r="2082" spans="1:14" x14ac:dyDescent="0.25">
      <c r="A2082" s="262">
        <v>39141</v>
      </c>
      <c r="B2082" s="262" t="s">
        <v>1415</v>
      </c>
      <c r="C2082" s="262" t="s">
        <v>1442</v>
      </c>
      <c r="D2082" s="262">
        <v>-83.0483756</v>
      </c>
      <c r="E2082" s="262">
        <v>39.344749999999998</v>
      </c>
      <c r="M2082" s="262">
        <v>12.487538280000001</v>
      </c>
      <c r="N2082" s="262">
        <v>12.487538280000001</v>
      </c>
    </row>
    <row r="2083" spans="1:14" x14ac:dyDescent="0.25">
      <c r="A2083" s="262">
        <v>39143</v>
      </c>
      <c r="B2083" s="262" t="s">
        <v>1415</v>
      </c>
      <c r="C2083" s="262" t="s">
        <v>1443</v>
      </c>
      <c r="D2083" s="262">
        <v>-83.147281800000002</v>
      </c>
      <c r="E2083" s="262">
        <v>41.36403</v>
      </c>
      <c r="M2083" s="262">
        <v>11.417139690000001</v>
      </c>
      <c r="N2083" s="262">
        <v>11.417139690000001</v>
      </c>
    </row>
    <row r="2084" spans="1:14" x14ac:dyDescent="0.25">
      <c r="A2084" s="262">
        <v>39145</v>
      </c>
      <c r="B2084" s="262" t="s">
        <v>1415</v>
      </c>
      <c r="C2084" s="262" t="s">
        <v>1444</v>
      </c>
      <c r="D2084" s="262">
        <v>-82.9817587</v>
      </c>
      <c r="E2084" s="262">
        <v>38.819360000000003</v>
      </c>
      <c r="M2084" s="262">
        <v>12.8251174</v>
      </c>
      <c r="N2084" s="262">
        <v>12.8251174</v>
      </c>
    </row>
    <row r="2085" spans="1:14" x14ac:dyDescent="0.25">
      <c r="A2085" s="262">
        <v>39147</v>
      </c>
      <c r="B2085" s="262" t="s">
        <v>1415</v>
      </c>
      <c r="C2085" s="262" t="s">
        <v>1311</v>
      </c>
      <c r="D2085" s="262">
        <v>-83.128335399999997</v>
      </c>
      <c r="E2085" s="262">
        <v>41.129950000000001</v>
      </c>
      <c r="M2085" s="262">
        <v>11.539884389999999</v>
      </c>
      <c r="N2085" s="262">
        <v>11.539884389999999</v>
      </c>
    </row>
    <row r="2086" spans="1:14" x14ac:dyDescent="0.25">
      <c r="A2086" s="262">
        <v>39149</v>
      </c>
      <c r="B2086" s="262" t="s">
        <v>1415</v>
      </c>
      <c r="C2086" s="262" t="s">
        <v>171</v>
      </c>
      <c r="D2086" s="262">
        <v>-84.204628400000004</v>
      </c>
      <c r="E2086" s="262">
        <v>40.338270000000001</v>
      </c>
      <c r="M2086" s="262">
        <v>12.00943466</v>
      </c>
      <c r="N2086" s="262">
        <v>12.00943466</v>
      </c>
    </row>
    <row r="2087" spans="1:14" x14ac:dyDescent="0.25">
      <c r="A2087" s="262">
        <v>39151</v>
      </c>
      <c r="B2087" s="262" t="s">
        <v>1415</v>
      </c>
      <c r="C2087" s="262" t="s">
        <v>620</v>
      </c>
      <c r="D2087" s="262">
        <v>-81.357531699999996</v>
      </c>
      <c r="E2087" s="262">
        <v>40.829560000000001</v>
      </c>
      <c r="M2087" s="262">
        <v>11.316138520000001</v>
      </c>
      <c r="N2087" s="262">
        <v>11.316138520000001</v>
      </c>
    </row>
    <row r="2088" spans="1:14" x14ac:dyDescent="0.25">
      <c r="A2088" s="262">
        <v>39153</v>
      </c>
      <c r="B2088" s="262" t="s">
        <v>1415</v>
      </c>
      <c r="C2088" s="262" t="s">
        <v>364</v>
      </c>
      <c r="D2088" s="262">
        <v>-81.528862700000005</v>
      </c>
      <c r="E2088" s="262">
        <v>41.139180000000003</v>
      </c>
      <c r="M2088" s="262">
        <v>11.158522850000001</v>
      </c>
      <c r="N2088" s="262">
        <v>11.158522850000001</v>
      </c>
    </row>
    <row r="2089" spans="1:14" x14ac:dyDescent="0.25">
      <c r="A2089" s="262">
        <v>39155</v>
      </c>
      <c r="B2089" s="262" t="s">
        <v>1415</v>
      </c>
      <c r="C2089" s="262" t="s">
        <v>1445</v>
      </c>
      <c r="D2089" s="262">
        <v>-80.762681900000004</v>
      </c>
      <c r="E2089" s="262">
        <v>41.320610000000002</v>
      </c>
      <c r="M2089" s="262">
        <v>10.93645798</v>
      </c>
      <c r="N2089" s="262">
        <v>10.93645798</v>
      </c>
    </row>
    <row r="2090" spans="1:14" x14ac:dyDescent="0.25">
      <c r="A2090" s="262">
        <v>39157</v>
      </c>
      <c r="B2090" s="262" t="s">
        <v>1415</v>
      </c>
      <c r="C2090" s="262" t="s">
        <v>1446</v>
      </c>
      <c r="D2090" s="262">
        <v>-81.470395100000005</v>
      </c>
      <c r="E2090" s="262">
        <v>40.456249999999997</v>
      </c>
      <c r="M2090" s="262">
        <v>11.51982677</v>
      </c>
      <c r="N2090" s="262">
        <v>11.51982677</v>
      </c>
    </row>
    <row r="2091" spans="1:14" x14ac:dyDescent="0.25">
      <c r="A2091" s="262">
        <v>39159</v>
      </c>
      <c r="B2091" s="262" t="s">
        <v>1415</v>
      </c>
      <c r="C2091" s="262" t="s">
        <v>249</v>
      </c>
      <c r="D2091" s="262">
        <v>-83.369310200000001</v>
      </c>
      <c r="E2091" s="262">
        <v>40.307220000000001</v>
      </c>
      <c r="M2091" s="262">
        <v>11.97367644</v>
      </c>
      <c r="N2091" s="262">
        <v>11.97367644</v>
      </c>
    </row>
    <row r="2092" spans="1:14" x14ac:dyDescent="0.25">
      <c r="A2092" s="262">
        <v>39161</v>
      </c>
      <c r="B2092" s="262" t="s">
        <v>1415</v>
      </c>
      <c r="C2092" s="262" t="s">
        <v>1447</v>
      </c>
      <c r="D2092" s="262">
        <v>-84.592049599999996</v>
      </c>
      <c r="E2092" s="262">
        <v>40.85924</v>
      </c>
      <c r="M2092" s="262">
        <v>11.72318639</v>
      </c>
      <c r="N2092" s="262">
        <v>11.72318639</v>
      </c>
    </row>
    <row r="2093" spans="1:14" x14ac:dyDescent="0.25">
      <c r="A2093" s="262">
        <v>39163</v>
      </c>
      <c r="B2093" s="262" t="s">
        <v>1415</v>
      </c>
      <c r="C2093" s="262" t="s">
        <v>1448</v>
      </c>
      <c r="D2093" s="262">
        <v>-82.475803999999997</v>
      </c>
      <c r="E2093" s="262">
        <v>39.263739999999999</v>
      </c>
      <c r="M2093" s="262">
        <v>12.48491389</v>
      </c>
      <c r="N2093" s="262">
        <v>12.48491389</v>
      </c>
    </row>
    <row r="2094" spans="1:14" x14ac:dyDescent="0.25">
      <c r="A2094" s="262">
        <v>39165</v>
      </c>
      <c r="B2094" s="262" t="s">
        <v>1415</v>
      </c>
      <c r="C2094" s="262" t="s">
        <v>533</v>
      </c>
      <c r="D2094" s="262">
        <v>-84.166463100000001</v>
      </c>
      <c r="E2094" s="262">
        <v>39.434399999999997</v>
      </c>
      <c r="M2094" s="262">
        <v>12.496881350000001</v>
      </c>
      <c r="N2094" s="262">
        <v>12.496881350000001</v>
      </c>
    </row>
    <row r="2095" spans="1:14" x14ac:dyDescent="0.25">
      <c r="A2095" s="262">
        <v>39167</v>
      </c>
      <c r="B2095" s="262" t="s">
        <v>1415</v>
      </c>
      <c r="C2095" s="262" t="s">
        <v>177</v>
      </c>
      <c r="D2095" s="262">
        <v>-81.488975100000005</v>
      </c>
      <c r="E2095" s="262">
        <v>39.472230000000003</v>
      </c>
      <c r="M2095" s="262">
        <v>12.041057090000001</v>
      </c>
      <c r="N2095" s="262">
        <v>12.041057090000001</v>
      </c>
    </row>
    <row r="2096" spans="1:14" x14ac:dyDescent="0.25">
      <c r="A2096" s="262">
        <v>39169</v>
      </c>
      <c r="B2096" s="262" t="s">
        <v>1415</v>
      </c>
      <c r="C2096" s="262" t="s">
        <v>534</v>
      </c>
      <c r="D2096" s="262">
        <v>-81.886722899999995</v>
      </c>
      <c r="E2096" s="262">
        <v>40.843519999999998</v>
      </c>
      <c r="M2096" s="262">
        <v>11.376385450000001</v>
      </c>
      <c r="N2096" s="262">
        <v>11.376385450000001</v>
      </c>
    </row>
    <row r="2097" spans="1:14" x14ac:dyDescent="0.25">
      <c r="A2097" s="262">
        <v>39171</v>
      </c>
      <c r="B2097" s="262" t="s">
        <v>1415</v>
      </c>
      <c r="C2097" s="262" t="s">
        <v>1414</v>
      </c>
      <c r="D2097" s="262">
        <v>-84.582879399999996</v>
      </c>
      <c r="E2097" s="262">
        <v>41.56982</v>
      </c>
      <c r="M2097" s="262">
        <v>11.217994790000001</v>
      </c>
      <c r="N2097" s="262">
        <v>11.217994790000001</v>
      </c>
    </row>
    <row r="2098" spans="1:14" x14ac:dyDescent="0.25">
      <c r="A2098" s="262">
        <v>39173</v>
      </c>
      <c r="B2098" s="262" t="s">
        <v>1415</v>
      </c>
      <c r="C2098" s="262" t="s">
        <v>1449</v>
      </c>
      <c r="D2098" s="262">
        <v>-83.628697099999997</v>
      </c>
      <c r="E2098" s="262">
        <v>41.37086</v>
      </c>
      <c r="M2098" s="262">
        <v>11.47795737</v>
      </c>
      <c r="N2098" s="262">
        <v>11.47795737</v>
      </c>
    </row>
    <row r="2099" spans="1:14" x14ac:dyDescent="0.25">
      <c r="A2099" s="262">
        <v>39175</v>
      </c>
      <c r="B2099" s="262" t="s">
        <v>1415</v>
      </c>
      <c r="C2099" s="262" t="s">
        <v>1450</v>
      </c>
      <c r="D2099" s="262">
        <v>-83.301357600000003</v>
      </c>
      <c r="E2099" s="262">
        <v>40.854349999999997</v>
      </c>
      <c r="M2099" s="262">
        <v>11.715243109999999</v>
      </c>
      <c r="N2099" s="262">
        <v>11.715243109999999</v>
      </c>
    </row>
    <row r="2100" spans="1:14" x14ac:dyDescent="0.25">
      <c r="A2100" s="262">
        <v>40001</v>
      </c>
      <c r="B2100" s="262" t="s">
        <v>1451</v>
      </c>
      <c r="C2100" s="262" t="s">
        <v>673</v>
      </c>
      <c r="D2100" s="262">
        <v>-94.664145899999994</v>
      </c>
      <c r="E2100" s="262">
        <v>35.906970000000001</v>
      </c>
      <c r="M2100" s="262">
        <v>15.16148827</v>
      </c>
      <c r="N2100" s="262">
        <v>15.16148827</v>
      </c>
    </row>
    <row r="2101" spans="1:14" x14ac:dyDescent="0.25">
      <c r="A2101" s="262">
        <v>40003</v>
      </c>
      <c r="B2101" s="262" t="s">
        <v>1451</v>
      </c>
      <c r="C2101" s="262" t="s">
        <v>1452</v>
      </c>
      <c r="D2101" s="262">
        <v>-98.323208600000001</v>
      </c>
      <c r="E2101" s="262">
        <v>36.730930000000001</v>
      </c>
      <c r="M2101" s="262">
        <v>14.688887709999999</v>
      </c>
      <c r="N2101" s="262">
        <v>14.688887709999999</v>
      </c>
    </row>
    <row r="2102" spans="1:14" x14ac:dyDescent="0.25">
      <c r="A2102" s="262">
        <v>40005</v>
      </c>
      <c r="B2102" s="262" t="s">
        <v>1451</v>
      </c>
      <c r="C2102" s="262" t="s">
        <v>1453</v>
      </c>
      <c r="D2102" s="262">
        <v>-96.042050000000003</v>
      </c>
      <c r="E2102" s="262">
        <v>34.380989999999997</v>
      </c>
      <c r="M2102" s="262">
        <v>15.98019817</v>
      </c>
      <c r="N2102" s="262">
        <v>15.98019817</v>
      </c>
    </row>
    <row r="2103" spans="1:14" x14ac:dyDescent="0.25">
      <c r="A2103" s="262">
        <v>40007</v>
      </c>
      <c r="B2103" s="262" t="s">
        <v>1451</v>
      </c>
      <c r="C2103" s="262" t="s">
        <v>1454</v>
      </c>
      <c r="D2103" s="262">
        <v>-100.474745</v>
      </c>
      <c r="E2103" s="262">
        <v>36.745849999999997</v>
      </c>
      <c r="M2103" s="262">
        <v>14.231578880000001</v>
      </c>
      <c r="N2103" s="262">
        <v>14.231578880000001</v>
      </c>
    </row>
    <row r="2104" spans="1:14" x14ac:dyDescent="0.25">
      <c r="A2104" s="262">
        <v>40009</v>
      </c>
      <c r="B2104" s="262" t="s">
        <v>1451</v>
      </c>
      <c r="C2104" s="262" t="s">
        <v>1455</v>
      </c>
      <c r="D2104" s="262">
        <v>-99.686661700000002</v>
      </c>
      <c r="E2104" s="262">
        <v>35.269640000000003</v>
      </c>
      <c r="M2104" s="262">
        <v>15.31203056</v>
      </c>
      <c r="N2104" s="262">
        <v>15.31203056</v>
      </c>
    </row>
    <row r="2105" spans="1:14" x14ac:dyDescent="0.25">
      <c r="A2105" s="262">
        <v>40011</v>
      </c>
      <c r="B2105" s="262" t="s">
        <v>1451</v>
      </c>
      <c r="C2105" s="262" t="s">
        <v>547</v>
      </c>
      <c r="D2105" s="262">
        <v>-98.424395899999993</v>
      </c>
      <c r="E2105" s="262">
        <v>35.868810000000003</v>
      </c>
      <c r="M2105" s="262">
        <v>15.11562773</v>
      </c>
      <c r="N2105" s="262">
        <v>15.11562773</v>
      </c>
    </row>
    <row r="2106" spans="1:14" x14ac:dyDescent="0.25">
      <c r="A2106" s="262">
        <v>40013</v>
      </c>
      <c r="B2106" s="262" t="s">
        <v>1451</v>
      </c>
      <c r="C2106" s="262" t="s">
        <v>444</v>
      </c>
      <c r="D2106" s="262">
        <v>-96.255800800000003</v>
      </c>
      <c r="E2106" s="262">
        <v>33.961680000000001</v>
      </c>
      <c r="M2106" s="262">
        <v>16.199640710000001</v>
      </c>
      <c r="N2106" s="262">
        <v>16.199640710000001</v>
      </c>
    </row>
    <row r="2107" spans="1:14" x14ac:dyDescent="0.25">
      <c r="A2107" s="262">
        <v>40015</v>
      </c>
      <c r="B2107" s="262" t="s">
        <v>1451</v>
      </c>
      <c r="C2107" s="262" t="s">
        <v>1456</v>
      </c>
      <c r="D2107" s="262">
        <v>-98.3718784</v>
      </c>
      <c r="E2107" s="262">
        <v>35.177790000000002</v>
      </c>
      <c r="M2107" s="262">
        <v>15.50505905</v>
      </c>
      <c r="N2107" s="262">
        <v>15.50505905</v>
      </c>
    </row>
    <row r="2108" spans="1:14" x14ac:dyDescent="0.25">
      <c r="A2108" s="262">
        <v>40017</v>
      </c>
      <c r="B2108" s="262" t="s">
        <v>1451</v>
      </c>
      <c r="C2108" s="262" t="s">
        <v>1457</v>
      </c>
      <c r="D2108" s="262">
        <v>-97.975376900000001</v>
      </c>
      <c r="E2108" s="262">
        <v>35.534059999999997</v>
      </c>
      <c r="M2108" s="262">
        <v>15.29915007</v>
      </c>
      <c r="N2108" s="262">
        <v>15.29915007</v>
      </c>
    </row>
    <row r="2109" spans="1:14" x14ac:dyDescent="0.25">
      <c r="A2109" s="262">
        <v>40019</v>
      </c>
      <c r="B2109" s="262" t="s">
        <v>1451</v>
      </c>
      <c r="C2109" s="262" t="s">
        <v>801</v>
      </c>
      <c r="D2109" s="262">
        <v>-97.272949199999999</v>
      </c>
      <c r="E2109" s="262">
        <v>34.254669999999997</v>
      </c>
      <c r="M2109" s="262">
        <v>16.045951120000002</v>
      </c>
      <c r="N2109" s="262">
        <v>16.045951120000002</v>
      </c>
    </row>
    <row r="2110" spans="1:14" x14ac:dyDescent="0.25">
      <c r="A2110" s="262">
        <v>40021</v>
      </c>
      <c r="B2110" s="262" t="s">
        <v>1451</v>
      </c>
      <c r="C2110" s="262" t="s">
        <v>122</v>
      </c>
      <c r="D2110" s="262">
        <v>-95.010382500000006</v>
      </c>
      <c r="E2110" s="262">
        <v>35.935540000000003</v>
      </c>
      <c r="M2110" s="262">
        <v>15.160983610000001</v>
      </c>
      <c r="N2110" s="262">
        <v>15.160983610000001</v>
      </c>
    </row>
    <row r="2111" spans="1:14" x14ac:dyDescent="0.25">
      <c r="A2111" s="262">
        <v>40023</v>
      </c>
      <c r="B2111" s="262" t="s">
        <v>1451</v>
      </c>
      <c r="C2111" s="262" t="s">
        <v>124</v>
      </c>
      <c r="D2111" s="262">
        <v>-95.547357399999996</v>
      </c>
      <c r="E2111" s="262">
        <v>34.053809999999999</v>
      </c>
      <c r="M2111" s="262">
        <v>16.147924150000001</v>
      </c>
      <c r="N2111" s="262">
        <v>16.147924150000001</v>
      </c>
    </row>
    <row r="2112" spans="1:14" x14ac:dyDescent="0.25">
      <c r="A2112" s="262">
        <v>40025</v>
      </c>
      <c r="B2112" s="262" t="s">
        <v>1451</v>
      </c>
      <c r="C2112" s="262" t="s">
        <v>1458</v>
      </c>
      <c r="D2112" s="262">
        <v>-102.512064</v>
      </c>
      <c r="E2112" s="262">
        <v>36.737369999999999</v>
      </c>
      <c r="M2112" s="262">
        <v>13.255572750000001</v>
      </c>
      <c r="N2112" s="262">
        <v>13.255572750000001</v>
      </c>
    </row>
    <row r="2113" spans="1:14" x14ac:dyDescent="0.25">
      <c r="A2113" s="262">
        <v>40027</v>
      </c>
      <c r="B2113" s="262" t="s">
        <v>1451</v>
      </c>
      <c r="C2113" s="262" t="s">
        <v>206</v>
      </c>
      <c r="D2113" s="262">
        <v>-97.3299363</v>
      </c>
      <c r="E2113" s="262">
        <v>35.201210000000003</v>
      </c>
      <c r="M2113" s="262">
        <v>15.450482559999999</v>
      </c>
      <c r="N2113" s="262">
        <v>15.450482559999999</v>
      </c>
    </row>
    <row r="2114" spans="1:14" x14ac:dyDescent="0.25">
      <c r="A2114" s="262">
        <v>40029</v>
      </c>
      <c r="B2114" s="262" t="s">
        <v>1451</v>
      </c>
      <c r="C2114" s="262" t="s">
        <v>1459</v>
      </c>
      <c r="D2114" s="262">
        <v>-96.286122500000005</v>
      </c>
      <c r="E2114" s="262">
        <v>34.595350000000003</v>
      </c>
      <c r="M2114" s="262">
        <v>15.84297046</v>
      </c>
      <c r="N2114" s="262">
        <v>15.84297046</v>
      </c>
    </row>
    <row r="2115" spans="1:14" x14ac:dyDescent="0.25">
      <c r="A2115" s="262">
        <v>40031</v>
      </c>
      <c r="B2115" s="262" t="s">
        <v>1451</v>
      </c>
      <c r="C2115" s="262" t="s">
        <v>728</v>
      </c>
      <c r="D2115" s="262">
        <v>-98.469194400000006</v>
      </c>
      <c r="E2115" s="262">
        <v>34.66554</v>
      </c>
      <c r="M2115" s="262">
        <v>15.81986272</v>
      </c>
      <c r="N2115" s="262">
        <v>15.81986272</v>
      </c>
    </row>
    <row r="2116" spans="1:14" x14ac:dyDescent="0.25">
      <c r="A2116" s="262">
        <v>40033</v>
      </c>
      <c r="B2116" s="262" t="s">
        <v>1451</v>
      </c>
      <c r="C2116" s="262" t="s">
        <v>1460</v>
      </c>
      <c r="D2116" s="262">
        <v>-98.368786900000003</v>
      </c>
      <c r="E2116" s="262">
        <v>34.291840000000001</v>
      </c>
      <c r="M2116" s="262">
        <v>16.070836969999998</v>
      </c>
      <c r="N2116" s="262">
        <v>16.070836969999998</v>
      </c>
    </row>
    <row r="2117" spans="1:14" x14ac:dyDescent="0.25">
      <c r="A2117" s="262">
        <v>40035</v>
      </c>
      <c r="B2117" s="262" t="s">
        <v>1451</v>
      </c>
      <c r="C2117" s="262" t="s">
        <v>1461</v>
      </c>
      <c r="D2117" s="262">
        <v>-95.216088600000006</v>
      </c>
      <c r="E2117" s="262">
        <v>36.785319999999999</v>
      </c>
      <c r="M2117" s="262">
        <v>14.67422144</v>
      </c>
      <c r="N2117" s="262">
        <v>14.67422144</v>
      </c>
    </row>
    <row r="2118" spans="1:14" x14ac:dyDescent="0.25">
      <c r="A2118" s="262">
        <v>40037</v>
      </c>
      <c r="B2118" s="262" t="s">
        <v>1451</v>
      </c>
      <c r="C2118" s="262" t="s">
        <v>1462</v>
      </c>
      <c r="D2118" s="262">
        <v>-96.365174800000005</v>
      </c>
      <c r="E2118" s="262">
        <v>35.898409999999998</v>
      </c>
      <c r="M2118" s="262">
        <v>15.17524446</v>
      </c>
      <c r="N2118" s="262">
        <v>15.17524446</v>
      </c>
    </row>
    <row r="2119" spans="1:14" x14ac:dyDescent="0.25">
      <c r="A2119" s="262">
        <v>40039</v>
      </c>
      <c r="B2119" s="262" t="s">
        <v>1451</v>
      </c>
      <c r="C2119" s="262" t="s">
        <v>326</v>
      </c>
      <c r="D2119" s="262">
        <v>-98.994725599999995</v>
      </c>
      <c r="E2119" s="262">
        <v>35.635590000000001</v>
      </c>
      <c r="M2119" s="262">
        <v>15.19788632</v>
      </c>
      <c r="N2119" s="262">
        <v>15.19788632</v>
      </c>
    </row>
    <row r="2120" spans="1:14" x14ac:dyDescent="0.25">
      <c r="A2120" s="262">
        <v>40041</v>
      </c>
      <c r="B2120" s="262" t="s">
        <v>1451</v>
      </c>
      <c r="C2120" s="262" t="s">
        <v>636</v>
      </c>
      <c r="D2120" s="262">
        <v>-94.811406500000004</v>
      </c>
      <c r="E2120" s="262">
        <v>36.433079999999997</v>
      </c>
      <c r="M2120" s="262">
        <v>14.84373164</v>
      </c>
      <c r="N2120" s="262">
        <v>14.84373164</v>
      </c>
    </row>
    <row r="2121" spans="1:14" x14ac:dyDescent="0.25">
      <c r="A2121" s="262">
        <v>40043</v>
      </c>
      <c r="B2121" s="262" t="s">
        <v>1451</v>
      </c>
      <c r="C2121" s="262" t="s">
        <v>1463</v>
      </c>
      <c r="D2121" s="262">
        <v>-99.002627599999997</v>
      </c>
      <c r="E2121" s="262">
        <v>35.986060000000002</v>
      </c>
      <c r="M2121" s="262">
        <v>15.00219119</v>
      </c>
      <c r="N2121" s="262">
        <v>15.00219119</v>
      </c>
    </row>
    <row r="2122" spans="1:14" x14ac:dyDescent="0.25">
      <c r="A2122" s="262">
        <v>40045</v>
      </c>
      <c r="B2122" s="262" t="s">
        <v>1451</v>
      </c>
      <c r="C2122" s="262" t="s">
        <v>732</v>
      </c>
      <c r="D2122" s="262">
        <v>-99.754192099999997</v>
      </c>
      <c r="E2122" s="262">
        <v>36.208550000000002</v>
      </c>
      <c r="M2122" s="262">
        <v>14.73412854</v>
      </c>
      <c r="N2122" s="262">
        <v>14.73412854</v>
      </c>
    </row>
    <row r="2123" spans="1:14" x14ac:dyDescent="0.25">
      <c r="A2123" s="262">
        <v>40047</v>
      </c>
      <c r="B2123" s="262" t="s">
        <v>1451</v>
      </c>
      <c r="C2123" s="262" t="s">
        <v>335</v>
      </c>
      <c r="D2123" s="262">
        <v>-97.778519099999997</v>
      </c>
      <c r="E2123" s="262">
        <v>36.367870000000003</v>
      </c>
      <c r="M2123" s="262">
        <v>14.90671704</v>
      </c>
      <c r="N2123" s="262">
        <v>14.90671704</v>
      </c>
    </row>
    <row r="2124" spans="1:14" x14ac:dyDescent="0.25">
      <c r="A2124" s="262">
        <v>40049</v>
      </c>
      <c r="B2124" s="262" t="s">
        <v>1451</v>
      </c>
      <c r="C2124" s="262" t="s">
        <v>1464</v>
      </c>
      <c r="D2124" s="262">
        <v>-97.302376899999999</v>
      </c>
      <c r="E2124" s="262">
        <v>34.71031</v>
      </c>
      <c r="M2124" s="262">
        <v>15.771366370000001</v>
      </c>
      <c r="N2124" s="262">
        <v>15.771366370000001</v>
      </c>
    </row>
    <row r="2125" spans="1:14" x14ac:dyDescent="0.25">
      <c r="A2125" s="262">
        <v>40051</v>
      </c>
      <c r="B2125" s="262" t="s">
        <v>1451</v>
      </c>
      <c r="C2125" s="262" t="s">
        <v>480</v>
      </c>
      <c r="D2125" s="262">
        <v>-97.880082400000006</v>
      </c>
      <c r="E2125" s="262">
        <v>35.014029999999998</v>
      </c>
      <c r="M2125" s="262">
        <v>15.580625980000001</v>
      </c>
      <c r="N2125" s="262">
        <v>15.580625980000001</v>
      </c>
    </row>
    <row r="2126" spans="1:14" x14ac:dyDescent="0.25">
      <c r="A2126" s="262">
        <v>40053</v>
      </c>
      <c r="B2126" s="262" t="s">
        <v>1451</v>
      </c>
      <c r="C2126" s="262" t="s">
        <v>218</v>
      </c>
      <c r="D2126" s="262">
        <v>-97.784505300000006</v>
      </c>
      <c r="E2126" s="262">
        <v>36.790700000000001</v>
      </c>
      <c r="M2126" s="262">
        <v>14.71511626</v>
      </c>
      <c r="N2126" s="262">
        <v>14.71511626</v>
      </c>
    </row>
    <row r="2127" spans="1:14" x14ac:dyDescent="0.25">
      <c r="A2127" s="262">
        <v>40055</v>
      </c>
      <c r="B2127" s="262" t="s">
        <v>1451</v>
      </c>
      <c r="C2127" s="262" t="s">
        <v>1465</v>
      </c>
      <c r="D2127" s="262">
        <v>-99.559344400000001</v>
      </c>
      <c r="E2127" s="262">
        <v>34.942770000000003</v>
      </c>
      <c r="M2127" s="262">
        <v>15.530494790000001</v>
      </c>
      <c r="N2127" s="262">
        <v>15.530494790000001</v>
      </c>
    </row>
    <row r="2128" spans="1:14" x14ac:dyDescent="0.25">
      <c r="A2128" s="262">
        <v>40057</v>
      </c>
      <c r="B2128" s="262" t="s">
        <v>1451</v>
      </c>
      <c r="C2128" s="262" t="s">
        <v>1466</v>
      </c>
      <c r="D2128" s="262">
        <v>-99.846262999999993</v>
      </c>
      <c r="E2128" s="262">
        <v>34.747399999999999</v>
      </c>
      <c r="M2128" s="262">
        <v>15.606199159999999</v>
      </c>
      <c r="N2128" s="262">
        <v>15.606199159999999</v>
      </c>
    </row>
    <row r="2129" spans="1:14" x14ac:dyDescent="0.25">
      <c r="A2129" s="262">
        <v>40059</v>
      </c>
      <c r="B2129" s="262" t="s">
        <v>1451</v>
      </c>
      <c r="C2129" s="262" t="s">
        <v>740</v>
      </c>
      <c r="D2129" s="262">
        <v>-99.671862899999994</v>
      </c>
      <c r="E2129" s="262">
        <v>36.777500000000003</v>
      </c>
      <c r="M2129" s="262">
        <v>14.43452722</v>
      </c>
      <c r="N2129" s="262">
        <v>14.43452722</v>
      </c>
    </row>
    <row r="2130" spans="1:14" x14ac:dyDescent="0.25">
      <c r="A2130" s="262">
        <v>40061</v>
      </c>
      <c r="B2130" s="262" t="s">
        <v>1451</v>
      </c>
      <c r="C2130" s="262" t="s">
        <v>742</v>
      </c>
      <c r="D2130" s="262">
        <v>-95.119407499999994</v>
      </c>
      <c r="E2130" s="262">
        <v>35.255310000000001</v>
      </c>
      <c r="M2130" s="262">
        <v>15.53610638</v>
      </c>
      <c r="N2130" s="262">
        <v>15.53610638</v>
      </c>
    </row>
    <row r="2131" spans="1:14" x14ac:dyDescent="0.25">
      <c r="A2131" s="262">
        <v>40063</v>
      </c>
      <c r="B2131" s="262" t="s">
        <v>1451</v>
      </c>
      <c r="C2131" s="262" t="s">
        <v>1467</v>
      </c>
      <c r="D2131" s="262">
        <v>-96.238452100000003</v>
      </c>
      <c r="E2131" s="262">
        <v>35.052619999999997</v>
      </c>
      <c r="M2131" s="262">
        <v>15.606926140000001</v>
      </c>
      <c r="N2131" s="262">
        <v>15.606926140000001</v>
      </c>
    </row>
    <row r="2132" spans="1:14" x14ac:dyDescent="0.25">
      <c r="A2132" s="262">
        <v>40065</v>
      </c>
      <c r="B2132" s="262" t="s">
        <v>1451</v>
      </c>
      <c r="C2132" s="262" t="s">
        <v>148</v>
      </c>
      <c r="D2132" s="262">
        <v>-99.415376499999994</v>
      </c>
      <c r="E2132" s="262">
        <v>34.591790000000003</v>
      </c>
      <c r="M2132" s="262">
        <v>15.771996550000001</v>
      </c>
      <c r="N2132" s="262">
        <v>15.771996550000001</v>
      </c>
    </row>
    <row r="2133" spans="1:14" x14ac:dyDescent="0.25">
      <c r="A2133" s="262">
        <v>40067</v>
      </c>
      <c r="B2133" s="262" t="s">
        <v>1451</v>
      </c>
      <c r="C2133" s="262" t="s">
        <v>149</v>
      </c>
      <c r="D2133" s="262">
        <v>-97.823341999999997</v>
      </c>
      <c r="E2133" s="262">
        <v>34.111089999999997</v>
      </c>
      <c r="M2133" s="262">
        <v>16.180627909999998</v>
      </c>
      <c r="N2133" s="262">
        <v>16.180627909999998</v>
      </c>
    </row>
    <row r="2134" spans="1:14" x14ac:dyDescent="0.25">
      <c r="A2134" s="262">
        <v>40069</v>
      </c>
      <c r="B2134" s="262" t="s">
        <v>1451</v>
      </c>
      <c r="C2134" s="262" t="s">
        <v>1354</v>
      </c>
      <c r="D2134" s="262">
        <v>-96.649398599999998</v>
      </c>
      <c r="E2134" s="262">
        <v>34.318730000000002</v>
      </c>
      <c r="M2134" s="262">
        <v>15.99863087</v>
      </c>
      <c r="N2134" s="262">
        <v>15.99863087</v>
      </c>
    </row>
    <row r="2135" spans="1:14" x14ac:dyDescent="0.25">
      <c r="A2135" s="262">
        <v>40071</v>
      </c>
      <c r="B2135" s="262" t="s">
        <v>1451</v>
      </c>
      <c r="C2135" s="262" t="s">
        <v>1468</v>
      </c>
      <c r="D2135" s="262">
        <v>-97.148730799999996</v>
      </c>
      <c r="E2135" s="262">
        <v>36.819760000000002</v>
      </c>
      <c r="M2135" s="262">
        <v>14.745030160000001</v>
      </c>
      <c r="N2135" s="262">
        <v>14.745030160000001</v>
      </c>
    </row>
    <row r="2136" spans="1:14" x14ac:dyDescent="0.25">
      <c r="A2136" s="262">
        <v>40073</v>
      </c>
      <c r="B2136" s="262" t="s">
        <v>1451</v>
      </c>
      <c r="C2136" s="262" t="s">
        <v>1469</v>
      </c>
      <c r="D2136" s="262">
        <v>-97.936709300000004</v>
      </c>
      <c r="E2136" s="262">
        <v>35.934130000000003</v>
      </c>
      <c r="M2136" s="262">
        <v>15.10452201</v>
      </c>
      <c r="N2136" s="262">
        <v>15.10452201</v>
      </c>
    </row>
    <row r="2137" spans="1:14" x14ac:dyDescent="0.25">
      <c r="A2137" s="262">
        <v>40075</v>
      </c>
      <c r="B2137" s="262" t="s">
        <v>1451</v>
      </c>
      <c r="C2137" s="262" t="s">
        <v>341</v>
      </c>
      <c r="D2137" s="262">
        <v>-98.972245999999998</v>
      </c>
      <c r="E2137" s="262">
        <v>34.918770000000002</v>
      </c>
      <c r="M2137" s="262">
        <v>15.617762300000001</v>
      </c>
      <c r="N2137" s="262">
        <v>15.617762300000001</v>
      </c>
    </row>
    <row r="2138" spans="1:14" x14ac:dyDescent="0.25">
      <c r="A2138" s="262">
        <v>40077</v>
      </c>
      <c r="B2138" s="262" t="s">
        <v>1451</v>
      </c>
      <c r="C2138" s="262" t="s">
        <v>1470</v>
      </c>
      <c r="D2138" s="262">
        <v>-95.255770999999996</v>
      </c>
      <c r="E2138" s="262">
        <v>34.906790000000001</v>
      </c>
      <c r="M2138" s="262">
        <v>15.71922172</v>
      </c>
      <c r="N2138" s="262">
        <v>15.71922172</v>
      </c>
    </row>
    <row r="2139" spans="1:14" x14ac:dyDescent="0.25">
      <c r="A2139" s="262">
        <v>40079</v>
      </c>
      <c r="B2139" s="262" t="s">
        <v>1451</v>
      </c>
      <c r="C2139" s="262" t="s">
        <v>1471</v>
      </c>
      <c r="D2139" s="262">
        <v>-94.711177500000005</v>
      </c>
      <c r="E2139" s="262">
        <v>34.929949999999998</v>
      </c>
      <c r="M2139" s="262">
        <v>15.720333249999999</v>
      </c>
      <c r="N2139" s="262">
        <v>15.720333249999999</v>
      </c>
    </row>
    <row r="2140" spans="1:14" x14ac:dyDescent="0.25">
      <c r="A2140" s="262">
        <v>40081</v>
      </c>
      <c r="B2140" s="262" t="s">
        <v>1451</v>
      </c>
      <c r="C2140" s="262" t="s">
        <v>226</v>
      </c>
      <c r="D2140" s="262">
        <v>-96.879464499999997</v>
      </c>
      <c r="E2140" s="262">
        <v>35.691940000000002</v>
      </c>
      <c r="M2140" s="262">
        <v>15.242249920000001</v>
      </c>
      <c r="N2140" s="262">
        <v>15.242249920000001</v>
      </c>
    </row>
    <row r="2141" spans="1:14" x14ac:dyDescent="0.25">
      <c r="A2141" s="262">
        <v>40083</v>
      </c>
      <c r="B2141" s="262" t="s">
        <v>1451</v>
      </c>
      <c r="C2141" s="262" t="s">
        <v>228</v>
      </c>
      <c r="D2141" s="262">
        <v>-97.437954700000006</v>
      </c>
      <c r="E2141" s="262">
        <v>35.90558</v>
      </c>
      <c r="M2141" s="262">
        <v>15.12738834</v>
      </c>
      <c r="N2141" s="262">
        <v>15.12738834</v>
      </c>
    </row>
    <row r="2142" spans="1:14" x14ac:dyDescent="0.25">
      <c r="A2142" s="262">
        <v>40085</v>
      </c>
      <c r="B2142" s="262" t="s">
        <v>1451</v>
      </c>
      <c r="C2142" s="262" t="s">
        <v>1472</v>
      </c>
      <c r="D2142" s="262">
        <v>-97.233795999999998</v>
      </c>
      <c r="E2142" s="262">
        <v>33.95064</v>
      </c>
      <c r="M2142" s="262">
        <v>16.230570950000001</v>
      </c>
      <c r="N2142" s="262">
        <v>16.230570950000001</v>
      </c>
    </row>
    <row r="2143" spans="1:14" x14ac:dyDescent="0.25">
      <c r="A2143" s="262">
        <v>40087</v>
      </c>
      <c r="B2143" s="262" t="s">
        <v>1451</v>
      </c>
      <c r="C2143" s="262" t="s">
        <v>1473</v>
      </c>
      <c r="D2143" s="262">
        <v>-97.433174600000001</v>
      </c>
      <c r="E2143" s="262">
        <v>35.003120000000003</v>
      </c>
      <c r="M2143" s="262">
        <v>15.576926670000001</v>
      </c>
      <c r="N2143" s="262">
        <v>15.576926670000001</v>
      </c>
    </row>
    <row r="2144" spans="1:14" x14ac:dyDescent="0.25">
      <c r="A2144" s="262">
        <v>40089</v>
      </c>
      <c r="B2144" s="262" t="s">
        <v>1451</v>
      </c>
      <c r="C2144" s="262" t="s">
        <v>1474</v>
      </c>
      <c r="D2144" s="262">
        <v>-94.784034399999996</v>
      </c>
      <c r="E2144" s="262">
        <v>34.145229999999998</v>
      </c>
      <c r="M2144" s="262">
        <v>16.098122400000001</v>
      </c>
      <c r="N2144" s="262">
        <v>16.098122400000001</v>
      </c>
    </row>
    <row r="2145" spans="1:14" x14ac:dyDescent="0.25">
      <c r="A2145" s="262">
        <v>40091</v>
      </c>
      <c r="B2145" s="262" t="s">
        <v>1451</v>
      </c>
      <c r="C2145" s="262" t="s">
        <v>499</v>
      </c>
      <c r="D2145" s="262">
        <v>-95.664480100000006</v>
      </c>
      <c r="E2145" s="262">
        <v>35.39884</v>
      </c>
      <c r="M2145" s="262">
        <v>15.44841963</v>
      </c>
      <c r="N2145" s="262">
        <v>15.44841963</v>
      </c>
    </row>
    <row r="2146" spans="1:14" x14ac:dyDescent="0.25">
      <c r="A2146" s="262">
        <v>40093</v>
      </c>
      <c r="B2146" s="262" t="s">
        <v>1451</v>
      </c>
      <c r="C2146" s="262" t="s">
        <v>1475</v>
      </c>
      <c r="D2146" s="262">
        <v>-98.524560100000002</v>
      </c>
      <c r="E2146" s="262">
        <v>36.310690000000001</v>
      </c>
      <c r="M2146" s="262">
        <v>14.87839509</v>
      </c>
      <c r="N2146" s="262">
        <v>14.87839509</v>
      </c>
    </row>
    <row r="2147" spans="1:14" x14ac:dyDescent="0.25">
      <c r="A2147" s="262">
        <v>40095</v>
      </c>
      <c r="B2147" s="262" t="s">
        <v>1451</v>
      </c>
      <c r="C2147" s="262" t="s">
        <v>160</v>
      </c>
      <c r="D2147" s="262">
        <v>-96.756355099999993</v>
      </c>
      <c r="E2147" s="262">
        <v>34.026409999999998</v>
      </c>
      <c r="M2147" s="262">
        <v>16.16357081</v>
      </c>
      <c r="N2147" s="262">
        <v>16.16357081</v>
      </c>
    </row>
    <row r="2148" spans="1:14" x14ac:dyDescent="0.25">
      <c r="A2148" s="262">
        <v>40097</v>
      </c>
      <c r="B2148" s="262" t="s">
        <v>1451</v>
      </c>
      <c r="C2148" s="262" t="s">
        <v>1476</v>
      </c>
      <c r="D2148" s="262">
        <v>-95.237724</v>
      </c>
      <c r="E2148" s="262">
        <v>36.333739999999999</v>
      </c>
      <c r="M2148" s="262">
        <v>14.943380469999999</v>
      </c>
      <c r="N2148" s="262">
        <v>14.943380469999999</v>
      </c>
    </row>
    <row r="2149" spans="1:14" x14ac:dyDescent="0.25">
      <c r="A2149" s="262">
        <v>40099</v>
      </c>
      <c r="B2149" s="262" t="s">
        <v>1451</v>
      </c>
      <c r="C2149" s="262" t="s">
        <v>502</v>
      </c>
      <c r="D2149" s="262">
        <v>-97.057291399999997</v>
      </c>
      <c r="E2149" s="262">
        <v>34.488849999999999</v>
      </c>
      <c r="M2149" s="262">
        <v>15.896943370000001</v>
      </c>
      <c r="N2149" s="262">
        <v>15.896943370000001</v>
      </c>
    </row>
    <row r="2150" spans="1:14" x14ac:dyDescent="0.25">
      <c r="A2150" s="262">
        <v>40101</v>
      </c>
      <c r="B2150" s="262" t="s">
        <v>1451</v>
      </c>
      <c r="C2150" s="262" t="s">
        <v>1477</v>
      </c>
      <c r="D2150" s="262">
        <v>-95.385565799999995</v>
      </c>
      <c r="E2150" s="262">
        <v>35.642699999999998</v>
      </c>
      <c r="M2150" s="262">
        <v>15.32870731</v>
      </c>
      <c r="N2150" s="262">
        <v>15.32870731</v>
      </c>
    </row>
    <row r="2151" spans="1:14" x14ac:dyDescent="0.25">
      <c r="A2151" s="262">
        <v>40103</v>
      </c>
      <c r="B2151" s="262" t="s">
        <v>1451</v>
      </c>
      <c r="C2151" s="262" t="s">
        <v>650</v>
      </c>
      <c r="D2151" s="262">
        <v>-97.227976400000003</v>
      </c>
      <c r="E2151" s="262">
        <v>36.385509999999996</v>
      </c>
      <c r="M2151" s="262">
        <v>14.928977550000001</v>
      </c>
      <c r="N2151" s="262">
        <v>14.928977550000001</v>
      </c>
    </row>
    <row r="2152" spans="1:14" x14ac:dyDescent="0.25">
      <c r="A2152" s="262">
        <v>40105</v>
      </c>
      <c r="B2152" s="262" t="s">
        <v>1451</v>
      </c>
      <c r="C2152" s="262" t="s">
        <v>1478</v>
      </c>
      <c r="D2152" s="262">
        <v>-95.626091299999999</v>
      </c>
      <c r="E2152" s="262">
        <v>36.819839999999999</v>
      </c>
      <c r="M2152" s="262">
        <v>14.684029130000001</v>
      </c>
      <c r="N2152" s="262">
        <v>14.684029130000001</v>
      </c>
    </row>
    <row r="2153" spans="1:14" x14ac:dyDescent="0.25">
      <c r="A2153" s="262">
        <v>40107</v>
      </c>
      <c r="B2153" s="262" t="s">
        <v>1451</v>
      </c>
      <c r="C2153" s="262" t="s">
        <v>1479</v>
      </c>
      <c r="D2153" s="262">
        <v>-96.309729500000003</v>
      </c>
      <c r="E2153" s="262">
        <v>35.464179999999999</v>
      </c>
      <c r="M2153" s="262">
        <v>15.38870605</v>
      </c>
      <c r="N2153" s="262">
        <v>15.38870605</v>
      </c>
    </row>
    <row r="2154" spans="1:14" x14ac:dyDescent="0.25">
      <c r="A2154" s="262">
        <v>40109</v>
      </c>
      <c r="B2154" s="262" t="s">
        <v>1451</v>
      </c>
      <c r="C2154" s="262" t="s">
        <v>1480</v>
      </c>
      <c r="D2154" s="262">
        <v>-97.404977099999996</v>
      </c>
      <c r="E2154" s="262">
        <v>35.539450000000002</v>
      </c>
      <c r="M2154" s="262">
        <v>15.28775379</v>
      </c>
      <c r="N2154" s="262">
        <v>15.28775379</v>
      </c>
    </row>
    <row r="2155" spans="1:14" x14ac:dyDescent="0.25">
      <c r="A2155" s="262">
        <v>40111</v>
      </c>
      <c r="B2155" s="262" t="s">
        <v>1451</v>
      </c>
      <c r="C2155" s="262" t="s">
        <v>1481</v>
      </c>
      <c r="D2155" s="262">
        <v>-95.960771899999997</v>
      </c>
      <c r="E2155" s="262">
        <v>35.657020000000003</v>
      </c>
      <c r="M2155" s="262">
        <v>15.315333649999999</v>
      </c>
      <c r="N2155" s="262">
        <v>15.315333649999999</v>
      </c>
    </row>
    <row r="2156" spans="1:14" x14ac:dyDescent="0.25">
      <c r="A2156" s="262">
        <v>40113</v>
      </c>
      <c r="B2156" s="262" t="s">
        <v>1451</v>
      </c>
      <c r="C2156" s="262" t="s">
        <v>758</v>
      </c>
      <c r="D2156" s="262">
        <v>-96.404579799999993</v>
      </c>
      <c r="E2156" s="262">
        <v>36.634050000000002</v>
      </c>
      <c r="M2156" s="262">
        <v>14.81978939</v>
      </c>
      <c r="N2156" s="262">
        <v>14.81978939</v>
      </c>
    </row>
    <row r="2157" spans="1:14" x14ac:dyDescent="0.25">
      <c r="A2157" s="262">
        <v>40115</v>
      </c>
      <c r="B2157" s="262" t="s">
        <v>1451</v>
      </c>
      <c r="C2157" s="262" t="s">
        <v>760</v>
      </c>
      <c r="D2157" s="262">
        <v>-94.818054000000004</v>
      </c>
      <c r="E2157" s="262">
        <v>36.8553</v>
      </c>
      <c r="M2157" s="262">
        <v>14.593714629999999</v>
      </c>
      <c r="N2157" s="262">
        <v>14.593714629999999</v>
      </c>
    </row>
    <row r="2158" spans="1:14" x14ac:dyDescent="0.25">
      <c r="A2158" s="262">
        <v>40117</v>
      </c>
      <c r="B2158" s="262" t="s">
        <v>1451</v>
      </c>
      <c r="C2158" s="262" t="s">
        <v>761</v>
      </c>
      <c r="D2158" s="262">
        <v>-96.699004900000006</v>
      </c>
      <c r="E2158" s="262">
        <v>36.316809999999997</v>
      </c>
      <c r="M2158" s="262">
        <v>14.97420011</v>
      </c>
      <c r="N2158" s="262">
        <v>14.97420011</v>
      </c>
    </row>
    <row r="2159" spans="1:14" x14ac:dyDescent="0.25">
      <c r="A2159" s="262">
        <v>40119</v>
      </c>
      <c r="B2159" s="262" t="s">
        <v>1451</v>
      </c>
      <c r="C2159" s="262" t="s">
        <v>1482</v>
      </c>
      <c r="D2159" s="262">
        <v>-96.975147800000002</v>
      </c>
      <c r="E2159" s="262">
        <v>36.06935</v>
      </c>
      <c r="M2159" s="262">
        <v>15.06929759</v>
      </c>
      <c r="N2159" s="262">
        <v>15.06929759</v>
      </c>
    </row>
    <row r="2160" spans="1:14" x14ac:dyDescent="0.25">
      <c r="A2160" s="262">
        <v>40121</v>
      </c>
      <c r="B2160" s="262" t="s">
        <v>1451</v>
      </c>
      <c r="C2160" s="262" t="s">
        <v>1483</v>
      </c>
      <c r="D2160" s="262">
        <v>-95.743979699999997</v>
      </c>
      <c r="E2160" s="262">
        <v>34.948799999999999</v>
      </c>
      <c r="M2160" s="262">
        <v>15.683910020000001</v>
      </c>
      <c r="N2160" s="262">
        <v>15.683910020000001</v>
      </c>
    </row>
    <row r="2161" spans="1:14" x14ac:dyDescent="0.25">
      <c r="A2161" s="262">
        <v>40123</v>
      </c>
      <c r="B2161" s="262" t="s">
        <v>1451</v>
      </c>
      <c r="C2161" s="262" t="s">
        <v>1096</v>
      </c>
      <c r="D2161" s="262">
        <v>-96.674562300000005</v>
      </c>
      <c r="E2161" s="262">
        <v>34.730759999999997</v>
      </c>
      <c r="M2161" s="262">
        <v>15.765858420000001</v>
      </c>
      <c r="N2161" s="262">
        <v>15.765858420000001</v>
      </c>
    </row>
    <row r="2162" spans="1:14" x14ac:dyDescent="0.25">
      <c r="A2162" s="262">
        <v>40125</v>
      </c>
      <c r="B2162" s="262" t="s">
        <v>1451</v>
      </c>
      <c r="C2162" s="262" t="s">
        <v>762</v>
      </c>
      <c r="D2162" s="262">
        <v>-96.944520699999998</v>
      </c>
      <c r="E2162" s="262">
        <v>35.201560000000001</v>
      </c>
      <c r="M2162" s="262">
        <v>15.480997390000001</v>
      </c>
      <c r="N2162" s="262">
        <v>15.480997390000001</v>
      </c>
    </row>
    <row r="2163" spans="1:14" x14ac:dyDescent="0.25">
      <c r="A2163" s="262">
        <v>40127</v>
      </c>
      <c r="B2163" s="262" t="s">
        <v>1451</v>
      </c>
      <c r="C2163" s="262" t="s">
        <v>1484</v>
      </c>
      <c r="D2163" s="262">
        <v>-95.384274099999999</v>
      </c>
      <c r="E2163" s="262">
        <v>34.44979</v>
      </c>
      <c r="M2163" s="262">
        <v>15.9466649</v>
      </c>
      <c r="N2163" s="262">
        <v>15.9466649</v>
      </c>
    </row>
    <row r="2164" spans="1:14" x14ac:dyDescent="0.25">
      <c r="A2164" s="262">
        <v>40129</v>
      </c>
      <c r="B2164" s="262" t="s">
        <v>1451</v>
      </c>
      <c r="C2164" s="262" t="s">
        <v>1485</v>
      </c>
      <c r="D2164" s="262">
        <v>-99.699927299999999</v>
      </c>
      <c r="E2164" s="262">
        <v>35.683129999999998</v>
      </c>
      <c r="M2164" s="262">
        <v>15.05565897</v>
      </c>
      <c r="N2164" s="262">
        <v>15.05565897</v>
      </c>
    </row>
    <row r="2165" spans="1:14" x14ac:dyDescent="0.25">
      <c r="A2165" s="262">
        <v>40131</v>
      </c>
      <c r="B2165" s="262" t="s">
        <v>1451</v>
      </c>
      <c r="C2165" s="262" t="s">
        <v>1486</v>
      </c>
      <c r="D2165" s="262">
        <v>-95.612133</v>
      </c>
      <c r="E2165" s="262">
        <v>36.3979</v>
      </c>
      <c r="M2165" s="262">
        <v>14.91338968</v>
      </c>
      <c r="N2165" s="262">
        <v>14.91338968</v>
      </c>
    </row>
    <row r="2166" spans="1:14" x14ac:dyDescent="0.25">
      <c r="A2166" s="262">
        <v>40133</v>
      </c>
      <c r="B2166" s="262" t="s">
        <v>1451</v>
      </c>
      <c r="C2166" s="262" t="s">
        <v>426</v>
      </c>
      <c r="D2166" s="262">
        <v>-96.600141399999998</v>
      </c>
      <c r="E2166" s="262">
        <v>35.168149999999997</v>
      </c>
      <c r="M2166" s="262">
        <v>15.52749513</v>
      </c>
      <c r="N2166" s="262">
        <v>15.52749513</v>
      </c>
    </row>
    <row r="2167" spans="1:14" x14ac:dyDescent="0.25">
      <c r="A2167" s="262">
        <v>40135</v>
      </c>
      <c r="B2167" s="262" t="s">
        <v>1451</v>
      </c>
      <c r="C2167" s="262" t="s">
        <v>1487</v>
      </c>
      <c r="D2167" s="262">
        <v>-94.760490799999999</v>
      </c>
      <c r="E2167" s="262">
        <v>35.520539999999997</v>
      </c>
      <c r="M2167" s="262">
        <v>15.39966883</v>
      </c>
      <c r="N2167" s="262">
        <v>15.39966883</v>
      </c>
    </row>
    <row r="2168" spans="1:14" x14ac:dyDescent="0.25">
      <c r="A2168" s="262">
        <v>40137</v>
      </c>
      <c r="B2168" s="262" t="s">
        <v>1451</v>
      </c>
      <c r="C2168" s="262" t="s">
        <v>516</v>
      </c>
      <c r="D2168" s="262">
        <v>-97.846371599999998</v>
      </c>
      <c r="E2168" s="262">
        <v>34.484319999999997</v>
      </c>
      <c r="M2168" s="262">
        <v>15.92029557</v>
      </c>
      <c r="N2168" s="262">
        <v>15.92029557</v>
      </c>
    </row>
    <row r="2169" spans="1:14" x14ac:dyDescent="0.25">
      <c r="A2169" s="262">
        <v>40139</v>
      </c>
      <c r="B2169" s="262" t="s">
        <v>1451</v>
      </c>
      <c r="C2169" s="262" t="s">
        <v>1148</v>
      </c>
      <c r="D2169" s="262">
        <v>-101.47780299999999</v>
      </c>
      <c r="E2169" s="262">
        <v>36.745069999999998</v>
      </c>
      <c r="M2169" s="262">
        <v>13.833208900000001</v>
      </c>
      <c r="N2169" s="262">
        <v>13.833208900000001</v>
      </c>
    </row>
    <row r="2170" spans="1:14" x14ac:dyDescent="0.25">
      <c r="A2170" s="262">
        <v>40141</v>
      </c>
      <c r="B2170" s="262" t="s">
        <v>1451</v>
      </c>
      <c r="C2170" s="262" t="s">
        <v>1488</v>
      </c>
      <c r="D2170" s="262">
        <v>-98.921205200000003</v>
      </c>
      <c r="E2170" s="262">
        <v>34.375349999999997</v>
      </c>
      <c r="M2170" s="262">
        <v>15.97068339</v>
      </c>
      <c r="N2170" s="262">
        <v>15.97068339</v>
      </c>
    </row>
    <row r="2171" spans="1:14" x14ac:dyDescent="0.25">
      <c r="A2171" s="262">
        <v>40143</v>
      </c>
      <c r="B2171" s="262" t="s">
        <v>1451</v>
      </c>
      <c r="C2171" s="262" t="s">
        <v>1489</v>
      </c>
      <c r="D2171" s="262">
        <v>-95.942805000000007</v>
      </c>
      <c r="E2171" s="262">
        <v>36.133839999999999</v>
      </c>
      <c r="M2171" s="262">
        <v>15.06542834</v>
      </c>
      <c r="N2171" s="262">
        <v>15.06542834</v>
      </c>
    </row>
    <row r="2172" spans="1:14" x14ac:dyDescent="0.25">
      <c r="A2172" s="262">
        <v>40145</v>
      </c>
      <c r="B2172" s="262" t="s">
        <v>1451</v>
      </c>
      <c r="C2172" s="262" t="s">
        <v>1490</v>
      </c>
      <c r="D2172" s="262">
        <v>-95.538417899999999</v>
      </c>
      <c r="E2172" s="262">
        <v>35.985869999999998</v>
      </c>
      <c r="M2172" s="262">
        <v>15.15126607</v>
      </c>
      <c r="N2172" s="262">
        <v>15.15126607</v>
      </c>
    </row>
    <row r="2173" spans="1:14" x14ac:dyDescent="0.25">
      <c r="A2173" s="262">
        <v>40147</v>
      </c>
      <c r="B2173" s="262" t="s">
        <v>1451</v>
      </c>
      <c r="C2173" s="262" t="s">
        <v>177</v>
      </c>
      <c r="D2173" s="262">
        <v>-95.913278300000002</v>
      </c>
      <c r="E2173" s="262">
        <v>36.727029999999999</v>
      </c>
      <c r="M2173" s="262">
        <v>14.75476123</v>
      </c>
      <c r="N2173" s="262">
        <v>14.75476123</v>
      </c>
    </row>
    <row r="2174" spans="1:14" x14ac:dyDescent="0.25">
      <c r="A2174" s="262">
        <v>40149</v>
      </c>
      <c r="B2174" s="262" t="s">
        <v>1451</v>
      </c>
      <c r="C2174" s="262" t="s">
        <v>1491</v>
      </c>
      <c r="D2174" s="262">
        <v>-98.991707500000004</v>
      </c>
      <c r="E2174" s="262">
        <v>35.290730000000003</v>
      </c>
      <c r="M2174" s="262">
        <v>15.39038833</v>
      </c>
      <c r="N2174" s="262">
        <v>15.39038833</v>
      </c>
    </row>
    <row r="2175" spans="1:14" x14ac:dyDescent="0.25">
      <c r="A2175" s="262">
        <v>40151</v>
      </c>
      <c r="B2175" s="262" t="s">
        <v>1451</v>
      </c>
      <c r="C2175" s="262" t="s">
        <v>1492</v>
      </c>
      <c r="D2175" s="262">
        <v>-98.872946099999993</v>
      </c>
      <c r="E2175" s="262">
        <v>36.770870000000002</v>
      </c>
      <c r="M2175" s="262">
        <v>14.59804993</v>
      </c>
      <c r="N2175" s="262">
        <v>14.59804993</v>
      </c>
    </row>
    <row r="2176" spans="1:14" x14ac:dyDescent="0.25">
      <c r="A2176" s="262">
        <v>40153</v>
      </c>
      <c r="B2176" s="262" t="s">
        <v>1451</v>
      </c>
      <c r="C2176" s="262" t="s">
        <v>1493</v>
      </c>
      <c r="D2176" s="262">
        <v>-99.260005800000002</v>
      </c>
      <c r="E2176" s="262">
        <v>36.416400000000003</v>
      </c>
      <c r="M2176" s="262">
        <v>14.720934509999999</v>
      </c>
      <c r="N2176" s="262">
        <v>14.720934509999999</v>
      </c>
    </row>
    <row r="2177" spans="1:14" x14ac:dyDescent="0.25">
      <c r="A2177" s="262">
        <v>41001</v>
      </c>
      <c r="B2177" s="262" t="s">
        <v>1494</v>
      </c>
      <c r="C2177" s="262" t="s">
        <v>384</v>
      </c>
      <c r="D2177" s="262">
        <v>-117.67175899999999</v>
      </c>
      <c r="E2177" s="262">
        <v>44.715739999999997</v>
      </c>
      <c r="M2177" s="262">
        <v>9.4699833689999995</v>
      </c>
      <c r="N2177" s="262">
        <v>9.4699833689999995</v>
      </c>
    </row>
    <row r="2178" spans="1:14" x14ac:dyDescent="0.25">
      <c r="A2178" s="262">
        <v>41003</v>
      </c>
      <c r="B2178" s="262" t="s">
        <v>1494</v>
      </c>
      <c r="C2178" s="262" t="s">
        <v>200</v>
      </c>
      <c r="D2178" s="262">
        <v>-123.41570900000001</v>
      </c>
      <c r="E2178" s="262">
        <v>44.490769999999998</v>
      </c>
      <c r="M2178" s="262">
        <v>10.439815729999999</v>
      </c>
      <c r="N2178" s="262">
        <v>10.439815729999999</v>
      </c>
    </row>
    <row r="2179" spans="1:14" x14ac:dyDescent="0.25">
      <c r="A2179" s="262">
        <v>41005</v>
      </c>
      <c r="B2179" s="262" t="s">
        <v>1494</v>
      </c>
      <c r="C2179" s="262" t="s">
        <v>1495</v>
      </c>
      <c r="D2179" s="262">
        <v>-122.210515</v>
      </c>
      <c r="E2179" s="262">
        <v>45.177590000000002</v>
      </c>
      <c r="M2179" s="262">
        <v>9.6914077830000007</v>
      </c>
      <c r="N2179" s="262">
        <v>9.6914077830000007</v>
      </c>
    </row>
    <row r="2180" spans="1:14" x14ac:dyDescent="0.25">
      <c r="A2180" s="262">
        <v>41007</v>
      </c>
      <c r="B2180" s="262" t="s">
        <v>1494</v>
      </c>
      <c r="C2180" s="262" t="s">
        <v>1496</v>
      </c>
      <c r="D2180" s="262">
        <v>-123.640292</v>
      </c>
      <c r="E2180" s="262">
        <v>45.975790000000003</v>
      </c>
      <c r="M2180" s="262">
        <v>8.8764910419999996</v>
      </c>
      <c r="N2180" s="262">
        <v>8.8764910419999996</v>
      </c>
    </row>
    <row r="2181" spans="1:14" x14ac:dyDescent="0.25">
      <c r="A2181" s="262">
        <v>41009</v>
      </c>
      <c r="B2181" s="262" t="s">
        <v>1494</v>
      </c>
      <c r="C2181" s="262" t="s">
        <v>207</v>
      </c>
      <c r="D2181" s="262">
        <v>-123.088105</v>
      </c>
      <c r="E2181" s="262">
        <v>45.932200000000002</v>
      </c>
      <c r="M2181" s="262">
        <v>8.9763084749999997</v>
      </c>
      <c r="N2181" s="262">
        <v>8.9763084749999997</v>
      </c>
    </row>
    <row r="2182" spans="1:14" x14ac:dyDescent="0.25">
      <c r="A2182" s="262">
        <v>41011</v>
      </c>
      <c r="B2182" s="262" t="s">
        <v>1494</v>
      </c>
      <c r="C2182" s="262" t="s">
        <v>1244</v>
      </c>
      <c r="D2182" s="262">
        <v>-124.04356300000001</v>
      </c>
      <c r="E2182" s="262">
        <v>43.164540000000002</v>
      </c>
      <c r="M2182" s="262">
        <v>10.173952610000001</v>
      </c>
      <c r="N2182" s="262">
        <v>10.173952610000001</v>
      </c>
    </row>
    <row r="2183" spans="1:14" x14ac:dyDescent="0.25">
      <c r="A2183" s="262">
        <v>41013</v>
      </c>
      <c r="B2183" s="262" t="s">
        <v>1494</v>
      </c>
      <c r="C2183" s="262" t="s">
        <v>1497</v>
      </c>
      <c r="D2183" s="262">
        <v>-120.34974200000001</v>
      </c>
      <c r="E2183" s="262">
        <v>44.135129999999997</v>
      </c>
      <c r="M2183" s="262">
        <v>9.7870446839999996</v>
      </c>
      <c r="N2183" s="262">
        <v>9.7870446839999996</v>
      </c>
    </row>
    <row r="2184" spans="1:14" x14ac:dyDescent="0.25">
      <c r="A2184" s="262">
        <v>41015</v>
      </c>
      <c r="B2184" s="262" t="s">
        <v>1494</v>
      </c>
      <c r="C2184" s="262" t="s">
        <v>1266</v>
      </c>
      <c r="D2184" s="262">
        <v>-124.135448</v>
      </c>
      <c r="E2184" s="262">
        <v>42.461930000000002</v>
      </c>
      <c r="M2184" s="262">
        <v>10.364296960000001</v>
      </c>
      <c r="N2184" s="262">
        <v>10.364296960000001</v>
      </c>
    </row>
    <row r="2185" spans="1:14" x14ac:dyDescent="0.25">
      <c r="A2185" s="262">
        <v>41017</v>
      </c>
      <c r="B2185" s="262" t="s">
        <v>1494</v>
      </c>
      <c r="C2185" s="262" t="s">
        <v>1498</v>
      </c>
      <c r="D2185" s="262">
        <v>-121.225858</v>
      </c>
      <c r="E2185" s="262">
        <v>43.909480000000002</v>
      </c>
      <c r="M2185" s="262">
        <v>9.1517874589999995</v>
      </c>
      <c r="N2185" s="262">
        <v>9.1517874589999995</v>
      </c>
    </row>
    <row r="2186" spans="1:14" x14ac:dyDescent="0.25">
      <c r="A2186" s="262">
        <v>41019</v>
      </c>
      <c r="B2186" s="262" t="s">
        <v>1494</v>
      </c>
      <c r="C2186" s="262" t="s">
        <v>330</v>
      </c>
      <c r="D2186" s="262">
        <v>-123.160512</v>
      </c>
      <c r="E2186" s="262">
        <v>43.268909999999998</v>
      </c>
      <c r="M2186" s="262">
        <v>9.4725113010000008</v>
      </c>
      <c r="N2186" s="262">
        <v>9.4725113010000008</v>
      </c>
    </row>
    <row r="2187" spans="1:14" x14ac:dyDescent="0.25">
      <c r="A2187" s="262">
        <v>41021</v>
      </c>
      <c r="B2187" s="262" t="s">
        <v>1494</v>
      </c>
      <c r="C2187" s="262" t="s">
        <v>1499</v>
      </c>
      <c r="D2187" s="262">
        <v>-120.21820200000001</v>
      </c>
      <c r="E2187" s="262">
        <v>45.376300000000001</v>
      </c>
      <c r="M2187" s="262">
        <v>10.803843110000001</v>
      </c>
      <c r="N2187" s="262">
        <v>10.803843110000001</v>
      </c>
    </row>
    <row r="2188" spans="1:14" x14ac:dyDescent="0.25">
      <c r="A2188" s="262">
        <v>41023</v>
      </c>
      <c r="B2188" s="262" t="s">
        <v>1494</v>
      </c>
      <c r="C2188" s="262" t="s">
        <v>218</v>
      </c>
      <c r="D2188" s="262">
        <v>-119.00214699999999</v>
      </c>
      <c r="E2188" s="262">
        <v>44.488149999999997</v>
      </c>
      <c r="M2188" s="262">
        <v>9.7177387129999993</v>
      </c>
      <c r="N2188" s="262">
        <v>9.7177387129999993</v>
      </c>
    </row>
    <row r="2189" spans="1:14" x14ac:dyDescent="0.25">
      <c r="A2189" s="262">
        <v>41025</v>
      </c>
      <c r="B2189" s="262" t="s">
        <v>1494</v>
      </c>
      <c r="C2189" s="262" t="s">
        <v>1500</v>
      </c>
      <c r="D2189" s="262">
        <v>-118.966661</v>
      </c>
      <c r="E2189" s="262">
        <v>43.065040000000003</v>
      </c>
      <c r="M2189" s="262">
        <v>10.35052357</v>
      </c>
      <c r="N2189" s="262">
        <v>10.35052357</v>
      </c>
    </row>
    <row r="2190" spans="1:14" x14ac:dyDescent="0.25">
      <c r="A2190" s="262">
        <v>41027</v>
      </c>
      <c r="B2190" s="262" t="s">
        <v>1494</v>
      </c>
      <c r="C2190" s="262" t="s">
        <v>1501</v>
      </c>
      <c r="D2190" s="262">
        <v>-121.644696</v>
      </c>
      <c r="E2190" s="262">
        <v>45.512329999999999</v>
      </c>
      <c r="M2190" s="262">
        <v>9.9898425579999994</v>
      </c>
      <c r="N2190" s="262">
        <v>9.9898425579999994</v>
      </c>
    </row>
    <row r="2191" spans="1:14" x14ac:dyDescent="0.25">
      <c r="A2191" s="262">
        <v>41029</v>
      </c>
      <c r="B2191" s="262" t="s">
        <v>1494</v>
      </c>
      <c r="C2191" s="262" t="s">
        <v>148</v>
      </c>
      <c r="D2191" s="262">
        <v>-122.73192</v>
      </c>
      <c r="E2191" s="262">
        <v>42.431190000000001</v>
      </c>
      <c r="M2191" s="262">
        <v>8.8470149449999997</v>
      </c>
      <c r="N2191" s="262">
        <v>8.8470149449999997</v>
      </c>
    </row>
    <row r="2192" spans="1:14" x14ac:dyDescent="0.25">
      <c r="A2192" s="262">
        <v>41031</v>
      </c>
      <c r="B2192" s="262" t="s">
        <v>1494</v>
      </c>
      <c r="C2192" s="262" t="s">
        <v>149</v>
      </c>
      <c r="D2192" s="262">
        <v>-121.165918</v>
      </c>
      <c r="E2192" s="262">
        <v>44.625030000000002</v>
      </c>
      <c r="M2192" s="262">
        <v>9.5898898559999992</v>
      </c>
      <c r="N2192" s="262">
        <v>9.5898898559999992</v>
      </c>
    </row>
    <row r="2193" spans="1:14" x14ac:dyDescent="0.25">
      <c r="A2193" s="262">
        <v>41033</v>
      </c>
      <c r="B2193" s="262" t="s">
        <v>1494</v>
      </c>
      <c r="C2193" s="262" t="s">
        <v>1502</v>
      </c>
      <c r="D2193" s="262">
        <v>-123.55814100000001</v>
      </c>
      <c r="E2193" s="262">
        <v>42.366059999999997</v>
      </c>
      <c r="M2193" s="262">
        <v>9.8165824050000001</v>
      </c>
      <c r="N2193" s="262">
        <v>9.8165824050000001</v>
      </c>
    </row>
    <row r="2194" spans="1:14" x14ac:dyDescent="0.25">
      <c r="A2194" s="262">
        <v>41035</v>
      </c>
      <c r="B2194" s="262" t="s">
        <v>1494</v>
      </c>
      <c r="C2194" s="262" t="s">
        <v>1503</v>
      </c>
      <c r="D2194" s="262">
        <v>-121.65452000000001</v>
      </c>
      <c r="E2194" s="262">
        <v>42.695030000000003</v>
      </c>
      <c r="M2194" s="262">
        <v>9.0475273999999999</v>
      </c>
      <c r="N2194" s="262">
        <v>9.0475273999999999</v>
      </c>
    </row>
    <row r="2195" spans="1:14" x14ac:dyDescent="0.25">
      <c r="A2195" s="262">
        <v>41037</v>
      </c>
      <c r="B2195" s="262" t="s">
        <v>1494</v>
      </c>
      <c r="C2195" s="262" t="s">
        <v>271</v>
      </c>
      <c r="D2195" s="262">
        <v>-120.383341</v>
      </c>
      <c r="E2195" s="262">
        <v>42.798929999999999</v>
      </c>
      <c r="M2195" s="262">
        <v>9.870145376</v>
      </c>
      <c r="N2195" s="262">
        <v>9.870145376</v>
      </c>
    </row>
    <row r="2196" spans="1:14" x14ac:dyDescent="0.25">
      <c r="A2196" s="262">
        <v>41039</v>
      </c>
      <c r="B2196" s="262" t="s">
        <v>1494</v>
      </c>
      <c r="C2196" s="262" t="s">
        <v>748</v>
      </c>
      <c r="D2196" s="262">
        <v>-122.836833</v>
      </c>
      <c r="E2196" s="262">
        <v>43.933599999999998</v>
      </c>
      <c r="M2196" s="262">
        <v>9.5351902200000005</v>
      </c>
      <c r="N2196" s="262">
        <v>9.5351902200000005</v>
      </c>
    </row>
    <row r="2197" spans="1:14" x14ac:dyDescent="0.25">
      <c r="A2197" s="262">
        <v>41041</v>
      </c>
      <c r="B2197" s="262" t="s">
        <v>1494</v>
      </c>
      <c r="C2197" s="262" t="s">
        <v>226</v>
      </c>
      <c r="D2197" s="262">
        <v>-123.836422</v>
      </c>
      <c r="E2197" s="262">
        <v>44.631729999999997</v>
      </c>
      <c r="M2197" s="262">
        <v>10.229768549999999</v>
      </c>
      <c r="N2197" s="262">
        <v>10.229768549999999</v>
      </c>
    </row>
    <row r="2198" spans="1:14" x14ac:dyDescent="0.25">
      <c r="A2198" s="262">
        <v>41043</v>
      </c>
      <c r="B2198" s="262" t="s">
        <v>1494</v>
      </c>
      <c r="C2198" s="262" t="s">
        <v>694</v>
      </c>
      <c r="D2198" s="262">
        <v>-122.531899</v>
      </c>
      <c r="E2198" s="262">
        <v>44.486020000000003</v>
      </c>
      <c r="M2198" s="262">
        <v>9.7116543469999996</v>
      </c>
      <c r="N2198" s="262">
        <v>9.7116543469999996</v>
      </c>
    </row>
    <row r="2199" spans="1:14" x14ac:dyDescent="0.25">
      <c r="A2199" s="262">
        <v>41045</v>
      </c>
      <c r="B2199" s="262" t="s">
        <v>1494</v>
      </c>
      <c r="C2199" s="262" t="s">
        <v>1504</v>
      </c>
      <c r="D2199" s="262">
        <v>-117.62397799999999</v>
      </c>
      <c r="E2199" s="262">
        <v>43.200229999999998</v>
      </c>
      <c r="M2199" s="262">
        <v>10.438943139999999</v>
      </c>
      <c r="N2199" s="262">
        <v>10.438943139999999</v>
      </c>
    </row>
    <row r="2200" spans="1:14" x14ac:dyDescent="0.25">
      <c r="A2200" s="262">
        <v>41047</v>
      </c>
      <c r="B2200" s="262" t="s">
        <v>1494</v>
      </c>
      <c r="C2200" s="262" t="s">
        <v>159</v>
      </c>
      <c r="D2200" s="262">
        <v>-122.583101</v>
      </c>
      <c r="E2200" s="262">
        <v>44.896830000000001</v>
      </c>
      <c r="M2200" s="262">
        <v>9.8753323040000005</v>
      </c>
      <c r="N2200" s="262">
        <v>9.8753323040000005</v>
      </c>
    </row>
    <row r="2201" spans="1:14" x14ac:dyDescent="0.25">
      <c r="A2201" s="262">
        <v>41049</v>
      </c>
      <c r="B2201" s="262" t="s">
        <v>1494</v>
      </c>
      <c r="C2201" s="262" t="s">
        <v>1437</v>
      </c>
      <c r="D2201" s="262">
        <v>-119.585089</v>
      </c>
      <c r="E2201" s="262">
        <v>45.419440000000002</v>
      </c>
      <c r="M2201" s="262">
        <v>10.408072730000001</v>
      </c>
      <c r="N2201" s="262">
        <v>10.408072730000001</v>
      </c>
    </row>
    <row r="2202" spans="1:14" x14ac:dyDescent="0.25">
      <c r="A2202" s="262">
        <v>41051</v>
      </c>
      <c r="B2202" s="262" t="s">
        <v>1494</v>
      </c>
      <c r="C2202" s="262" t="s">
        <v>1505</v>
      </c>
      <c r="D2202" s="262">
        <v>-122.386374</v>
      </c>
      <c r="E2202" s="262">
        <v>45.533749999999998</v>
      </c>
      <c r="M2202" s="262">
        <v>9.5983582510000005</v>
      </c>
      <c r="N2202" s="262">
        <v>9.5983582510000005</v>
      </c>
    </row>
    <row r="2203" spans="1:14" x14ac:dyDescent="0.25">
      <c r="A2203" s="262">
        <v>41053</v>
      </c>
      <c r="B2203" s="262" t="s">
        <v>1494</v>
      </c>
      <c r="C2203" s="262" t="s">
        <v>237</v>
      </c>
      <c r="D2203" s="262">
        <v>-123.39935</v>
      </c>
      <c r="E2203" s="262">
        <v>44.894100000000002</v>
      </c>
      <c r="M2203" s="262">
        <v>10.309461689999999</v>
      </c>
      <c r="N2203" s="262">
        <v>10.309461689999999</v>
      </c>
    </row>
    <row r="2204" spans="1:14" x14ac:dyDescent="0.25">
      <c r="A2204" s="262">
        <v>41055</v>
      </c>
      <c r="B2204" s="262" t="s">
        <v>1494</v>
      </c>
      <c r="C2204" s="262" t="s">
        <v>773</v>
      </c>
      <c r="D2204" s="262">
        <v>-120.693162</v>
      </c>
      <c r="E2204" s="262">
        <v>45.394599999999997</v>
      </c>
      <c r="M2204" s="262">
        <v>10.762975109999999</v>
      </c>
      <c r="N2204" s="262">
        <v>10.762975109999999</v>
      </c>
    </row>
    <row r="2205" spans="1:14" x14ac:dyDescent="0.25">
      <c r="A2205" s="262">
        <v>41057</v>
      </c>
      <c r="B2205" s="262" t="s">
        <v>1494</v>
      </c>
      <c r="C2205" s="262" t="s">
        <v>1506</v>
      </c>
      <c r="D2205" s="262">
        <v>-123.677781</v>
      </c>
      <c r="E2205" s="262">
        <v>45.450749999999999</v>
      </c>
      <c r="M2205" s="262">
        <v>9.5666333100000003</v>
      </c>
      <c r="N2205" s="262">
        <v>9.5666333100000003</v>
      </c>
    </row>
    <row r="2206" spans="1:14" x14ac:dyDescent="0.25">
      <c r="A2206" s="262">
        <v>41059</v>
      </c>
      <c r="B2206" s="262" t="s">
        <v>1494</v>
      </c>
      <c r="C2206" s="262" t="s">
        <v>1507</v>
      </c>
      <c r="D2206" s="262">
        <v>-118.73485700000001</v>
      </c>
      <c r="E2206" s="262">
        <v>45.591610000000003</v>
      </c>
      <c r="M2206" s="262">
        <v>9.3159444619999991</v>
      </c>
      <c r="N2206" s="262">
        <v>9.3159444619999991</v>
      </c>
    </row>
    <row r="2207" spans="1:14" x14ac:dyDescent="0.25">
      <c r="A2207" s="262">
        <v>41061</v>
      </c>
      <c r="B2207" s="262" t="s">
        <v>1494</v>
      </c>
      <c r="C2207" s="262" t="s">
        <v>249</v>
      </c>
      <c r="D2207" s="262">
        <v>-118.003227</v>
      </c>
      <c r="E2207" s="262">
        <v>45.319299999999998</v>
      </c>
      <c r="M2207" s="262">
        <v>8.9131451800000008</v>
      </c>
      <c r="N2207" s="262">
        <v>8.9131451800000008</v>
      </c>
    </row>
    <row r="2208" spans="1:14" x14ac:dyDescent="0.25">
      <c r="A2208" s="262">
        <v>41063</v>
      </c>
      <c r="B2208" s="262" t="s">
        <v>1494</v>
      </c>
      <c r="C2208" s="262" t="s">
        <v>1508</v>
      </c>
      <c r="D2208" s="262">
        <v>-117.172419</v>
      </c>
      <c r="E2208" s="262">
        <v>45.586739999999999</v>
      </c>
      <c r="M2208" s="262">
        <v>9.0526879460000007</v>
      </c>
      <c r="N2208" s="262">
        <v>9.0526879460000007</v>
      </c>
    </row>
    <row r="2209" spans="1:14" x14ac:dyDescent="0.25">
      <c r="A2209" s="262">
        <v>41065</v>
      </c>
      <c r="B2209" s="262" t="s">
        <v>1494</v>
      </c>
      <c r="C2209" s="262" t="s">
        <v>1509</v>
      </c>
      <c r="D2209" s="262">
        <v>-121.16069400000001</v>
      </c>
      <c r="E2209" s="262">
        <v>45.153019999999998</v>
      </c>
      <c r="M2209" s="262">
        <v>10.12464411</v>
      </c>
      <c r="N2209" s="262">
        <v>10.12464411</v>
      </c>
    </row>
    <row r="2210" spans="1:14" x14ac:dyDescent="0.25">
      <c r="A2210" s="262">
        <v>41067</v>
      </c>
      <c r="B2210" s="262" t="s">
        <v>1494</v>
      </c>
      <c r="C2210" s="262" t="s">
        <v>177</v>
      </c>
      <c r="D2210" s="262">
        <v>-123.08457199999999</v>
      </c>
      <c r="E2210" s="262">
        <v>45.549370000000003</v>
      </c>
      <c r="M2210" s="262">
        <v>9.4887031260000008</v>
      </c>
      <c r="N2210" s="262">
        <v>9.4887031260000008</v>
      </c>
    </row>
    <row r="2211" spans="1:14" x14ac:dyDescent="0.25">
      <c r="A2211" s="262">
        <v>41069</v>
      </c>
      <c r="B2211" s="262" t="s">
        <v>1494</v>
      </c>
      <c r="C2211" s="262" t="s">
        <v>536</v>
      </c>
      <c r="D2211" s="262">
        <v>-120.017633</v>
      </c>
      <c r="E2211" s="262">
        <v>44.723700000000001</v>
      </c>
      <c r="M2211" s="262">
        <v>10.13155809</v>
      </c>
      <c r="N2211" s="262">
        <v>10.13155809</v>
      </c>
    </row>
    <row r="2212" spans="1:14" x14ac:dyDescent="0.25">
      <c r="A2212" s="262">
        <v>41071</v>
      </c>
      <c r="B2212" s="262" t="s">
        <v>1494</v>
      </c>
      <c r="C2212" s="262" t="s">
        <v>1510</v>
      </c>
      <c r="D2212" s="262">
        <v>-123.292329</v>
      </c>
      <c r="E2212" s="262">
        <v>45.221119999999999</v>
      </c>
      <c r="M2212" s="262">
        <v>9.9238474750000005</v>
      </c>
      <c r="N2212" s="262">
        <v>9.9238474750000005</v>
      </c>
    </row>
    <row r="2213" spans="1:14" x14ac:dyDescent="0.25">
      <c r="A2213" s="262">
        <v>42001</v>
      </c>
      <c r="B2213" s="262" t="s">
        <v>1511</v>
      </c>
      <c r="C2213" s="262" t="s">
        <v>312</v>
      </c>
      <c r="D2213" s="262">
        <v>-77.215496999999999</v>
      </c>
      <c r="E2213" s="262">
        <v>39.877760000000002</v>
      </c>
      <c r="M2213" s="262">
        <v>12.1757189</v>
      </c>
      <c r="N2213" s="262">
        <v>12.1757189</v>
      </c>
    </row>
    <row r="2214" spans="1:14" x14ac:dyDescent="0.25">
      <c r="A2214" s="262">
        <v>42003</v>
      </c>
      <c r="B2214" s="262" t="s">
        <v>1511</v>
      </c>
      <c r="C2214" s="262" t="s">
        <v>1512</v>
      </c>
      <c r="D2214" s="262">
        <v>-79.979797500000004</v>
      </c>
      <c r="E2214" s="262">
        <v>40.469859999999997</v>
      </c>
      <c r="M2214" s="262">
        <v>11.289717980000001</v>
      </c>
      <c r="N2214" s="262">
        <v>11.289717980000001</v>
      </c>
    </row>
    <row r="2215" spans="1:14" x14ac:dyDescent="0.25">
      <c r="A2215" s="262">
        <v>42005</v>
      </c>
      <c r="B2215" s="262" t="s">
        <v>1511</v>
      </c>
      <c r="C2215" s="262" t="s">
        <v>1513</v>
      </c>
      <c r="D2215" s="262">
        <v>-79.465577600000003</v>
      </c>
      <c r="E2215" s="262">
        <v>40.816540000000003</v>
      </c>
      <c r="M2215" s="262">
        <v>10.740149499999999</v>
      </c>
      <c r="N2215" s="262">
        <v>10.740149499999999</v>
      </c>
    </row>
    <row r="2216" spans="1:14" x14ac:dyDescent="0.25">
      <c r="A2216" s="262">
        <v>42007</v>
      </c>
      <c r="B2216" s="262" t="s">
        <v>1511</v>
      </c>
      <c r="C2216" s="262" t="s">
        <v>1454</v>
      </c>
      <c r="D2216" s="262">
        <v>-80.347738100000001</v>
      </c>
      <c r="E2216" s="262">
        <v>40.68327</v>
      </c>
      <c r="M2216" s="262">
        <v>11.30867832</v>
      </c>
      <c r="N2216" s="262">
        <v>11.30867832</v>
      </c>
    </row>
    <row r="2217" spans="1:14" x14ac:dyDescent="0.25">
      <c r="A2217" s="262">
        <v>42009</v>
      </c>
      <c r="B2217" s="262" t="s">
        <v>1511</v>
      </c>
      <c r="C2217" s="262" t="s">
        <v>1514</v>
      </c>
      <c r="D2217" s="262">
        <v>-78.489063900000005</v>
      </c>
      <c r="E2217" s="262">
        <v>40.010330000000003</v>
      </c>
      <c r="M2217" s="262">
        <v>11.107548339999999</v>
      </c>
      <c r="N2217" s="262">
        <v>11.107548339999999</v>
      </c>
    </row>
    <row r="2218" spans="1:14" x14ac:dyDescent="0.25">
      <c r="A2218" s="262">
        <v>42011</v>
      </c>
      <c r="B2218" s="262" t="s">
        <v>1511</v>
      </c>
      <c r="C2218" s="262" t="s">
        <v>1515</v>
      </c>
      <c r="D2218" s="262">
        <v>-75.927165200000005</v>
      </c>
      <c r="E2218" s="262">
        <v>40.419199999999996</v>
      </c>
      <c r="M2218" s="262">
        <v>11.567925389999999</v>
      </c>
      <c r="N2218" s="262">
        <v>11.567925389999999</v>
      </c>
    </row>
    <row r="2219" spans="1:14" x14ac:dyDescent="0.25">
      <c r="A2219" s="262">
        <v>42013</v>
      </c>
      <c r="B2219" s="262" t="s">
        <v>1511</v>
      </c>
      <c r="C2219" s="262" t="s">
        <v>1516</v>
      </c>
      <c r="D2219" s="262">
        <v>-78.348489200000003</v>
      </c>
      <c r="E2219" s="262">
        <v>40.481699999999996</v>
      </c>
      <c r="M2219" s="262">
        <v>10.8484432</v>
      </c>
      <c r="N2219" s="262">
        <v>10.8484432</v>
      </c>
    </row>
    <row r="2220" spans="1:14" x14ac:dyDescent="0.25">
      <c r="A2220" s="262">
        <v>42015</v>
      </c>
      <c r="B2220" s="262" t="s">
        <v>1511</v>
      </c>
      <c r="C2220" s="262" t="s">
        <v>386</v>
      </c>
      <c r="D2220" s="262">
        <v>-76.527765799999997</v>
      </c>
      <c r="E2220" s="262">
        <v>41.789969999999997</v>
      </c>
      <c r="M2220" s="262">
        <v>9.9766382</v>
      </c>
      <c r="N2220" s="262">
        <v>9.9766382</v>
      </c>
    </row>
    <row r="2221" spans="1:14" x14ac:dyDescent="0.25">
      <c r="A2221" s="262">
        <v>42017</v>
      </c>
      <c r="B2221" s="262" t="s">
        <v>1511</v>
      </c>
      <c r="C2221" s="262" t="s">
        <v>1517</v>
      </c>
      <c r="D2221" s="262">
        <v>-75.105107399999994</v>
      </c>
      <c r="E2221" s="262">
        <v>40.34554</v>
      </c>
      <c r="M2221" s="262">
        <v>11.90988274</v>
      </c>
      <c r="N2221" s="262">
        <v>11.90988274</v>
      </c>
    </row>
    <row r="2222" spans="1:14" x14ac:dyDescent="0.25">
      <c r="A2222" s="262">
        <v>42019</v>
      </c>
      <c r="B2222" s="262" t="s">
        <v>1511</v>
      </c>
      <c r="C2222" s="262" t="s">
        <v>119</v>
      </c>
      <c r="D2222" s="262">
        <v>-79.914696000000006</v>
      </c>
      <c r="E2222" s="262">
        <v>40.911050000000003</v>
      </c>
      <c r="M2222" s="262">
        <v>10.953581789999999</v>
      </c>
      <c r="N2222" s="262">
        <v>10.953581789999999</v>
      </c>
    </row>
    <row r="2223" spans="1:14" x14ac:dyDescent="0.25">
      <c r="A2223" s="262">
        <v>42021</v>
      </c>
      <c r="B2223" s="262" t="s">
        <v>1511</v>
      </c>
      <c r="C2223" s="262" t="s">
        <v>1518</v>
      </c>
      <c r="D2223" s="262">
        <v>-78.709536600000007</v>
      </c>
      <c r="E2223" s="262">
        <v>40.497149999999998</v>
      </c>
      <c r="M2223" s="262">
        <v>10.72062917</v>
      </c>
      <c r="N2223" s="262">
        <v>10.72062917</v>
      </c>
    </row>
    <row r="2224" spans="1:14" x14ac:dyDescent="0.25">
      <c r="A2224" s="262">
        <v>42023</v>
      </c>
      <c r="B2224" s="262" t="s">
        <v>1511</v>
      </c>
      <c r="C2224" s="262" t="s">
        <v>1519</v>
      </c>
      <c r="D2224" s="262">
        <v>-78.205449799999997</v>
      </c>
      <c r="E2224" s="262">
        <v>41.432659999999998</v>
      </c>
      <c r="M2224" s="262">
        <v>9.8850771339999994</v>
      </c>
      <c r="N2224" s="262">
        <v>9.8850771339999994</v>
      </c>
    </row>
    <row r="2225" spans="1:14" x14ac:dyDescent="0.25">
      <c r="A2225" s="262">
        <v>42025</v>
      </c>
      <c r="B2225" s="262" t="s">
        <v>1511</v>
      </c>
      <c r="C2225" s="262" t="s">
        <v>1155</v>
      </c>
      <c r="D2225" s="262">
        <v>-75.709679199999997</v>
      </c>
      <c r="E2225" s="262">
        <v>40.919249999999998</v>
      </c>
      <c r="M2225" s="262">
        <v>10.2964377</v>
      </c>
      <c r="N2225" s="262">
        <v>10.2964377</v>
      </c>
    </row>
    <row r="2226" spans="1:14" x14ac:dyDescent="0.25">
      <c r="A2226" s="262">
        <v>42027</v>
      </c>
      <c r="B2226" s="262" t="s">
        <v>1511</v>
      </c>
      <c r="C2226" s="262" t="s">
        <v>1520</v>
      </c>
      <c r="D2226" s="262">
        <v>-77.830018199999998</v>
      </c>
      <c r="E2226" s="262">
        <v>40.921770000000002</v>
      </c>
      <c r="M2226" s="262">
        <v>10.76372986</v>
      </c>
      <c r="N2226" s="262">
        <v>10.76372986</v>
      </c>
    </row>
    <row r="2227" spans="1:14" x14ac:dyDescent="0.25">
      <c r="A2227" s="262">
        <v>42029</v>
      </c>
      <c r="B2227" s="262" t="s">
        <v>1511</v>
      </c>
      <c r="C2227" s="262" t="s">
        <v>1521</v>
      </c>
      <c r="D2227" s="262">
        <v>-75.744456</v>
      </c>
      <c r="E2227" s="262">
        <v>39.980339999999998</v>
      </c>
      <c r="M2227" s="262">
        <v>12.37693975</v>
      </c>
      <c r="N2227" s="262">
        <v>12.37693975</v>
      </c>
    </row>
    <row r="2228" spans="1:14" x14ac:dyDescent="0.25">
      <c r="A2228" s="262">
        <v>42031</v>
      </c>
      <c r="B2228" s="262" t="s">
        <v>1511</v>
      </c>
      <c r="C2228" s="262" t="s">
        <v>1522</v>
      </c>
      <c r="D2228" s="262">
        <v>-79.417744499999998</v>
      </c>
      <c r="E2228" s="262">
        <v>41.19417</v>
      </c>
      <c r="M2228" s="262">
        <v>10.435282340000001</v>
      </c>
      <c r="N2228" s="262">
        <v>10.435282340000001</v>
      </c>
    </row>
    <row r="2229" spans="1:14" x14ac:dyDescent="0.25">
      <c r="A2229" s="262">
        <v>42033</v>
      </c>
      <c r="B2229" s="262" t="s">
        <v>1511</v>
      </c>
      <c r="C2229" s="262" t="s">
        <v>1523</v>
      </c>
      <c r="D2229" s="262">
        <v>-78.477805099999998</v>
      </c>
      <c r="E2229" s="262">
        <v>41.001759999999997</v>
      </c>
      <c r="M2229" s="262">
        <v>10.29760183</v>
      </c>
      <c r="N2229" s="262">
        <v>10.29760183</v>
      </c>
    </row>
    <row r="2230" spans="1:14" x14ac:dyDescent="0.25">
      <c r="A2230" s="262">
        <v>42035</v>
      </c>
      <c r="B2230" s="262" t="s">
        <v>1511</v>
      </c>
      <c r="C2230" s="262" t="s">
        <v>583</v>
      </c>
      <c r="D2230" s="262">
        <v>-77.642878400000001</v>
      </c>
      <c r="E2230" s="262">
        <v>41.233350000000002</v>
      </c>
      <c r="M2230" s="262">
        <v>10.5950276</v>
      </c>
      <c r="N2230" s="262">
        <v>10.5950276</v>
      </c>
    </row>
    <row r="2231" spans="1:14" x14ac:dyDescent="0.25">
      <c r="A2231" s="262">
        <v>42037</v>
      </c>
      <c r="B2231" s="262" t="s">
        <v>1511</v>
      </c>
      <c r="C2231" s="262" t="s">
        <v>207</v>
      </c>
      <c r="D2231" s="262">
        <v>-76.404635299999995</v>
      </c>
      <c r="E2231" s="262">
        <v>41.043570000000003</v>
      </c>
      <c r="M2231" s="262">
        <v>10.681000579999999</v>
      </c>
      <c r="N2231" s="262">
        <v>10.681000579999999</v>
      </c>
    </row>
    <row r="2232" spans="1:14" x14ac:dyDescent="0.25">
      <c r="A2232" s="262">
        <v>42039</v>
      </c>
      <c r="B2232" s="262" t="s">
        <v>1511</v>
      </c>
      <c r="C2232" s="262" t="s">
        <v>210</v>
      </c>
      <c r="D2232" s="262">
        <v>-80.110813300000004</v>
      </c>
      <c r="E2232" s="262">
        <v>41.674329999999998</v>
      </c>
      <c r="M2232" s="262">
        <v>10.44004784</v>
      </c>
      <c r="N2232" s="262">
        <v>10.44004784</v>
      </c>
    </row>
    <row r="2233" spans="1:14" x14ac:dyDescent="0.25">
      <c r="A2233" s="262">
        <v>42041</v>
      </c>
      <c r="B2233" s="262" t="s">
        <v>1511</v>
      </c>
      <c r="C2233" s="262" t="s">
        <v>585</v>
      </c>
      <c r="D2233" s="262">
        <v>-77.267982500000002</v>
      </c>
      <c r="E2233" s="262">
        <v>40.168619999999997</v>
      </c>
      <c r="M2233" s="262">
        <v>11.840857529999999</v>
      </c>
      <c r="N2233" s="262">
        <v>11.840857529999999</v>
      </c>
    </row>
    <row r="2234" spans="1:14" x14ac:dyDescent="0.25">
      <c r="A2234" s="262">
        <v>42043</v>
      </c>
      <c r="B2234" s="262" t="s">
        <v>1511</v>
      </c>
      <c r="C2234" s="262" t="s">
        <v>1524</v>
      </c>
      <c r="D2234" s="262">
        <v>-76.781159000000002</v>
      </c>
      <c r="E2234" s="262">
        <v>40.412939999999999</v>
      </c>
      <c r="M2234" s="262">
        <v>11.73705535</v>
      </c>
      <c r="N2234" s="262">
        <v>11.73705535</v>
      </c>
    </row>
    <row r="2235" spans="1:14" x14ac:dyDescent="0.25">
      <c r="A2235" s="262">
        <v>42045</v>
      </c>
      <c r="B2235" s="262" t="s">
        <v>1511</v>
      </c>
      <c r="C2235" s="262" t="s">
        <v>636</v>
      </c>
      <c r="D2235" s="262">
        <v>-75.398903899999993</v>
      </c>
      <c r="E2235" s="262">
        <v>39.921700000000001</v>
      </c>
      <c r="M2235" s="262">
        <v>12.552860949999999</v>
      </c>
      <c r="N2235" s="262">
        <v>12.552860949999999</v>
      </c>
    </row>
    <row r="2236" spans="1:14" x14ac:dyDescent="0.25">
      <c r="A2236" s="262">
        <v>42047</v>
      </c>
      <c r="B2236" s="262" t="s">
        <v>1511</v>
      </c>
      <c r="C2236" s="262" t="s">
        <v>731</v>
      </c>
      <c r="D2236" s="262">
        <v>-78.642727699999995</v>
      </c>
      <c r="E2236" s="262">
        <v>41.41901</v>
      </c>
      <c r="M2236" s="262">
        <v>9.8733270950000005</v>
      </c>
      <c r="N2236" s="262">
        <v>9.8733270950000005</v>
      </c>
    </row>
    <row r="2237" spans="1:14" x14ac:dyDescent="0.25">
      <c r="A2237" s="262">
        <v>42049</v>
      </c>
      <c r="B2237" s="262" t="s">
        <v>1511</v>
      </c>
      <c r="C2237" s="262" t="s">
        <v>1296</v>
      </c>
      <c r="D2237" s="262">
        <v>-80.036352100000002</v>
      </c>
      <c r="E2237" s="262">
        <v>41.982979999999998</v>
      </c>
      <c r="M2237" s="262">
        <v>10.20847129</v>
      </c>
      <c r="N2237" s="262">
        <v>10.20847129</v>
      </c>
    </row>
    <row r="2238" spans="1:14" x14ac:dyDescent="0.25">
      <c r="A2238" s="262">
        <v>42051</v>
      </c>
      <c r="B2238" s="262" t="s">
        <v>1511</v>
      </c>
      <c r="C2238" s="262" t="s">
        <v>141</v>
      </c>
      <c r="D2238" s="262">
        <v>-79.645152800000005</v>
      </c>
      <c r="E2238" s="262">
        <v>39.92315</v>
      </c>
      <c r="M2238" s="262">
        <v>11.07249369</v>
      </c>
      <c r="N2238" s="262">
        <v>11.07249369</v>
      </c>
    </row>
    <row r="2239" spans="1:14" x14ac:dyDescent="0.25">
      <c r="A2239" s="262">
        <v>42053</v>
      </c>
      <c r="B2239" s="262" t="s">
        <v>1511</v>
      </c>
      <c r="C2239" s="262" t="s">
        <v>1525</v>
      </c>
      <c r="D2239" s="262">
        <v>-79.226294699999997</v>
      </c>
      <c r="E2239" s="262">
        <v>41.502119999999998</v>
      </c>
      <c r="M2239" s="262">
        <v>10.104201529999999</v>
      </c>
      <c r="N2239" s="262">
        <v>10.104201529999999</v>
      </c>
    </row>
    <row r="2240" spans="1:14" x14ac:dyDescent="0.25">
      <c r="A2240" s="262">
        <v>42055</v>
      </c>
      <c r="B2240" s="262" t="s">
        <v>1511</v>
      </c>
      <c r="C2240" s="262" t="s">
        <v>142</v>
      </c>
      <c r="D2240" s="262">
        <v>-77.717737200000002</v>
      </c>
      <c r="E2240" s="262">
        <v>39.925190000000001</v>
      </c>
      <c r="M2240" s="262">
        <v>11.749014839999999</v>
      </c>
      <c r="N2240" s="262">
        <v>11.749014839999999</v>
      </c>
    </row>
    <row r="2241" spans="1:14" x14ac:dyDescent="0.25">
      <c r="A2241" s="262">
        <v>42057</v>
      </c>
      <c r="B2241" s="262" t="s">
        <v>1511</v>
      </c>
      <c r="C2241" s="262" t="s">
        <v>216</v>
      </c>
      <c r="D2241" s="262">
        <v>-78.113267899999997</v>
      </c>
      <c r="E2241" s="262">
        <v>39.924720000000001</v>
      </c>
      <c r="M2241" s="262">
        <v>11.429106519999999</v>
      </c>
      <c r="N2241" s="262">
        <v>11.429106519999999</v>
      </c>
    </row>
    <row r="2242" spans="1:14" x14ac:dyDescent="0.25">
      <c r="A2242" s="262">
        <v>42059</v>
      </c>
      <c r="B2242" s="262" t="s">
        <v>1511</v>
      </c>
      <c r="C2242" s="262" t="s">
        <v>144</v>
      </c>
      <c r="D2242" s="262">
        <v>-80.221115600000005</v>
      </c>
      <c r="E2242" s="262">
        <v>39.854430000000001</v>
      </c>
      <c r="M2242" s="262">
        <v>11.381992289999999</v>
      </c>
      <c r="N2242" s="262">
        <v>11.381992289999999</v>
      </c>
    </row>
    <row r="2243" spans="1:14" x14ac:dyDescent="0.25">
      <c r="A2243" s="262">
        <v>42061</v>
      </c>
      <c r="B2243" s="262" t="s">
        <v>1511</v>
      </c>
      <c r="C2243" s="262" t="s">
        <v>1526</v>
      </c>
      <c r="D2243" s="262">
        <v>-77.972143500000001</v>
      </c>
      <c r="E2243" s="262">
        <v>40.422310000000003</v>
      </c>
      <c r="M2243" s="262">
        <v>11.127435180000001</v>
      </c>
      <c r="N2243" s="262">
        <v>11.127435180000001</v>
      </c>
    </row>
    <row r="2244" spans="1:14" x14ac:dyDescent="0.25">
      <c r="A2244" s="262">
        <v>42063</v>
      </c>
      <c r="B2244" s="262" t="s">
        <v>1511</v>
      </c>
      <c r="C2244" s="262" t="s">
        <v>1527</v>
      </c>
      <c r="D2244" s="262">
        <v>-79.080168599999993</v>
      </c>
      <c r="E2244" s="262">
        <v>40.654179999999997</v>
      </c>
      <c r="M2244" s="262">
        <v>10.66977943</v>
      </c>
      <c r="N2244" s="262">
        <v>10.66977943</v>
      </c>
    </row>
    <row r="2245" spans="1:14" x14ac:dyDescent="0.25">
      <c r="A2245" s="262">
        <v>42065</v>
      </c>
      <c r="B2245" s="262" t="s">
        <v>1511</v>
      </c>
      <c r="C2245" s="262" t="s">
        <v>149</v>
      </c>
      <c r="D2245" s="262">
        <v>-78.996811899999997</v>
      </c>
      <c r="E2245" s="262">
        <v>41.124650000000003</v>
      </c>
      <c r="M2245" s="262">
        <v>10.274995000000001</v>
      </c>
      <c r="N2245" s="262">
        <v>10.274995000000001</v>
      </c>
    </row>
    <row r="2246" spans="1:14" x14ac:dyDescent="0.25">
      <c r="A2246" s="262">
        <v>42067</v>
      </c>
      <c r="B2246" s="262" t="s">
        <v>1511</v>
      </c>
      <c r="C2246" s="262" t="s">
        <v>1528</v>
      </c>
      <c r="D2246" s="262">
        <v>-77.406691800000004</v>
      </c>
      <c r="E2246" s="262">
        <v>40.52281</v>
      </c>
      <c r="M2246" s="262">
        <v>11.40799696</v>
      </c>
      <c r="N2246" s="262">
        <v>11.40799696</v>
      </c>
    </row>
    <row r="2247" spans="1:14" x14ac:dyDescent="0.25">
      <c r="A2247" s="262">
        <v>42069</v>
      </c>
      <c r="B2247" s="262" t="s">
        <v>1511</v>
      </c>
      <c r="C2247" s="262" t="s">
        <v>1529</v>
      </c>
      <c r="D2247" s="262">
        <v>-75.616643100000005</v>
      </c>
      <c r="E2247" s="262">
        <v>41.43479</v>
      </c>
      <c r="M2247" s="262">
        <v>9.5079371800000008</v>
      </c>
      <c r="N2247" s="262">
        <v>9.5079371800000008</v>
      </c>
    </row>
    <row r="2248" spans="1:14" x14ac:dyDescent="0.25">
      <c r="A2248" s="262">
        <v>42071</v>
      </c>
      <c r="B2248" s="262" t="s">
        <v>1511</v>
      </c>
      <c r="C2248" s="262" t="s">
        <v>1214</v>
      </c>
      <c r="D2248" s="262">
        <v>-76.2473545</v>
      </c>
      <c r="E2248" s="262">
        <v>40.0458</v>
      </c>
      <c r="M2248" s="262">
        <v>12.285712589999999</v>
      </c>
      <c r="N2248" s="262">
        <v>12.285712589999999</v>
      </c>
    </row>
    <row r="2249" spans="1:14" x14ac:dyDescent="0.25">
      <c r="A2249" s="262">
        <v>42073</v>
      </c>
      <c r="B2249" s="262" t="s">
        <v>1511</v>
      </c>
      <c r="C2249" s="262" t="s">
        <v>152</v>
      </c>
      <c r="D2249" s="262">
        <v>-80.329556400000001</v>
      </c>
      <c r="E2249" s="262">
        <v>40.9925</v>
      </c>
      <c r="M2249" s="262">
        <v>11.078265630000001</v>
      </c>
      <c r="N2249" s="262">
        <v>11.078265630000001</v>
      </c>
    </row>
    <row r="2250" spans="1:14" x14ac:dyDescent="0.25">
      <c r="A2250" s="262">
        <v>42075</v>
      </c>
      <c r="B2250" s="262" t="s">
        <v>1511</v>
      </c>
      <c r="C2250" s="262" t="s">
        <v>1530</v>
      </c>
      <c r="D2250" s="262">
        <v>-76.463122900000002</v>
      </c>
      <c r="E2250" s="262">
        <v>40.368200000000002</v>
      </c>
      <c r="M2250" s="262">
        <v>11.78989898</v>
      </c>
      <c r="N2250" s="262">
        <v>11.78989898</v>
      </c>
    </row>
    <row r="2251" spans="1:14" x14ac:dyDescent="0.25">
      <c r="A2251" s="262">
        <v>42077</v>
      </c>
      <c r="B2251" s="262" t="s">
        <v>1511</v>
      </c>
      <c r="C2251" s="262" t="s">
        <v>1531</v>
      </c>
      <c r="D2251" s="262">
        <v>-75.591697999999994</v>
      </c>
      <c r="E2251" s="262">
        <v>40.616439999999997</v>
      </c>
      <c r="M2251" s="262">
        <v>11.07554335</v>
      </c>
      <c r="N2251" s="262">
        <v>11.07554335</v>
      </c>
    </row>
    <row r="2252" spans="1:14" x14ac:dyDescent="0.25">
      <c r="A2252" s="262">
        <v>42079</v>
      </c>
      <c r="B2252" s="262" t="s">
        <v>1511</v>
      </c>
      <c r="C2252" s="262" t="s">
        <v>1532</v>
      </c>
      <c r="D2252" s="262">
        <v>-75.990207400000003</v>
      </c>
      <c r="E2252" s="262">
        <v>41.178109999999997</v>
      </c>
      <c r="M2252" s="262">
        <v>10.110940149999999</v>
      </c>
      <c r="N2252" s="262">
        <v>10.110940149999999</v>
      </c>
    </row>
    <row r="2253" spans="1:14" x14ac:dyDescent="0.25">
      <c r="A2253" s="262">
        <v>42081</v>
      </c>
      <c r="B2253" s="262" t="s">
        <v>1511</v>
      </c>
      <c r="C2253" s="262" t="s">
        <v>1533</v>
      </c>
      <c r="D2253" s="262">
        <v>-77.066077199999995</v>
      </c>
      <c r="E2253" s="262">
        <v>41.332729999999998</v>
      </c>
      <c r="M2253" s="262">
        <v>10.64835098</v>
      </c>
      <c r="N2253" s="262">
        <v>10.64835098</v>
      </c>
    </row>
    <row r="2254" spans="1:14" x14ac:dyDescent="0.25">
      <c r="A2254" s="262">
        <v>42083</v>
      </c>
      <c r="B2254" s="262" t="s">
        <v>1511</v>
      </c>
      <c r="C2254" s="262" t="s">
        <v>1534</v>
      </c>
      <c r="D2254" s="262">
        <v>-78.574266899999998</v>
      </c>
      <c r="E2254" s="262">
        <v>41.80621</v>
      </c>
      <c r="M2254" s="262">
        <v>9.6430010129999992</v>
      </c>
      <c r="N2254" s="262">
        <v>9.6430010129999992</v>
      </c>
    </row>
    <row r="2255" spans="1:14" x14ac:dyDescent="0.25">
      <c r="A2255" s="262">
        <v>42085</v>
      </c>
      <c r="B2255" s="262" t="s">
        <v>1511</v>
      </c>
      <c r="C2255" s="262" t="s">
        <v>611</v>
      </c>
      <c r="D2255" s="262">
        <v>-80.260048800000007</v>
      </c>
      <c r="E2255" s="262">
        <v>41.29909</v>
      </c>
      <c r="M2255" s="262">
        <v>10.80125597</v>
      </c>
      <c r="N2255" s="262">
        <v>10.80125597</v>
      </c>
    </row>
    <row r="2256" spans="1:14" x14ac:dyDescent="0.25">
      <c r="A2256" s="262">
        <v>42087</v>
      </c>
      <c r="B2256" s="262" t="s">
        <v>1511</v>
      </c>
      <c r="C2256" s="262" t="s">
        <v>1535</v>
      </c>
      <c r="D2256" s="262">
        <v>-77.606143399999993</v>
      </c>
      <c r="E2256" s="262">
        <v>40.607570000000003</v>
      </c>
      <c r="M2256" s="262">
        <v>11.22790226</v>
      </c>
      <c r="N2256" s="262">
        <v>11.22790226</v>
      </c>
    </row>
    <row r="2257" spans="1:14" x14ac:dyDescent="0.25">
      <c r="A2257" s="262">
        <v>42089</v>
      </c>
      <c r="B2257" s="262" t="s">
        <v>1511</v>
      </c>
      <c r="C2257" s="262" t="s">
        <v>162</v>
      </c>
      <c r="D2257" s="262">
        <v>-75.339340300000003</v>
      </c>
      <c r="E2257" s="262">
        <v>41.059229999999999</v>
      </c>
      <c r="M2257" s="262">
        <v>9.9289180479999999</v>
      </c>
      <c r="N2257" s="262">
        <v>9.9289180479999999</v>
      </c>
    </row>
    <row r="2258" spans="1:14" x14ac:dyDescent="0.25">
      <c r="A2258" s="262">
        <v>42091</v>
      </c>
      <c r="B2258" s="262" t="s">
        <v>1511</v>
      </c>
      <c r="C2258" s="262" t="s">
        <v>163</v>
      </c>
      <c r="D2258" s="262">
        <v>-75.363949899999994</v>
      </c>
      <c r="E2258" s="262">
        <v>40.218780000000002</v>
      </c>
      <c r="M2258" s="262">
        <v>12.053952389999999</v>
      </c>
      <c r="N2258" s="262">
        <v>12.053952389999999</v>
      </c>
    </row>
    <row r="2259" spans="1:14" x14ac:dyDescent="0.25">
      <c r="A2259" s="262">
        <v>42093</v>
      </c>
      <c r="B2259" s="262" t="s">
        <v>1511</v>
      </c>
      <c r="C2259" s="262" t="s">
        <v>1536</v>
      </c>
      <c r="D2259" s="262">
        <v>-76.659538600000005</v>
      </c>
      <c r="E2259" s="262">
        <v>41.02093</v>
      </c>
      <c r="M2259" s="262">
        <v>10.877798500000001</v>
      </c>
      <c r="N2259" s="262">
        <v>10.877798500000001</v>
      </c>
    </row>
    <row r="2260" spans="1:14" x14ac:dyDescent="0.25">
      <c r="A2260" s="262">
        <v>42095</v>
      </c>
      <c r="B2260" s="262" t="s">
        <v>1511</v>
      </c>
      <c r="C2260" s="262" t="s">
        <v>1361</v>
      </c>
      <c r="D2260" s="262">
        <v>-75.308796700000002</v>
      </c>
      <c r="E2260" s="262">
        <v>40.760190000000001</v>
      </c>
      <c r="M2260" s="262">
        <v>10.77541488</v>
      </c>
      <c r="N2260" s="262">
        <v>10.77541488</v>
      </c>
    </row>
    <row r="2261" spans="1:14" x14ac:dyDescent="0.25">
      <c r="A2261" s="262">
        <v>42097</v>
      </c>
      <c r="B2261" s="262" t="s">
        <v>1511</v>
      </c>
      <c r="C2261" s="262" t="s">
        <v>1537</v>
      </c>
      <c r="D2261" s="262">
        <v>-76.708560399999996</v>
      </c>
      <c r="E2261" s="262">
        <v>40.842239999999997</v>
      </c>
      <c r="M2261" s="262">
        <v>11.14557143</v>
      </c>
      <c r="N2261" s="262">
        <v>11.14557143</v>
      </c>
    </row>
    <row r="2262" spans="1:14" x14ac:dyDescent="0.25">
      <c r="A2262" s="262">
        <v>42099</v>
      </c>
      <c r="B2262" s="262" t="s">
        <v>1511</v>
      </c>
      <c r="C2262" s="262" t="s">
        <v>165</v>
      </c>
      <c r="D2262" s="262">
        <v>-77.252247299999993</v>
      </c>
      <c r="E2262" s="262">
        <v>40.402630000000002</v>
      </c>
      <c r="M2262" s="262">
        <v>11.59438471</v>
      </c>
      <c r="N2262" s="262">
        <v>11.59438471</v>
      </c>
    </row>
    <row r="2263" spans="1:14" x14ac:dyDescent="0.25">
      <c r="A2263" s="262">
        <v>42101</v>
      </c>
      <c r="B2263" s="262" t="s">
        <v>1511</v>
      </c>
      <c r="C2263" s="262" t="s">
        <v>1538</v>
      </c>
      <c r="D2263" s="262">
        <v>-75.135233700000001</v>
      </c>
      <c r="E2263" s="262">
        <v>40.004869999999997</v>
      </c>
      <c r="M2263" s="262">
        <v>12.496758359999999</v>
      </c>
      <c r="N2263" s="262">
        <v>12.496758359999999</v>
      </c>
    </row>
    <row r="2264" spans="1:14" x14ac:dyDescent="0.25">
      <c r="A2264" s="262">
        <v>42103</v>
      </c>
      <c r="B2264" s="262" t="s">
        <v>1511</v>
      </c>
      <c r="C2264" s="262" t="s">
        <v>167</v>
      </c>
      <c r="D2264" s="262">
        <v>-75.050372600000003</v>
      </c>
      <c r="E2264" s="262">
        <v>41.332819999999998</v>
      </c>
      <c r="M2264" s="262">
        <v>9.8946706209999995</v>
      </c>
      <c r="N2264" s="262">
        <v>9.8946706209999995</v>
      </c>
    </row>
    <row r="2265" spans="1:14" x14ac:dyDescent="0.25">
      <c r="A2265" s="262">
        <v>42105</v>
      </c>
      <c r="B2265" s="262" t="s">
        <v>1511</v>
      </c>
      <c r="C2265" s="262" t="s">
        <v>1539</v>
      </c>
      <c r="D2265" s="262">
        <v>-77.902962400000007</v>
      </c>
      <c r="E2265" s="262">
        <v>41.745539999999998</v>
      </c>
      <c r="M2265" s="262">
        <v>9.8582248779999997</v>
      </c>
      <c r="N2265" s="262">
        <v>9.8582248779999997</v>
      </c>
    </row>
    <row r="2266" spans="1:14" x14ac:dyDescent="0.25">
      <c r="A2266" s="262">
        <v>42107</v>
      </c>
      <c r="B2266" s="262" t="s">
        <v>1511</v>
      </c>
      <c r="C2266" s="262" t="s">
        <v>1540</v>
      </c>
      <c r="D2266" s="262">
        <v>-76.215705799999995</v>
      </c>
      <c r="E2266" s="262">
        <v>40.706560000000003</v>
      </c>
      <c r="M2266" s="262">
        <v>11.087217470000001</v>
      </c>
      <c r="N2266" s="262">
        <v>11.087217470000001</v>
      </c>
    </row>
    <row r="2267" spans="1:14" x14ac:dyDescent="0.25">
      <c r="A2267" s="262">
        <v>42109</v>
      </c>
      <c r="B2267" s="262" t="s">
        <v>1511</v>
      </c>
      <c r="C2267" s="262" t="s">
        <v>1541</v>
      </c>
      <c r="D2267" s="262">
        <v>-77.065563699999998</v>
      </c>
      <c r="E2267" s="262">
        <v>40.767440000000001</v>
      </c>
      <c r="M2267" s="262">
        <v>11.290175809999999</v>
      </c>
      <c r="N2267" s="262">
        <v>11.290175809999999</v>
      </c>
    </row>
    <row r="2268" spans="1:14" x14ac:dyDescent="0.25">
      <c r="A2268" s="262">
        <v>42111</v>
      </c>
      <c r="B2268" s="262" t="s">
        <v>1511</v>
      </c>
      <c r="C2268" s="262" t="s">
        <v>915</v>
      </c>
      <c r="D2268" s="262">
        <v>-79.024929200000003</v>
      </c>
      <c r="E2268" s="262">
        <v>39.977800000000002</v>
      </c>
      <c r="M2268" s="262">
        <v>10.925521659999999</v>
      </c>
      <c r="N2268" s="262">
        <v>10.925521659999999</v>
      </c>
    </row>
    <row r="2269" spans="1:14" x14ac:dyDescent="0.25">
      <c r="A2269" s="262">
        <v>42113</v>
      </c>
      <c r="B2269" s="262" t="s">
        <v>1511</v>
      </c>
      <c r="C2269" s="262" t="s">
        <v>662</v>
      </c>
      <c r="D2269" s="262">
        <v>-76.522950100000003</v>
      </c>
      <c r="E2269" s="262">
        <v>41.440899999999999</v>
      </c>
      <c r="M2269" s="262">
        <v>10.299693769999999</v>
      </c>
      <c r="N2269" s="262">
        <v>10.299693769999999</v>
      </c>
    </row>
    <row r="2270" spans="1:14" x14ac:dyDescent="0.25">
      <c r="A2270" s="262">
        <v>42115</v>
      </c>
      <c r="B2270" s="262" t="s">
        <v>1511</v>
      </c>
      <c r="C2270" s="262" t="s">
        <v>1542</v>
      </c>
      <c r="D2270" s="262">
        <v>-75.8063748</v>
      </c>
      <c r="E2270" s="262">
        <v>41.821890000000003</v>
      </c>
      <c r="M2270" s="262">
        <v>9.6570055050000008</v>
      </c>
      <c r="N2270" s="262">
        <v>9.6570055050000008</v>
      </c>
    </row>
    <row r="2271" spans="1:14" x14ac:dyDescent="0.25">
      <c r="A2271" s="262">
        <v>42117</v>
      </c>
      <c r="B2271" s="262" t="s">
        <v>1511</v>
      </c>
      <c r="C2271" s="262" t="s">
        <v>1312</v>
      </c>
      <c r="D2271" s="262">
        <v>-77.265337400000007</v>
      </c>
      <c r="E2271" s="262">
        <v>41.764530000000001</v>
      </c>
      <c r="M2271" s="262">
        <v>10.12585142</v>
      </c>
      <c r="N2271" s="262">
        <v>10.12585142</v>
      </c>
    </row>
    <row r="2272" spans="1:14" x14ac:dyDescent="0.25">
      <c r="A2272" s="262">
        <v>42119</v>
      </c>
      <c r="B2272" s="262" t="s">
        <v>1511</v>
      </c>
      <c r="C2272" s="262" t="s">
        <v>249</v>
      </c>
      <c r="D2272" s="262">
        <v>-77.064796000000001</v>
      </c>
      <c r="E2272" s="262">
        <v>40.96011</v>
      </c>
      <c r="M2272" s="262">
        <v>11.10152439</v>
      </c>
      <c r="N2272" s="262">
        <v>11.10152439</v>
      </c>
    </row>
    <row r="2273" spans="1:14" x14ac:dyDescent="0.25">
      <c r="A2273" s="262">
        <v>42121</v>
      </c>
      <c r="B2273" s="262" t="s">
        <v>1511</v>
      </c>
      <c r="C2273" s="262" t="s">
        <v>1543</v>
      </c>
      <c r="D2273" s="262">
        <v>-79.758728099999999</v>
      </c>
      <c r="E2273" s="262">
        <v>41.391959999999997</v>
      </c>
      <c r="M2273" s="262">
        <v>10.5030339</v>
      </c>
      <c r="N2273" s="262">
        <v>10.5030339</v>
      </c>
    </row>
    <row r="2274" spans="1:14" x14ac:dyDescent="0.25">
      <c r="A2274" s="262">
        <v>42123</v>
      </c>
      <c r="B2274" s="262" t="s">
        <v>1511</v>
      </c>
      <c r="C2274" s="262" t="s">
        <v>533</v>
      </c>
      <c r="D2274" s="262">
        <v>-79.274790699999997</v>
      </c>
      <c r="E2274" s="262">
        <v>41.807810000000003</v>
      </c>
      <c r="M2274" s="262">
        <v>9.9459248890000005</v>
      </c>
      <c r="N2274" s="262">
        <v>9.9459248890000005</v>
      </c>
    </row>
    <row r="2275" spans="1:14" x14ac:dyDescent="0.25">
      <c r="A2275" s="262">
        <v>42125</v>
      </c>
      <c r="B2275" s="262" t="s">
        <v>1511</v>
      </c>
      <c r="C2275" s="262" t="s">
        <v>177</v>
      </c>
      <c r="D2275" s="262">
        <v>-80.247177899999997</v>
      </c>
      <c r="E2275" s="262">
        <v>40.18882</v>
      </c>
      <c r="M2275" s="262">
        <v>11.486607429999999</v>
      </c>
      <c r="N2275" s="262">
        <v>11.486607429999999</v>
      </c>
    </row>
    <row r="2276" spans="1:14" x14ac:dyDescent="0.25">
      <c r="A2276" s="262">
        <v>42127</v>
      </c>
      <c r="B2276" s="262" t="s">
        <v>1511</v>
      </c>
      <c r="C2276" s="262" t="s">
        <v>534</v>
      </c>
      <c r="D2276" s="262">
        <v>-75.310383299999998</v>
      </c>
      <c r="E2276" s="262">
        <v>41.64987</v>
      </c>
      <c r="M2276" s="262">
        <v>9.5402748319999997</v>
      </c>
      <c r="N2276" s="262">
        <v>9.5402748319999997</v>
      </c>
    </row>
    <row r="2277" spans="1:14" x14ac:dyDescent="0.25">
      <c r="A2277" s="262">
        <v>42129</v>
      </c>
      <c r="B2277" s="262" t="s">
        <v>1511</v>
      </c>
      <c r="C2277" s="262" t="s">
        <v>1544</v>
      </c>
      <c r="D2277" s="262">
        <v>-79.462663399999997</v>
      </c>
      <c r="E2277" s="262">
        <v>40.314030000000002</v>
      </c>
      <c r="M2277" s="262">
        <v>10.983821000000001</v>
      </c>
      <c r="N2277" s="262">
        <v>10.983821000000001</v>
      </c>
    </row>
    <row r="2278" spans="1:14" x14ac:dyDescent="0.25">
      <c r="A2278" s="262">
        <v>42131</v>
      </c>
      <c r="B2278" s="262" t="s">
        <v>1511</v>
      </c>
      <c r="C2278" s="262" t="s">
        <v>1316</v>
      </c>
      <c r="D2278" s="262">
        <v>-76.029758999999999</v>
      </c>
      <c r="E2278" s="262">
        <v>41.516240000000003</v>
      </c>
      <c r="M2278" s="262">
        <v>9.8409270459999991</v>
      </c>
      <c r="N2278" s="262">
        <v>9.8409270459999991</v>
      </c>
    </row>
    <row r="2279" spans="1:14" x14ac:dyDescent="0.25">
      <c r="A2279" s="262">
        <v>42133</v>
      </c>
      <c r="B2279" s="262" t="s">
        <v>1511</v>
      </c>
      <c r="C2279" s="262" t="s">
        <v>917</v>
      </c>
      <c r="D2279" s="262">
        <v>-76.730104999999995</v>
      </c>
      <c r="E2279" s="262">
        <v>39.925910000000002</v>
      </c>
      <c r="M2279" s="262">
        <v>12.378359059999999</v>
      </c>
      <c r="N2279" s="262">
        <v>12.378359059999999</v>
      </c>
    </row>
    <row r="2280" spans="1:14" x14ac:dyDescent="0.25">
      <c r="A2280" s="262">
        <v>44001</v>
      </c>
      <c r="B2280" s="262" t="s">
        <v>1545</v>
      </c>
      <c r="C2280" s="262" t="s">
        <v>939</v>
      </c>
      <c r="D2280" s="262">
        <v>-71.254845299999999</v>
      </c>
      <c r="E2280" s="262">
        <v>41.712479999999999</v>
      </c>
      <c r="M2280" s="262">
        <v>11.239344320000001</v>
      </c>
      <c r="N2280" s="262">
        <v>11.239344320000001</v>
      </c>
    </row>
    <row r="2281" spans="1:14" x14ac:dyDescent="0.25">
      <c r="A2281" s="262">
        <v>44003</v>
      </c>
      <c r="B2281" s="262" t="s">
        <v>1545</v>
      </c>
      <c r="C2281" s="262" t="s">
        <v>377</v>
      </c>
      <c r="D2281" s="262">
        <v>-71.572059899999999</v>
      </c>
      <c r="E2281" s="262">
        <v>41.679209999999998</v>
      </c>
      <c r="M2281" s="262">
        <v>11.190251310000001</v>
      </c>
      <c r="N2281" s="262">
        <v>11.190251310000001</v>
      </c>
    </row>
    <row r="2282" spans="1:14" x14ac:dyDescent="0.25">
      <c r="A2282" s="262">
        <v>44005</v>
      </c>
      <c r="B2282" s="262" t="s">
        <v>1545</v>
      </c>
      <c r="C2282" s="262" t="s">
        <v>1546</v>
      </c>
      <c r="D2282" s="262">
        <v>-71.230306600000006</v>
      </c>
      <c r="E2282" s="262">
        <v>41.565510000000003</v>
      </c>
      <c r="M2282" s="262">
        <v>11.36698571</v>
      </c>
      <c r="N2282" s="262">
        <v>11.36698571</v>
      </c>
    </row>
    <row r="2283" spans="1:14" x14ac:dyDescent="0.25">
      <c r="A2283" s="262">
        <v>44007</v>
      </c>
      <c r="B2283" s="262" t="s">
        <v>1545</v>
      </c>
      <c r="C2283" s="262" t="s">
        <v>1547</v>
      </c>
      <c r="D2283" s="262">
        <v>-71.574679200000006</v>
      </c>
      <c r="E2283" s="262">
        <v>41.875109999999999</v>
      </c>
      <c r="M2283" s="262">
        <v>10.980696030000001</v>
      </c>
      <c r="N2283" s="262">
        <v>10.980696030000001</v>
      </c>
    </row>
    <row r="2284" spans="1:14" x14ac:dyDescent="0.25">
      <c r="A2284" s="262">
        <v>44009</v>
      </c>
      <c r="B2284" s="262" t="s">
        <v>1545</v>
      </c>
      <c r="C2284" s="262" t="s">
        <v>177</v>
      </c>
      <c r="D2284" s="262">
        <v>-71.623403400000001</v>
      </c>
      <c r="E2284" s="262">
        <v>41.488590000000002</v>
      </c>
      <c r="M2284" s="262">
        <v>11.379892529999999</v>
      </c>
      <c r="N2284" s="262">
        <v>11.379892529999999</v>
      </c>
    </row>
    <row r="2285" spans="1:14" x14ac:dyDescent="0.25">
      <c r="A2285" s="262">
        <v>45001</v>
      </c>
      <c r="B2285" s="262" t="s">
        <v>1548</v>
      </c>
      <c r="C2285" s="262" t="s">
        <v>1549</v>
      </c>
      <c r="D2285" s="262">
        <v>-82.458508100000003</v>
      </c>
      <c r="E2285" s="262">
        <v>34.23021</v>
      </c>
      <c r="M2285" s="262">
        <v>16.287312579999998</v>
      </c>
      <c r="N2285" s="262">
        <v>16.287312579999998</v>
      </c>
    </row>
    <row r="2286" spans="1:14" x14ac:dyDescent="0.25">
      <c r="A2286" s="262">
        <v>45003</v>
      </c>
      <c r="B2286" s="262" t="s">
        <v>1548</v>
      </c>
      <c r="C2286" s="262" t="s">
        <v>1550</v>
      </c>
      <c r="D2286" s="262">
        <v>-81.646937899999998</v>
      </c>
      <c r="E2286" s="262">
        <v>33.551180000000002</v>
      </c>
      <c r="M2286" s="262">
        <v>17.173884950000001</v>
      </c>
      <c r="N2286" s="262">
        <v>17.173884950000001</v>
      </c>
    </row>
    <row r="2287" spans="1:14" x14ac:dyDescent="0.25">
      <c r="A2287" s="262">
        <v>45005</v>
      </c>
      <c r="B2287" s="262" t="s">
        <v>1548</v>
      </c>
      <c r="C2287" s="262" t="s">
        <v>1551</v>
      </c>
      <c r="D2287" s="262">
        <v>-81.356732899999997</v>
      </c>
      <c r="E2287" s="262">
        <v>32.99436</v>
      </c>
      <c r="M2287" s="262">
        <v>17.431285450000001</v>
      </c>
      <c r="N2287" s="262">
        <v>17.431285450000001</v>
      </c>
    </row>
    <row r="2288" spans="1:14" x14ac:dyDescent="0.25">
      <c r="A2288" s="262">
        <v>45007</v>
      </c>
      <c r="B2288" s="262" t="s">
        <v>1548</v>
      </c>
      <c r="C2288" s="262" t="s">
        <v>719</v>
      </c>
      <c r="D2288" s="262">
        <v>-82.646075100000004</v>
      </c>
      <c r="E2288" s="262">
        <v>34.519710000000003</v>
      </c>
      <c r="M2288" s="262">
        <v>15.63380605</v>
      </c>
      <c r="N2288" s="262">
        <v>15.63380605</v>
      </c>
    </row>
    <row r="2289" spans="1:14" x14ac:dyDescent="0.25">
      <c r="A2289" s="262">
        <v>45009</v>
      </c>
      <c r="B2289" s="262" t="s">
        <v>1548</v>
      </c>
      <c r="C2289" s="262" t="s">
        <v>1552</v>
      </c>
      <c r="D2289" s="262">
        <v>-81.045866500000002</v>
      </c>
      <c r="E2289" s="262">
        <v>33.216169999999998</v>
      </c>
      <c r="M2289" s="262">
        <v>17.32894825</v>
      </c>
      <c r="N2289" s="262">
        <v>17.32894825</v>
      </c>
    </row>
    <row r="2290" spans="1:14" x14ac:dyDescent="0.25">
      <c r="A2290" s="262">
        <v>45011</v>
      </c>
      <c r="B2290" s="262" t="s">
        <v>1548</v>
      </c>
      <c r="C2290" s="262" t="s">
        <v>1553</v>
      </c>
      <c r="D2290" s="262">
        <v>-81.441602099999997</v>
      </c>
      <c r="E2290" s="262">
        <v>33.267659999999999</v>
      </c>
      <c r="M2290" s="262">
        <v>17.283279270000001</v>
      </c>
      <c r="N2290" s="262">
        <v>17.283279270000001</v>
      </c>
    </row>
    <row r="2291" spans="1:14" x14ac:dyDescent="0.25">
      <c r="A2291" s="262">
        <v>45013</v>
      </c>
      <c r="B2291" s="262" t="s">
        <v>1548</v>
      </c>
      <c r="C2291" s="262" t="s">
        <v>1324</v>
      </c>
      <c r="D2291" s="262">
        <v>-80.781279900000001</v>
      </c>
      <c r="E2291" s="262">
        <v>32.371650000000002</v>
      </c>
      <c r="M2291" s="262">
        <v>18.093903640000001</v>
      </c>
      <c r="N2291" s="262">
        <v>18.093903640000001</v>
      </c>
    </row>
    <row r="2292" spans="1:14" x14ac:dyDescent="0.25">
      <c r="A2292" s="262">
        <v>45015</v>
      </c>
      <c r="B2292" s="262" t="s">
        <v>1548</v>
      </c>
      <c r="C2292" s="262" t="s">
        <v>1554</v>
      </c>
      <c r="D2292" s="262">
        <v>-79.946481300000002</v>
      </c>
      <c r="E2292" s="262">
        <v>33.20373</v>
      </c>
      <c r="M2292" s="262">
        <v>17.51859979</v>
      </c>
      <c r="N2292" s="262">
        <v>17.51859979</v>
      </c>
    </row>
    <row r="2293" spans="1:14" x14ac:dyDescent="0.25">
      <c r="A2293" s="262">
        <v>45017</v>
      </c>
      <c r="B2293" s="262" t="s">
        <v>1548</v>
      </c>
      <c r="C2293" s="262" t="s">
        <v>120</v>
      </c>
      <c r="D2293" s="262">
        <v>-80.778398800000005</v>
      </c>
      <c r="E2293" s="262">
        <v>33.686810000000001</v>
      </c>
      <c r="M2293" s="262">
        <v>17.077742000000001</v>
      </c>
      <c r="N2293" s="262">
        <v>17.077742000000001</v>
      </c>
    </row>
    <row r="2294" spans="1:14" x14ac:dyDescent="0.25">
      <c r="A2294" s="262">
        <v>45019</v>
      </c>
      <c r="B2294" s="262" t="s">
        <v>1548</v>
      </c>
      <c r="C2294" s="262" t="s">
        <v>1555</v>
      </c>
      <c r="D2294" s="262">
        <v>-79.968920100000005</v>
      </c>
      <c r="E2294" s="262">
        <v>32.839379999999998</v>
      </c>
      <c r="M2294" s="262">
        <v>17.792880140000001</v>
      </c>
      <c r="N2294" s="262">
        <v>17.792880140000001</v>
      </c>
    </row>
    <row r="2295" spans="1:14" x14ac:dyDescent="0.25">
      <c r="A2295" s="262">
        <v>45021</v>
      </c>
      <c r="B2295" s="262" t="s">
        <v>1548</v>
      </c>
      <c r="C2295" s="262" t="s">
        <v>122</v>
      </c>
      <c r="D2295" s="262">
        <v>-81.623827300000002</v>
      </c>
      <c r="E2295" s="262">
        <v>35.056699999999999</v>
      </c>
      <c r="M2295" s="262">
        <v>15.57680521</v>
      </c>
      <c r="N2295" s="262">
        <v>15.57680521</v>
      </c>
    </row>
    <row r="2296" spans="1:14" x14ac:dyDescent="0.25">
      <c r="A2296" s="262">
        <v>45023</v>
      </c>
      <c r="B2296" s="262" t="s">
        <v>1548</v>
      </c>
      <c r="C2296" s="262" t="s">
        <v>1521</v>
      </c>
      <c r="D2296" s="262">
        <v>-81.156850500000004</v>
      </c>
      <c r="E2296" s="262">
        <v>34.693109999999997</v>
      </c>
      <c r="M2296" s="262">
        <v>16.222752249999999</v>
      </c>
      <c r="N2296" s="262">
        <v>16.222752249999999</v>
      </c>
    </row>
    <row r="2297" spans="1:14" x14ac:dyDescent="0.25">
      <c r="A2297" s="262">
        <v>45025</v>
      </c>
      <c r="B2297" s="262" t="s">
        <v>1548</v>
      </c>
      <c r="C2297" s="262" t="s">
        <v>1556</v>
      </c>
      <c r="D2297" s="262">
        <v>-80.140835999999993</v>
      </c>
      <c r="E2297" s="262">
        <v>34.63646</v>
      </c>
      <c r="M2297" s="262">
        <v>16.451985140000001</v>
      </c>
      <c r="N2297" s="262">
        <v>16.451985140000001</v>
      </c>
    </row>
    <row r="2298" spans="1:14" x14ac:dyDescent="0.25">
      <c r="A2298" s="262">
        <v>45027</v>
      </c>
      <c r="B2298" s="262" t="s">
        <v>1548</v>
      </c>
      <c r="C2298" s="262" t="s">
        <v>1557</v>
      </c>
      <c r="D2298" s="262">
        <v>-80.201410899999999</v>
      </c>
      <c r="E2298" s="262">
        <v>33.673200000000001</v>
      </c>
      <c r="M2298" s="262">
        <v>17.152024359999999</v>
      </c>
      <c r="N2298" s="262">
        <v>17.152024359999999</v>
      </c>
    </row>
    <row r="2299" spans="1:14" x14ac:dyDescent="0.25">
      <c r="A2299" s="262">
        <v>45029</v>
      </c>
      <c r="B2299" s="262" t="s">
        <v>1548</v>
      </c>
      <c r="C2299" s="262" t="s">
        <v>1558</v>
      </c>
      <c r="D2299" s="262">
        <v>-80.671032100000005</v>
      </c>
      <c r="E2299" s="262">
        <v>32.871459999999999</v>
      </c>
      <c r="M2299" s="262">
        <v>17.63672141</v>
      </c>
      <c r="N2299" s="262">
        <v>17.63672141</v>
      </c>
    </row>
    <row r="2300" spans="1:14" x14ac:dyDescent="0.25">
      <c r="A2300" s="262">
        <v>45031</v>
      </c>
      <c r="B2300" s="262" t="s">
        <v>1548</v>
      </c>
      <c r="C2300" s="262" t="s">
        <v>1559</v>
      </c>
      <c r="D2300" s="262">
        <v>-79.9482675</v>
      </c>
      <c r="E2300" s="262">
        <v>34.332949999999997</v>
      </c>
      <c r="M2300" s="262">
        <v>16.698499429999998</v>
      </c>
      <c r="N2300" s="262">
        <v>16.698499429999998</v>
      </c>
    </row>
    <row r="2301" spans="1:14" x14ac:dyDescent="0.25">
      <c r="A2301" s="262">
        <v>45033</v>
      </c>
      <c r="B2301" s="262" t="s">
        <v>1548</v>
      </c>
      <c r="C2301" s="262" t="s">
        <v>1560</v>
      </c>
      <c r="D2301" s="262">
        <v>-79.362607800000006</v>
      </c>
      <c r="E2301" s="262">
        <v>34.386969999999998</v>
      </c>
      <c r="M2301" s="262">
        <v>16.698079740000001</v>
      </c>
      <c r="N2301" s="262">
        <v>16.698079740000001</v>
      </c>
    </row>
    <row r="2302" spans="1:14" x14ac:dyDescent="0.25">
      <c r="A2302" s="262">
        <v>45035</v>
      </c>
      <c r="B2302" s="262" t="s">
        <v>1548</v>
      </c>
      <c r="C2302" s="262" t="s">
        <v>926</v>
      </c>
      <c r="D2302" s="262">
        <v>-80.398275299999995</v>
      </c>
      <c r="E2302" s="262">
        <v>33.075769999999999</v>
      </c>
      <c r="M2302" s="262">
        <v>17.541715140000001</v>
      </c>
      <c r="N2302" s="262">
        <v>17.541715140000001</v>
      </c>
    </row>
    <row r="2303" spans="1:14" x14ac:dyDescent="0.25">
      <c r="A2303" s="262">
        <v>45037</v>
      </c>
      <c r="B2303" s="262" t="s">
        <v>1548</v>
      </c>
      <c r="C2303" s="262" t="s">
        <v>1561</v>
      </c>
      <c r="D2303" s="262">
        <v>-81.978055100000006</v>
      </c>
      <c r="E2303" s="262">
        <v>33.780410000000003</v>
      </c>
      <c r="M2303" s="262">
        <v>16.978270089999999</v>
      </c>
      <c r="N2303" s="262">
        <v>16.978270089999999</v>
      </c>
    </row>
    <row r="2304" spans="1:14" x14ac:dyDescent="0.25">
      <c r="A2304" s="262">
        <v>45039</v>
      </c>
      <c r="B2304" s="262" t="s">
        <v>1548</v>
      </c>
      <c r="C2304" s="262" t="s">
        <v>368</v>
      </c>
      <c r="D2304" s="262">
        <v>-81.120726599999998</v>
      </c>
      <c r="E2304" s="262">
        <v>34.398519999999998</v>
      </c>
      <c r="M2304" s="262">
        <v>16.537321779999999</v>
      </c>
      <c r="N2304" s="262">
        <v>16.537321779999999</v>
      </c>
    </row>
    <row r="2305" spans="1:14" x14ac:dyDescent="0.25">
      <c r="A2305" s="262">
        <v>45041</v>
      </c>
      <c r="B2305" s="262" t="s">
        <v>1548</v>
      </c>
      <c r="C2305" s="262" t="s">
        <v>1562</v>
      </c>
      <c r="D2305" s="262">
        <v>-79.6886844</v>
      </c>
      <c r="E2305" s="262">
        <v>34.024079999999998</v>
      </c>
      <c r="M2305" s="262">
        <v>16.940289100000001</v>
      </c>
      <c r="N2305" s="262">
        <v>16.940289100000001</v>
      </c>
    </row>
    <row r="2306" spans="1:14" x14ac:dyDescent="0.25">
      <c r="A2306" s="262">
        <v>45043</v>
      </c>
      <c r="B2306" s="262" t="s">
        <v>1548</v>
      </c>
      <c r="C2306" s="262" t="s">
        <v>1563</v>
      </c>
      <c r="D2306" s="262">
        <v>-79.330780300000001</v>
      </c>
      <c r="E2306" s="262">
        <v>33.44511</v>
      </c>
      <c r="M2306" s="262">
        <v>17.38632935</v>
      </c>
      <c r="N2306" s="262">
        <v>17.38632935</v>
      </c>
    </row>
    <row r="2307" spans="1:14" x14ac:dyDescent="0.25">
      <c r="A2307" s="262">
        <v>45045</v>
      </c>
      <c r="B2307" s="262" t="s">
        <v>1548</v>
      </c>
      <c r="C2307" s="262" t="s">
        <v>1564</v>
      </c>
      <c r="D2307" s="262">
        <v>-82.371034800000004</v>
      </c>
      <c r="E2307" s="262">
        <v>34.895049999999998</v>
      </c>
      <c r="M2307" s="262">
        <v>15.23220167</v>
      </c>
      <c r="N2307" s="262">
        <v>15.23220167</v>
      </c>
    </row>
    <row r="2308" spans="1:14" x14ac:dyDescent="0.25">
      <c r="A2308" s="262">
        <v>45047</v>
      </c>
      <c r="B2308" s="262" t="s">
        <v>1548</v>
      </c>
      <c r="C2308" s="262" t="s">
        <v>739</v>
      </c>
      <c r="D2308" s="262">
        <v>-82.118821199999999</v>
      </c>
      <c r="E2308" s="262">
        <v>34.158549999999998</v>
      </c>
      <c r="M2308" s="262">
        <v>16.607059270000001</v>
      </c>
      <c r="N2308" s="262">
        <v>16.607059270000001</v>
      </c>
    </row>
    <row r="2309" spans="1:14" x14ac:dyDescent="0.25">
      <c r="A2309" s="262">
        <v>45049</v>
      </c>
      <c r="B2309" s="262" t="s">
        <v>1548</v>
      </c>
      <c r="C2309" s="262" t="s">
        <v>1565</v>
      </c>
      <c r="D2309" s="262">
        <v>-81.142395399999998</v>
      </c>
      <c r="E2309" s="262">
        <v>32.779409999999999</v>
      </c>
      <c r="M2309" s="262">
        <v>17.594812869999998</v>
      </c>
      <c r="N2309" s="262">
        <v>17.594812869999998</v>
      </c>
    </row>
    <row r="2310" spans="1:14" x14ac:dyDescent="0.25">
      <c r="A2310" s="262">
        <v>45051</v>
      </c>
      <c r="B2310" s="262" t="s">
        <v>1548</v>
      </c>
      <c r="C2310" s="262" t="s">
        <v>1566</v>
      </c>
      <c r="D2310" s="262">
        <v>-78.985684199999994</v>
      </c>
      <c r="E2310" s="262">
        <v>33.922020000000003</v>
      </c>
      <c r="M2310" s="262">
        <v>17.056558540000001</v>
      </c>
      <c r="N2310" s="262">
        <v>17.056558540000001</v>
      </c>
    </row>
    <row r="2311" spans="1:14" x14ac:dyDescent="0.25">
      <c r="A2311" s="262">
        <v>45053</v>
      </c>
      <c r="B2311" s="262" t="s">
        <v>1548</v>
      </c>
      <c r="C2311" s="262" t="s">
        <v>490</v>
      </c>
      <c r="D2311" s="262">
        <v>-81.036057799999995</v>
      </c>
      <c r="E2311" s="262">
        <v>32.472299999999997</v>
      </c>
      <c r="M2311" s="262">
        <v>17.940103270000002</v>
      </c>
      <c r="N2311" s="262">
        <v>17.940103270000002</v>
      </c>
    </row>
    <row r="2312" spans="1:14" x14ac:dyDescent="0.25">
      <c r="A2312" s="262">
        <v>45055</v>
      </c>
      <c r="B2312" s="262" t="s">
        <v>1548</v>
      </c>
      <c r="C2312" s="262" t="s">
        <v>1567</v>
      </c>
      <c r="D2312" s="262">
        <v>-80.5861728</v>
      </c>
      <c r="E2312" s="262">
        <v>34.356430000000003</v>
      </c>
      <c r="M2312" s="262">
        <v>16.623595819999998</v>
      </c>
      <c r="N2312" s="262">
        <v>16.623595819999998</v>
      </c>
    </row>
    <row r="2313" spans="1:14" x14ac:dyDescent="0.25">
      <c r="A2313" s="262">
        <v>45057</v>
      </c>
      <c r="B2313" s="262" t="s">
        <v>1548</v>
      </c>
      <c r="C2313" s="262" t="s">
        <v>1214</v>
      </c>
      <c r="D2313" s="262">
        <v>-80.7046098</v>
      </c>
      <c r="E2313" s="262">
        <v>34.708500000000001</v>
      </c>
      <c r="M2313" s="262">
        <v>16.316875679999999</v>
      </c>
      <c r="N2313" s="262">
        <v>16.316875679999999</v>
      </c>
    </row>
    <row r="2314" spans="1:14" x14ac:dyDescent="0.25">
      <c r="A2314" s="262">
        <v>45059</v>
      </c>
      <c r="B2314" s="262" t="s">
        <v>1548</v>
      </c>
      <c r="C2314" s="262" t="s">
        <v>495</v>
      </c>
      <c r="D2314" s="262">
        <v>-82.007405599999998</v>
      </c>
      <c r="E2314" s="262">
        <v>34.491329999999998</v>
      </c>
      <c r="M2314" s="262">
        <v>16.294427290000002</v>
      </c>
      <c r="N2314" s="262">
        <v>16.294427290000002</v>
      </c>
    </row>
    <row r="2315" spans="1:14" x14ac:dyDescent="0.25">
      <c r="A2315" s="262">
        <v>45061</v>
      </c>
      <c r="B2315" s="262" t="s">
        <v>1548</v>
      </c>
      <c r="C2315" s="262" t="s">
        <v>153</v>
      </c>
      <c r="D2315" s="262">
        <v>-80.248828799999998</v>
      </c>
      <c r="E2315" s="262">
        <v>34.165210000000002</v>
      </c>
      <c r="M2315" s="262">
        <v>16.8001696</v>
      </c>
      <c r="N2315" s="262">
        <v>16.8001696</v>
      </c>
    </row>
    <row r="2316" spans="1:14" x14ac:dyDescent="0.25">
      <c r="A2316" s="262">
        <v>45063</v>
      </c>
      <c r="B2316" s="262" t="s">
        <v>1548</v>
      </c>
      <c r="C2316" s="262" t="s">
        <v>1568</v>
      </c>
      <c r="D2316" s="262">
        <v>-81.275409100000005</v>
      </c>
      <c r="E2316" s="262">
        <v>33.905810000000002</v>
      </c>
      <c r="M2316" s="262">
        <v>16.935891789999999</v>
      </c>
      <c r="N2316" s="262">
        <v>16.935891789999999</v>
      </c>
    </row>
    <row r="2317" spans="1:14" x14ac:dyDescent="0.25">
      <c r="A2317" s="262">
        <v>45065</v>
      </c>
      <c r="B2317" s="262" t="s">
        <v>1548</v>
      </c>
      <c r="C2317" s="262" t="s">
        <v>1569</v>
      </c>
      <c r="D2317" s="262">
        <v>-82.319453899999999</v>
      </c>
      <c r="E2317" s="262">
        <v>33.911540000000002</v>
      </c>
      <c r="M2317" s="262">
        <v>16.715517479999999</v>
      </c>
      <c r="N2317" s="262">
        <v>16.715517479999999</v>
      </c>
    </row>
    <row r="2318" spans="1:14" x14ac:dyDescent="0.25">
      <c r="A2318" s="262">
        <v>45067</v>
      </c>
      <c r="B2318" s="262" t="s">
        <v>1548</v>
      </c>
      <c r="C2318" s="262" t="s">
        <v>159</v>
      </c>
      <c r="D2318" s="262">
        <v>-79.348230299999997</v>
      </c>
      <c r="E2318" s="262">
        <v>34.085639999999998</v>
      </c>
      <c r="M2318" s="262">
        <v>16.92872225</v>
      </c>
      <c r="N2318" s="262">
        <v>16.92872225</v>
      </c>
    </row>
    <row r="2319" spans="1:14" x14ac:dyDescent="0.25">
      <c r="A2319" s="262">
        <v>45069</v>
      </c>
      <c r="B2319" s="262" t="s">
        <v>1548</v>
      </c>
      <c r="C2319" s="262" t="s">
        <v>1570</v>
      </c>
      <c r="D2319" s="262">
        <v>-79.6656507</v>
      </c>
      <c r="E2319" s="262">
        <v>34.59487</v>
      </c>
      <c r="M2319" s="262">
        <v>16.508654910000001</v>
      </c>
      <c r="N2319" s="262">
        <v>16.508654910000001</v>
      </c>
    </row>
    <row r="2320" spans="1:14" x14ac:dyDescent="0.25">
      <c r="A2320" s="262">
        <v>45071</v>
      </c>
      <c r="B2320" s="262" t="s">
        <v>1548</v>
      </c>
      <c r="C2320" s="262" t="s">
        <v>1571</v>
      </c>
      <c r="D2320" s="262">
        <v>-81.600730600000006</v>
      </c>
      <c r="E2320" s="262">
        <v>34.295189999999998</v>
      </c>
      <c r="M2320" s="262">
        <v>16.586548969999999</v>
      </c>
      <c r="N2320" s="262">
        <v>16.586548969999999</v>
      </c>
    </row>
    <row r="2321" spans="1:14" x14ac:dyDescent="0.25">
      <c r="A2321" s="262">
        <v>45073</v>
      </c>
      <c r="B2321" s="262" t="s">
        <v>1548</v>
      </c>
      <c r="C2321" s="262" t="s">
        <v>504</v>
      </c>
      <c r="D2321" s="262">
        <v>-83.0787555</v>
      </c>
      <c r="E2321" s="262">
        <v>34.74729</v>
      </c>
      <c r="M2321" s="262">
        <v>14.729196870000001</v>
      </c>
      <c r="N2321" s="262">
        <v>14.729196870000001</v>
      </c>
    </row>
    <row r="2322" spans="1:14" x14ac:dyDescent="0.25">
      <c r="A2322" s="262">
        <v>45075</v>
      </c>
      <c r="B2322" s="262" t="s">
        <v>1548</v>
      </c>
      <c r="C2322" s="262" t="s">
        <v>1572</v>
      </c>
      <c r="D2322" s="262">
        <v>-80.799969399999995</v>
      </c>
      <c r="E2322" s="262">
        <v>33.445740000000001</v>
      </c>
      <c r="M2322" s="262">
        <v>17.23400255</v>
      </c>
      <c r="N2322" s="262">
        <v>17.23400255</v>
      </c>
    </row>
    <row r="2323" spans="1:14" x14ac:dyDescent="0.25">
      <c r="A2323" s="262">
        <v>45077</v>
      </c>
      <c r="B2323" s="262" t="s">
        <v>1548</v>
      </c>
      <c r="C2323" s="262" t="s">
        <v>166</v>
      </c>
      <c r="D2323" s="262">
        <v>-82.735224099999996</v>
      </c>
      <c r="E2323" s="262">
        <v>34.892969999999998</v>
      </c>
      <c r="M2323" s="262">
        <v>14.773253349999999</v>
      </c>
      <c r="N2323" s="262">
        <v>14.773253349999999</v>
      </c>
    </row>
    <row r="2324" spans="1:14" x14ac:dyDescent="0.25">
      <c r="A2324" s="262">
        <v>45079</v>
      </c>
      <c r="B2324" s="262" t="s">
        <v>1548</v>
      </c>
      <c r="C2324" s="262" t="s">
        <v>616</v>
      </c>
      <c r="D2324" s="262">
        <v>-80.898169600000003</v>
      </c>
      <c r="E2324" s="262">
        <v>34.025550000000003</v>
      </c>
      <c r="M2324" s="262">
        <v>16.855932559999999</v>
      </c>
      <c r="N2324" s="262">
        <v>16.855932559999999</v>
      </c>
    </row>
    <row r="2325" spans="1:14" x14ac:dyDescent="0.25">
      <c r="A2325" s="262">
        <v>45081</v>
      </c>
      <c r="B2325" s="262" t="s">
        <v>1548</v>
      </c>
      <c r="C2325" s="262" t="s">
        <v>1573</v>
      </c>
      <c r="D2325" s="262">
        <v>-81.725435700000006</v>
      </c>
      <c r="E2325" s="262">
        <v>34.009839999999997</v>
      </c>
      <c r="M2325" s="262">
        <v>16.837988530000001</v>
      </c>
      <c r="N2325" s="262">
        <v>16.837988530000001</v>
      </c>
    </row>
    <row r="2326" spans="1:14" x14ac:dyDescent="0.25">
      <c r="A2326" s="262">
        <v>45083</v>
      </c>
      <c r="B2326" s="262" t="s">
        <v>1548</v>
      </c>
      <c r="C2326" s="262" t="s">
        <v>1574</v>
      </c>
      <c r="D2326" s="262">
        <v>-81.990375400000005</v>
      </c>
      <c r="E2326" s="262">
        <v>34.938749999999999</v>
      </c>
      <c r="M2326" s="262">
        <v>15.5290607</v>
      </c>
      <c r="N2326" s="262">
        <v>15.5290607</v>
      </c>
    </row>
    <row r="2327" spans="1:14" x14ac:dyDescent="0.25">
      <c r="A2327" s="262">
        <v>45085</v>
      </c>
      <c r="B2327" s="262" t="s">
        <v>1548</v>
      </c>
      <c r="C2327" s="262" t="s">
        <v>172</v>
      </c>
      <c r="D2327" s="262">
        <v>-80.375593100000003</v>
      </c>
      <c r="E2327" s="262">
        <v>33.913519999999998</v>
      </c>
      <c r="M2327" s="262">
        <v>16.968533709999999</v>
      </c>
      <c r="N2327" s="262">
        <v>16.968533709999999</v>
      </c>
    </row>
    <row r="2328" spans="1:14" x14ac:dyDescent="0.25">
      <c r="A2328" s="262">
        <v>45087</v>
      </c>
      <c r="B2328" s="262" t="s">
        <v>1548</v>
      </c>
      <c r="C2328" s="262" t="s">
        <v>249</v>
      </c>
      <c r="D2328" s="262">
        <v>-81.616824300000005</v>
      </c>
      <c r="E2328" s="262">
        <v>34.694940000000003</v>
      </c>
      <c r="M2328" s="262">
        <v>16.11058358</v>
      </c>
      <c r="N2328" s="262">
        <v>16.11058358</v>
      </c>
    </row>
    <row r="2329" spans="1:14" x14ac:dyDescent="0.25">
      <c r="A2329" s="262">
        <v>45089</v>
      </c>
      <c r="B2329" s="262" t="s">
        <v>1548</v>
      </c>
      <c r="C2329" s="262" t="s">
        <v>1575</v>
      </c>
      <c r="D2329" s="262">
        <v>-79.718568200000007</v>
      </c>
      <c r="E2329" s="262">
        <v>33.626519999999999</v>
      </c>
      <c r="M2329" s="262">
        <v>17.22988058</v>
      </c>
      <c r="N2329" s="262">
        <v>17.22988058</v>
      </c>
    </row>
    <row r="2330" spans="1:14" x14ac:dyDescent="0.25">
      <c r="A2330" s="262">
        <v>45091</v>
      </c>
      <c r="B2330" s="262" t="s">
        <v>1548</v>
      </c>
      <c r="C2330" s="262" t="s">
        <v>917</v>
      </c>
      <c r="D2330" s="262">
        <v>-81.184828199999998</v>
      </c>
      <c r="E2330" s="262">
        <v>34.981079999999999</v>
      </c>
      <c r="M2330" s="262">
        <v>15.88815848</v>
      </c>
      <c r="N2330" s="262">
        <v>15.88815848</v>
      </c>
    </row>
    <row r="2331" spans="1:14" x14ac:dyDescent="0.25">
      <c r="A2331" s="262">
        <v>46003</v>
      </c>
      <c r="B2331" s="262" t="s">
        <v>1576</v>
      </c>
      <c r="C2331" s="262" t="s">
        <v>1577</v>
      </c>
      <c r="D2331" s="262">
        <v>-98.560080200000002</v>
      </c>
      <c r="E2331" s="262">
        <v>43.713290000000001</v>
      </c>
      <c r="M2331" s="262">
        <v>11.098689820000001</v>
      </c>
      <c r="N2331" s="262">
        <v>11.098689820000001</v>
      </c>
    </row>
    <row r="2332" spans="1:14" x14ac:dyDescent="0.25">
      <c r="A2332" s="262">
        <v>46005</v>
      </c>
      <c r="B2332" s="262" t="s">
        <v>1576</v>
      </c>
      <c r="C2332" s="262" t="s">
        <v>1578</v>
      </c>
      <c r="D2332" s="262">
        <v>-98.272244999999998</v>
      </c>
      <c r="E2332" s="262">
        <v>44.41207</v>
      </c>
      <c r="M2332" s="262">
        <v>10.79464003</v>
      </c>
      <c r="N2332" s="262">
        <v>10.79464003</v>
      </c>
    </row>
    <row r="2333" spans="1:14" x14ac:dyDescent="0.25">
      <c r="A2333" s="262">
        <v>46007</v>
      </c>
      <c r="B2333" s="262" t="s">
        <v>1576</v>
      </c>
      <c r="C2333" s="262" t="s">
        <v>1579</v>
      </c>
      <c r="D2333" s="262">
        <v>-101.66758900000001</v>
      </c>
      <c r="E2333" s="262">
        <v>43.190950000000001</v>
      </c>
      <c r="M2333" s="262">
        <v>11.038700560000001</v>
      </c>
      <c r="N2333" s="262">
        <v>11.038700560000001</v>
      </c>
    </row>
    <row r="2334" spans="1:14" x14ac:dyDescent="0.25">
      <c r="A2334" s="262">
        <v>46009</v>
      </c>
      <c r="B2334" s="262" t="s">
        <v>1576</v>
      </c>
      <c r="C2334" s="262" t="s">
        <v>1580</v>
      </c>
      <c r="D2334" s="262">
        <v>-97.880721699999995</v>
      </c>
      <c r="E2334" s="262">
        <v>42.983179999999997</v>
      </c>
      <c r="M2334" s="262">
        <v>11.19612231</v>
      </c>
      <c r="N2334" s="262">
        <v>11.19612231</v>
      </c>
    </row>
    <row r="2335" spans="1:14" x14ac:dyDescent="0.25">
      <c r="A2335" s="262">
        <v>46011</v>
      </c>
      <c r="B2335" s="262" t="s">
        <v>1576</v>
      </c>
      <c r="C2335" s="262" t="s">
        <v>1581</v>
      </c>
      <c r="D2335" s="262">
        <v>-96.776091600000001</v>
      </c>
      <c r="E2335" s="262">
        <v>44.374850000000002</v>
      </c>
      <c r="M2335" s="262">
        <v>10.349990650000001</v>
      </c>
      <c r="N2335" s="262">
        <v>10.349990650000001</v>
      </c>
    </row>
    <row r="2336" spans="1:14" x14ac:dyDescent="0.25">
      <c r="A2336" s="262">
        <v>46013</v>
      </c>
      <c r="B2336" s="262" t="s">
        <v>1576</v>
      </c>
      <c r="C2336" s="262" t="s">
        <v>578</v>
      </c>
      <c r="D2336" s="262">
        <v>-98.351082500000004</v>
      </c>
      <c r="E2336" s="262">
        <v>45.588279999999997</v>
      </c>
      <c r="M2336" s="262">
        <v>10.105237369999999</v>
      </c>
      <c r="N2336" s="262">
        <v>10.105237369999999</v>
      </c>
    </row>
    <row r="2337" spans="1:14" x14ac:dyDescent="0.25">
      <c r="A2337" s="262">
        <v>46015</v>
      </c>
      <c r="B2337" s="262" t="s">
        <v>1576</v>
      </c>
      <c r="C2337" s="262" t="s">
        <v>1582</v>
      </c>
      <c r="D2337" s="262">
        <v>-99.089678899999996</v>
      </c>
      <c r="E2337" s="262">
        <v>43.714309999999998</v>
      </c>
      <c r="M2337" s="262">
        <v>11.142235380000001</v>
      </c>
      <c r="N2337" s="262">
        <v>11.142235380000001</v>
      </c>
    </row>
    <row r="2338" spans="1:14" x14ac:dyDescent="0.25">
      <c r="A2338" s="262">
        <v>46017</v>
      </c>
      <c r="B2338" s="262" t="s">
        <v>1576</v>
      </c>
      <c r="C2338" s="262" t="s">
        <v>1193</v>
      </c>
      <c r="D2338" s="262">
        <v>-99.215232200000003</v>
      </c>
      <c r="E2338" s="262">
        <v>44.072890000000001</v>
      </c>
      <c r="M2338" s="262">
        <v>11.027824989999999</v>
      </c>
      <c r="N2338" s="262">
        <v>11.027824989999999</v>
      </c>
    </row>
    <row r="2339" spans="1:14" x14ac:dyDescent="0.25">
      <c r="A2339" s="262">
        <v>46019</v>
      </c>
      <c r="B2339" s="262" t="s">
        <v>1576</v>
      </c>
      <c r="C2339" s="262" t="s">
        <v>258</v>
      </c>
      <c r="D2339" s="262">
        <v>-103.50843</v>
      </c>
      <c r="E2339" s="262">
        <v>44.901670000000003</v>
      </c>
      <c r="M2339" s="262">
        <v>10.150537659999999</v>
      </c>
      <c r="N2339" s="262">
        <v>10.150537659999999</v>
      </c>
    </row>
    <row r="2340" spans="1:14" x14ac:dyDescent="0.25">
      <c r="A2340" s="262">
        <v>46021</v>
      </c>
      <c r="B2340" s="262" t="s">
        <v>1576</v>
      </c>
      <c r="C2340" s="262" t="s">
        <v>799</v>
      </c>
      <c r="D2340" s="262">
        <v>-100.045287</v>
      </c>
      <c r="E2340" s="262">
        <v>45.768129999999999</v>
      </c>
      <c r="M2340" s="262">
        <v>9.9587691360000008</v>
      </c>
      <c r="N2340" s="262">
        <v>9.9587691360000008</v>
      </c>
    </row>
    <row r="2341" spans="1:14" x14ac:dyDescent="0.25">
      <c r="A2341" s="262">
        <v>46023</v>
      </c>
      <c r="B2341" s="262" t="s">
        <v>1576</v>
      </c>
      <c r="C2341" s="262" t="s">
        <v>1583</v>
      </c>
      <c r="D2341" s="262">
        <v>-98.590170400000005</v>
      </c>
      <c r="E2341" s="262">
        <v>43.200510000000001</v>
      </c>
      <c r="M2341" s="262">
        <v>11.23602462</v>
      </c>
      <c r="N2341" s="262">
        <v>11.23602462</v>
      </c>
    </row>
    <row r="2342" spans="1:14" x14ac:dyDescent="0.25">
      <c r="A2342" s="262">
        <v>46025</v>
      </c>
      <c r="B2342" s="262" t="s">
        <v>1576</v>
      </c>
      <c r="C2342" s="262" t="s">
        <v>205</v>
      </c>
      <c r="D2342" s="262">
        <v>-97.729115300000004</v>
      </c>
      <c r="E2342" s="262">
        <v>44.854950000000002</v>
      </c>
      <c r="M2342" s="262">
        <v>10.422536640000001</v>
      </c>
      <c r="N2342" s="262">
        <v>10.422536640000001</v>
      </c>
    </row>
    <row r="2343" spans="1:14" x14ac:dyDescent="0.25">
      <c r="A2343" s="262">
        <v>46027</v>
      </c>
      <c r="B2343" s="262" t="s">
        <v>1576</v>
      </c>
      <c r="C2343" s="262" t="s">
        <v>126</v>
      </c>
      <c r="D2343" s="262">
        <v>-96.975314600000004</v>
      </c>
      <c r="E2343" s="262">
        <v>42.905819999999999</v>
      </c>
      <c r="M2343" s="262">
        <v>11.043674530000001</v>
      </c>
      <c r="N2343" s="262">
        <v>11.043674530000001</v>
      </c>
    </row>
    <row r="2344" spans="1:14" x14ac:dyDescent="0.25">
      <c r="A2344" s="262">
        <v>46029</v>
      </c>
      <c r="B2344" s="262" t="s">
        <v>1576</v>
      </c>
      <c r="C2344" s="262" t="s">
        <v>1584</v>
      </c>
      <c r="D2344" s="262">
        <v>-97.189184100000006</v>
      </c>
      <c r="E2344" s="262">
        <v>44.980870000000003</v>
      </c>
      <c r="M2344" s="262">
        <v>10.20545162</v>
      </c>
      <c r="N2344" s="262">
        <v>10.20545162</v>
      </c>
    </row>
    <row r="2345" spans="1:14" x14ac:dyDescent="0.25">
      <c r="A2345" s="262">
        <v>46031</v>
      </c>
      <c r="B2345" s="262" t="s">
        <v>1576</v>
      </c>
      <c r="C2345" s="262" t="s">
        <v>1585</v>
      </c>
      <c r="D2345" s="262">
        <v>-101.193648</v>
      </c>
      <c r="E2345" s="262">
        <v>45.702249999999999</v>
      </c>
      <c r="M2345" s="262">
        <v>9.9597342149999992</v>
      </c>
      <c r="N2345" s="262">
        <v>9.9597342149999992</v>
      </c>
    </row>
    <row r="2346" spans="1:14" x14ac:dyDescent="0.25">
      <c r="A2346" s="262">
        <v>46033</v>
      </c>
      <c r="B2346" s="262" t="s">
        <v>1576</v>
      </c>
      <c r="C2346" s="262" t="s">
        <v>326</v>
      </c>
      <c r="D2346" s="262">
        <v>-103.454262</v>
      </c>
      <c r="E2346" s="262">
        <v>43.671610000000001</v>
      </c>
      <c r="M2346" s="262">
        <v>10.50881203</v>
      </c>
      <c r="N2346" s="262">
        <v>10.50881203</v>
      </c>
    </row>
    <row r="2347" spans="1:14" x14ac:dyDescent="0.25">
      <c r="A2347" s="262">
        <v>46035</v>
      </c>
      <c r="B2347" s="262" t="s">
        <v>1576</v>
      </c>
      <c r="C2347" s="262" t="s">
        <v>1586</v>
      </c>
      <c r="D2347" s="262">
        <v>-98.128141099999993</v>
      </c>
      <c r="E2347" s="262">
        <v>43.672930000000001</v>
      </c>
      <c r="M2347" s="262">
        <v>11.05092907</v>
      </c>
      <c r="N2347" s="262">
        <v>11.05092907</v>
      </c>
    </row>
    <row r="2348" spans="1:14" x14ac:dyDescent="0.25">
      <c r="A2348" s="262">
        <v>46037</v>
      </c>
      <c r="B2348" s="262" t="s">
        <v>1576</v>
      </c>
      <c r="C2348" s="262" t="s">
        <v>1587</v>
      </c>
      <c r="D2348" s="262">
        <v>-97.604642100000007</v>
      </c>
      <c r="E2348" s="262">
        <v>45.366619999999998</v>
      </c>
      <c r="M2348" s="262">
        <v>10.11150278</v>
      </c>
      <c r="N2348" s="262">
        <v>10.11150278</v>
      </c>
    </row>
    <row r="2349" spans="1:14" x14ac:dyDescent="0.25">
      <c r="A2349" s="262">
        <v>46039</v>
      </c>
      <c r="B2349" s="262" t="s">
        <v>1576</v>
      </c>
      <c r="C2349" s="262" t="s">
        <v>1199</v>
      </c>
      <c r="D2349" s="262">
        <v>-96.657893900000005</v>
      </c>
      <c r="E2349" s="262">
        <v>44.763359999999999</v>
      </c>
      <c r="M2349" s="262">
        <v>10.14264242</v>
      </c>
      <c r="N2349" s="262">
        <v>10.14264242</v>
      </c>
    </row>
    <row r="2350" spans="1:14" x14ac:dyDescent="0.25">
      <c r="A2350" s="262">
        <v>46041</v>
      </c>
      <c r="B2350" s="262" t="s">
        <v>1576</v>
      </c>
      <c r="C2350" s="262" t="s">
        <v>1463</v>
      </c>
      <c r="D2350" s="262">
        <v>-100.867873</v>
      </c>
      <c r="E2350" s="262">
        <v>45.150889999999997</v>
      </c>
      <c r="M2350" s="262">
        <v>10.33644323</v>
      </c>
      <c r="N2350" s="262">
        <v>10.33644323</v>
      </c>
    </row>
    <row r="2351" spans="1:14" x14ac:dyDescent="0.25">
      <c r="A2351" s="262">
        <v>46043</v>
      </c>
      <c r="B2351" s="262" t="s">
        <v>1576</v>
      </c>
      <c r="C2351" s="262" t="s">
        <v>330</v>
      </c>
      <c r="D2351" s="262">
        <v>-98.370593900000003</v>
      </c>
      <c r="E2351" s="262">
        <v>43.381360000000001</v>
      </c>
      <c r="M2351" s="262">
        <v>11.16446973</v>
      </c>
      <c r="N2351" s="262">
        <v>11.16446973</v>
      </c>
    </row>
    <row r="2352" spans="1:14" x14ac:dyDescent="0.25">
      <c r="A2352" s="262">
        <v>46045</v>
      </c>
      <c r="B2352" s="262" t="s">
        <v>1576</v>
      </c>
      <c r="C2352" s="262" t="s">
        <v>1588</v>
      </c>
      <c r="D2352" s="262">
        <v>-99.213249000000005</v>
      </c>
      <c r="E2352" s="262">
        <v>45.412820000000004</v>
      </c>
      <c r="M2352" s="262">
        <v>10.24764637</v>
      </c>
      <c r="N2352" s="262">
        <v>10.24764637</v>
      </c>
    </row>
    <row r="2353" spans="1:14" x14ac:dyDescent="0.25">
      <c r="A2353" s="262">
        <v>46047</v>
      </c>
      <c r="B2353" s="262" t="s">
        <v>1576</v>
      </c>
      <c r="C2353" s="262" t="s">
        <v>1589</v>
      </c>
      <c r="D2353" s="262">
        <v>-103.535218</v>
      </c>
      <c r="E2353" s="262">
        <v>43.23545</v>
      </c>
      <c r="M2353" s="262">
        <v>10.630886690000001</v>
      </c>
      <c r="N2353" s="262">
        <v>10.630886690000001</v>
      </c>
    </row>
    <row r="2354" spans="1:14" x14ac:dyDescent="0.25">
      <c r="A2354" s="262">
        <v>46049</v>
      </c>
      <c r="B2354" s="262" t="s">
        <v>1576</v>
      </c>
      <c r="C2354" s="262" t="s">
        <v>1590</v>
      </c>
      <c r="D2354" s="262">
        <v>-99.144947500000001</v>
      </c>
      <c r="E2354" s="262">
        <v>45.064990000000002</v>
      </c>
      <c r="M2354" s="262">
        <v>10.4758713</v>
      </c>
      <c r="N2354" s="262">
        <v>10.4758713</v>
      </c>
    </row>
    <row r="2355" spans="1:14" x14ac:dyDescent="0.25">
      <c r="A2355" s="262">
        <v>46051</v>
      </c>
      <c r="B2355" s="262" t="s">
        <v>1576</v>
      </c>
      <c r="C2355" s="262" t="s">
        <v>218</v>
      </c>
      <c r="D2355" s="262">
        <v>-96.751423399999993</v>
      </c>
      <c r="E2355" s="262">
        <v>45.171370000000003</v>
      </c>
      <c r="M2355" s="262">
        <v>9.9866590130000006</v>
      </c>
      <c r="N2355" s="262">
        <v>9.9866590130000006</v>
      </c>
    </row>
    <row r="2356" spans="1:14" x14ac:dyDescent="0.25">
      <c r="A2356" s="262">
        <v>46053</v>
      </c>
      <c r="B2356" s="262" t="s">
        <v>1576</v>
      </c>
      <c r="C2356" s="262" t="s">
        <v>1591</v>
      </c>
      <c r="D2356" s="262">
        <v>-99.195413599999995</v>
      </c>
      <c r="E2356" s="262">
        <v>43.188809999999997</v>
      </c>
      <c r="M2356" s="262">
        <v>11.285596740000001</v>
      </c>
      <c r="N2356" s="262">
        <v>11.285596740000001</v>
      </c>
    </row>
    <row r="2357" spans="1:14" x14ac:dyDescent="0.25">
      <c r="A2357" s="262">
        <v>46055</v>
      </c>
      <c r="B2357" s="262" t="s">
        <v>1576</v>
      </c>
      <c r="C2357" s="262" t="s">
        <v>1592</v>
      </c>
      <c r="D2357" s="262">
        <v>-101.540905</v>
      </c>
      <c r="E2357" s="262">
        <v>44.287509999999997</v>
      </c>
      <c r="M2357" s="262">
        <v>10.673679569999999</v>
      </c>
      <c r="N2357" s="262">
        <v>10.673679569999999</v>
      </c>
    </row>
    <row r="2358" spans="1:14" x14ac:dyDescent="0.25">
      <c r="A2358" s="262">
        <v>46057</v>
      </c>
      <c r="B2358" s="262" t="s">
        <v>1576</v>
      </c>
      <c r="C2358" s="262" t="s">
        <v>1593</v>
      </c>
      <c r="D2358" s="262">
        <v>-97.186066400000001</v>
      </c>
      <c r="E2358" s="262">
        <v>44.674079999999996</v>
      </c>
      <c r="M2358" s="262">
        <v>10.34392766</v>
      </c>
      <c r="N2358" s="262">
        <v>10.34392766</v>
      </c>
    </row>
    <row r="2359" spans="1:14" x14ac:dyDescent="0.25">
      <c r="A2359" s="262">
        <v>46059</v>
      </c>
      <c r="B2359" s="262" t="s">
        <v>1576</v>
      </c>
      <c r="C2359" s="262" t="s">
        <v>1594</v>
      </c>
      <c r="D2359" s="262">
        <v>-99.002370999999997</v>
      </c>
      <c r="E2359" s="262">
        <v>44.543939999999999</v>
      </c>
      <c r="M2359" s="262">
        <v>10.784250849999999</v>
      </c>
      <c r="N2359" s="262">
        <v>10.784250849999999</v>
      </c>
    </row>
    <row r="2360" spans="1:14" x14ac:dyDescent="0.25">
      <c r="A2360" s="262">
        <v>46061</v>
      </c>
      <c r="B2360" s="262" t="s">
        <v>1576</v>
      </c>
      <c r="C2360" s="262" t="s">
        <v>1595</v>
      </c>
      <c r="D2360" s="262">
        <v>-97.767560399999994</v>
      </c>
      <c r="E2360" s="262">
        <v>43.675220000000003</v>
      </c>
      <c r="M2360" s="262">
        <v>10.959793919999999</v>
      </c>
      <c r="N2360" s="262">
        <v>10.959793919999999</v>
      </c>
    </row>
    <row r="2361" spans="1:14" x14ac:dyDescent="0.25">
      <c r="A2361" s="262">
        <v>46063</v>
      </c>
      <c r="B2361" s="262" t="s">
        <v>1576</v>
      </c>
      <c r="C2361" s="262" t="s">
        <v>1271</v>
      </c>
      <c r="D2361" s="262">
        <v>-103.49043</v>
      </c>
      <c r="E2361" s="262">
        <v>45.575830000000003</v>
      </c>
      <c r="M2361" s="262">
        <v>9.9685087879999994</v>
      </c>
      <c r="N2361" s="262">
        <v>9.9685087879999994</v>
      </c>
    </row>
    <row r="2362" spans="1:14" x14ac:dyDescent="0.25">
      <c r="A2362" s="262">
        <v>46065</v>
      </c>
      <c r="B2362" s="262" t="s">
        <v>1576</v>
      </c>
      <c r="C2362" s="262" t="s">
        <v>1467</v>
      </c>
      <c r="D2362" s="262">
        <v>-100.000168</v>
      </c>
      <c r="E2362" s="262">
        <v>44.381680000000003</v>
      </c>
      <c r="M2362" s="262">
        <v>10.95168318</v>
      </c>
      <c r="N2362" s="262">
        <v>10.95168318</v>
      </c>
    </row>
    <row r="2363" spans="1:14" x14ac:dyDescent="0.25">
      <c r="A2363" s="262">
        <v>46067</v>
      </c>
      <c r="B2363" s="262" t="s">
        <v>1576</v>
      </c>
      <c r="C2363" s="262" t="s">
        <v>1596</v>
      </c>
      <c r="D2363" s="262">
        <v>-97.748604799999995</v>
      </c>
      <c r="E2363" s="262">
        <v>43.333150000000003</v>
      </c>
      <c r="M2363" s="262">
        <v>11.053215809999999</v>
      </c>
      <c r="N2363" s="262">
        <v>11.053215809999999</v>
      </c>
    </row>
    <row r="2364" spans="1:14" x14ac:dyDescent="0.25">
      <c r="A2364" s="262">
        <v>46069</v>
      </c>
      <c r="B2364" s="262" t="s">
        <v>1576</v>
      </c>
      <c r="C2364" s="262" t="s">
        <v>1352</v>
      </c>
      <c r="D2364" s="262">
        <v>-99.486956599999999</v>
      </c>
      <c r="E2364" s="262">
        <v>44.543930000000003</v>
      </c>
      <c r="M2364" s="262">
        <v>10.81891332</v>
      </c>
      <c r="N2364" s="262">
        <v>10.81891332</v>
      </c>
    </row>
    <row r="2365" spans="1:14" x14ac:dyDescent="0.25">
      <c r="A2365" s="262">
        <v>46071</v>
      </c>
      <c r="B2365" s="262" t="s">
        <v>1576</v>
      </c>
      <c r="C2365" s="262" t="s">
        <v>148</v>
      </c>
      <c r="D2365" s="262">
        <v>-101.632363</v>
      </c>
      <c r="E2365" s="262">
        <v>43.687710000000003</v>
      </c>
      <c r="M2365" s="262">
        <v>10.88990231</v>
      </c>
      <c r="N2365" s="262">
        <v>10.88990231</v>
      </c>
    </row>
    <row r="2366" spans="1:14" x14ac:dyDescent="0.25">
      <c r="A2366" s="262">
        <v>46073</v>
      </c>
      <c r="B2366" s="262" t="s">
        <v>1576</v>
      </c>
      <c r="C2366" s="262" t="s">
        <v>1597</v>
      </c>
      <c r="D2366" s="262">
        <v>-98.632315399999996</v>
      </c>
      <c r="E2366" s="262">
        <v>44.065429999999999</v>
      </c>
      <c r="M2366" s="262">
        <v>10.99146841</v>
      </c>
      <c r="N2366" s="262">
        <v>10.99146841</v>
      </c>
    </row>
    <row r="2367" spans="1:14" x14ac:dyDescent="0.25">
      <c r="A2367" s="262">
        <v>46075</v>
      </c>
      <c r="B2367" s="262" t="s">
        <v>1576</v>
      </c>
      <c r="C2367" s="262" t="s">
        <v>493</v>
      </c>
      <c r="D2367" s="262">
        <v>-100.692307</v>
      </c>
      <c r="E2367" s="262">
        <v>43.95391</v>
      </c>
      <c r="M2367" s="262">
        <v>11.029361249999999</v>
      </c>
      <c r="N2367" s="262">
        <v>11.029361249999999</v>
      </c>
    </row>
    <row r="2368" spans="1:14" x14ac:dyDescent="0.25">
      <c r="A2368" s="262">
        <v>46077</v>
      </c>
      <c r="B2368" s="262" t="s">
        <v>1576</v>
      </c>
      <c r="C2368" s="262" t="s">
        <v>1598</v>
      </c>
      <c r="D2368" s="262">
        <v>-97.484180899999998</v>
      </c>
      <c r="E2368" s="262">
        <v>44.372219999999999</v>
      </c>
      <c r="M2368" s="262">
        <v>10.59095726</v>
      </c>
      <c r="N2368" s="262">
        <v>10.59095726</v>
      </c>
    </row>
    <row r="2369" spans="1:14" x14ac:dyDescent="0.25">
      <c r="A2369" s="262">
        <v>46079</v>
      </c>
      <c r="B2369" s="262" t="s">
        <v>1576</v>
      </c>
      <c r="C2369" s="262" t="s">
        <v>271</v>
      </c>
      <c r="D2369" s="262">
        <v>-97.112035399999996</v>
      </c>
      <c r="E2369" s="262">
        <v>44.027769999999997</v>
      </c>
      <c r="M2369" s="262">
        <v>10.601129240000001</v>
      </c>
      <c r="N2369" s="262">
        <v>10.601129240000001</v>
      </c>
    </row>
    <row r="2370" spans="1:14" x14ac:dyDescent="0.25">
      <c r="A2370" s="262">
        <v>46081</v>
      </c>
      <c r="B2370" s="262" t="s">
        <v>1576</v>
      </c>
      <c r="C2370" s="262" t="s">
        <v>152</v>
      </c>
      <c r="D2370" s="262">
        <v>-103.778492</v>
      </c>
      <c r="E2370" s="262">
        <v>44.352989999999998</v>
      </c>
      <c r="M2370" s="262">
        <v>10.24680845</v>
      </c>
      <c r="N2370" s="262">
        <v>10.24680845</v>
      </c>
    </row>
    <row r="2371" spans="1:14" x14ac:dyDescent="0.25">
      <c r="A2371" s="262">
        <v>46083</v>
      </c>
      <c r="B2371" s="262" t="s">
        <v>1576</v>
      </c>
      <c r="C2371" s="262" t="s">
        <v>226</v>
      </c>
      <c r="D2371" s="262">
        <v>-96.712209599999994</v>
      </c>
      <c r="E2371" s="262">
        <v>43.275390000000002</v>
      </c>
      <c r="M2371" s="262">
        <v>10.77081488</v>
      </c>
      <c r="N2371" s="262">
        <v>10.77081488</v>
      </c>
    </row>
    <row r="2372" spans="1:14" x14ac:dyDescent="0.25">
      <c r="A2372" s="262">
        <v>46085</v>
      </c>
      <c r="B2372" s="262" t="s">
        <v>1576</v>
      </c>
      <c r="C2372" s="262" t="s">
        <v>1599</v>
      </c>
      <c r="D2372" s="262">
        <v>-99.852933300000004</v>
      </c>
      <c r="E2372" s="262">
        <v>43.888440000000003</v>
      </c>
      <c r="M2372" s="262">
        <v>11.14406037</v>
      </c>
      <c r="N2372" s="262">
        <v>11.14406037</v>
      </c>
    </row>
    <row r="2373" spans="1:14" x14ac:dyDescent="0.25">
      <c r="A2373" s="262">
        <v>46087</v>
      </c>
      <c r="B2373" s="262" t="s">
        <v>1576</v>
      </c>
      <c r="C2373" s="262" t="s">
        <v>1600</v>
      </c>
      <c r="D2373" s="262">
        <v>-97.353357500000001</v>
      </c>
      <c r="E2373" s="262">
        <v>43.67407</v>
      </c>
      <c r="M2373" s="262">
        <v>10.819828060000001</v>
      </c>
      <c r="N2373" s="262">
        <v>10.819828060000001</v>
      </c>
    </row>
    <row r="2374" spans="1:14" x14ac:dyDescent="0.25">
      <c r="A2374" s="262">
        <v>46089</v>
      </c>
      <c r="B2374" s="262" t="s">
        <v>1576</v>
      </c>
      <c r="C2374" s="262" t="s">
        <v>750</v>
      </c>
      <c r="D2374" s="262">
        <v>-99.217234000000005</v>
      </c>
      <c r="E2374" s="262">
        <v>45.763339999999999</v>
      </c>
      <c r="M2374" s="262">
        <v>10.0231931</v>
      </c>
      <c r="N2374" s="262">
        <v>10.0231931</v>
      </c>
    </row>
    <row r="2375" spans="1:14" x14ac:dyDescent="0.25">
      <c r="A2375" s="262">
        <v>46091</v>
      </c>
      <c r="B2375" s="262" t="s">
        <v>1576</v>
      </c>
      <c r="C2375" s="262" t="s">
        <v>160</v>
      </c>
      <c r="D2375" s="262">
        <v>-97.595689800000002</v>
      </c>
      <c r="E2375" s="262">
        <v>45.757910000000003</v>
      </c>
      <c r="M2375" s="262">
        <v>9.9041659020000008</v>
      </c>
      <c r="N2375" s="262">
        <v>9.9041659020000008</v>
      </c>
    </row>
    <row r="2376" spans="1:14" x14ac:dyDescent="0.25">
      <c r="A2376" s="262">
        <v>46093</v>
      </c>
      <c r="B2376" s="262" t="s">
        <v>1576</v>
      </c>
      <c r="C2376" s="262" t="s">
        <v>751</v>
      </c>
      <c r="D2376" s="262">
        <v>-102.70510899999999</v>
      </c>
      <c r="E2376" s="262">
        <v>44.561529999999998</v>
      </c>
      <c r="M2376" s="262">
        <v>10.35143375</v>
      </c>
      <c r="N2376" s="262">
        <v>10.35143375</v>
      </c>
    </row>
    <row r="2377" spans="1:14" x14ac:dyDescent="0.25">
      <c r="A2377" s="262">
        <v>46095</v>
      </c>
      <c r="B2377" s="262" t="s">
        <v>1576</v>
      </c>
      <c r="C2377" s="262" t="s">
        <v>1601</v>
      </c>
      <c r="D2377" s="262">
        <v>-100.762412</v>
      </c>
      <c r="E2377" s="262">
        <v>43.573639999999997</v>
      </c>
      <c r="M2377" s="262">
        <v>11.11135966</v>
      </c>
      <c r="N2377" s="262">
        <v>11.11135966</v>
      </c>
    </row>
    <row r="2378" spans="1:14" x14ac:dyDescent="0.25">
      <c r="A2378" s="262">
        <v>46097</v>
      </c>
      <c r="B2378" s="262" t="s">
        <v>1576</v>
      </c>
      <c r="C2378" s="262" t="s">
        <v>1602</v>
      </c>
      <c r="D2378" s="262">
        <v>-97.601288699999998</v>
      </c>
      <c r="E2378" s="262">
        <v>44.025039999999997</v>
      </c>
      <c r="M2378" s="262">
        <v>10.783189220000001</v>
      </c>
      <c r="N2378" s="262">
        <v>10.783189220000001</v>
      </c>
    </row>
    <row r="2379" spans="1:14" x14ac:dyDescent="0.25">
      <c r="A2379" s="262">
        <v>46099</v>
      </c>
      <c r="B2379" s="262" t="s">
        <v>1576</v>
      </c>
      <c r="C2379" s="262" t="s">
        <v>1603</v>
      </c>
      <c r="D2379" s="262">
        <v>-96.768151200000005</v>
      </c>
      <c r="E2379" s="262">
        <v>43.674309999999998</v>
      </c>
      <c r="M2379" s="262">
        <v>10.61862191</v>
      </c>
      <c r="N2379" s="262">
        <v>10.61862191</v>
      </c>
    </row>
    <row r="2380" spans="1:14" x14ac:dyDescent="0.25">
      <c r="A2380" s="262">
        <v>46101</v>
      </c>
      <c r="B2380" s="262" t="s">
        <v>1576</v>
      </c>
      <c r="C2380" s="262" t="s">
        <v>1604</v>
      </c>
      <c r="D2380" s="262">
        <v>-96.645691400000004</v>
      </c>
      <c r="E2380" s="262">
        <v>44.026350000000001</v>
      </c>
      <c r="M2380" s="262">
        <v>10.44980696</v>
      </c>
      <c r="N2380" s="262">
        <v>10.44980696</v>
      </c>
    </row>
    <row r="2381" spans="1:14" x14ac:dyDescent="0.25">
      <c r="A2381" s="262">
        <v>46103</v>
      </c>
      <c r="B2381" s="262" t="s">
        <v>1576</v>
      </c>
      <c r="C2381" s="262" t="s">
        <v>1049</v>
      </c>
      <c r="D2381" s="262">
        <v>-102.829376</v>
      </c>
      <c r="E2381" s="262">
        <v>43.996490000000001</v>
      </c>
      <c r="M2381" s="262">
        <v>10.53009029</v>
      </c>
      <c r="N2381" s="262">
        <v>10.53009029</v>
      </c>
    </row>
    <row r="2382" spans="1:14" x14ac:dyDescent="0.25">
      <c r="A2382" s="262">
        <v>46105</v>
      </c>
      <c r="B2382" s="262" t="s">
        <v>1576</v>
      </c>
      <c r="C2382" s="262" t="s">
        <v>1221</v>
      </c>
      <c r="D2382" s="262">
        <v>-102.470994</v>
      </c>
      <c r="E2382" s="262">
        <v>45.484659999999998</v>
      </c>
      <c r="M2382" s="262">
        <v>10.03106374</v>
      </c>
      <c r="N2382" s="262">
        <v>10.03106374</v>
      </c>
    </row>
    <row r="2383" spans="1:14" x14ac:dyDescent="0.25">
      <c r="A2383" s="262">
        <v>46107</v>
      </c>
      <c r="B2383" s="262" t="s">
        <v>1576</v>
      </c>
      <c r="C2383" s="262" t="s">
        <v>1539</v>
      </c>
      <c r="D2383" s="262">
        <v>-99.958005299999996</v>
      </c>
      <c r="E2383" s="262">
        <v>45.057969999999997</v>
      </c>
      <c r="M2383" s="262">
        <v>10.48108502</v>
      </c>
      <c r="N2383" s="262">
        <v>10.48108502</v>
      </c>
    </row>
    <row r="2384" spans="1:14" x14ac:dyDescent="0.25">
      <c r="A2384" s="262">
        <v>46109</v>
      </c>
      <c r="B2384" s="262" t="s">
        <v>1576</v>
      </c>
      <c r="C2384" s="262" t="s">
        <v>1605</v>
      </c>
      <c r="D2384" s="262">
        <v>-96.936302299999994</v>
      </c>
      <c r="E2384" s="262">
        <v>45.625239999999998</v>
      </c>
      <c r="M2384" s="262">
        <v>9.8292548449999995</v>
      </c>
      <c r="N2384" s="262">
        <v>9.8292548449999995</v>
      </c>
    </row>
    <row r="2385" spans="1:14" x14ac:dyDescent="0.25">
      <c r="A2385" s="262">
        <v>46111</v>
      </c>
      <c r="B2385" s="262" t="s">
        <v>1576</v>
      </c>
      <c r="C2385" s="262" t="s">
        <v>1606</v>
      </c>
      <c r="D2385" s="262">
        <v>-98.086742999999998</v>
      </c>
      <c r="E2385" s="262">
        <v>44.024189999999997</v>
      </c>
      <c r="M2385" s="262">
        <v>10.94370456</v>
      </c>
      <c r="N2385" s="262">
        <v>10.94370456</v>
      </c>
    </row>
    <row r="2386" spans="1:14" x14ac:dyDescent="0.25">
      <c r="A2386" s="262">
        <v>46113</v>
      </c>
      <c r="B2386" s="262" t="s">
        <v>1576</v>
      </c>
      <c r="C2386" s="262" t="s">
        <v>1145</v>
      </c>
      <c r="D2386" s="262">
        <v>-102.555594</v>
      </c>
      <c r="E2386" s="262">
        <v>43.329929999999997</v>
      </c>
      <c r="M2386" s="262">
        <v>10.825676899999999</v>
      </c>
      <c r="N2386" s="262">
        <v>10.825676899999999</v>
      </c>
    </row>
    <row r="2387" spans="1:14" x14ac:dyDescent="0.25">
      <c r="A2387" s="262">
        <v>46115</v>
      </c>
      <c r="B2387" s="262" t="s">
        <v>1576</v>
      </c>
      <c r="C2387" s="262" t="s">
        <v>1607</v>
      </c>
      <c r="D2387" s="262">
        <v>-98.343268399999999</v>
      </c>
      <c r="E2387" s="262">
        <v>44.933149999999998</v>
      </c>
      <c r="M2387" s="262">
        <v>10.49093023</v>
      </c>
      <c r="N2387" s="262">
        <v>10.49093023</v>
      </c>
    </row>
    <row r="2388" spans="1:14" x14ac:dyDescent="0.25">
      <c r="A2388" s="262">
        <v>46117</v>
      </c>
      <c r="B2388" s="262" t="s">
        <v>1576</v>
      </c>
      <c r="C2388" s="262" t="s">
        <v>1608</v>
      </c>
      <c r="D2388" s="262">
        <v>-100.738049</v>
      </c>
      <c r="E2388" s="262">
        <v>44.4056</v>
      </c>
      <c r="M2388" s="262">
        <v>10.81737787</v>
      </c>
      <c r="N2388" s="262">
        <v>10.81737787</v>
      </c>
    </row>
    <row r="2389" spans="1:14" x14ac:dyDescent="0.25">
      <c r="A2389" s="262">
        <v>46119</v>
      </c>
      <c r="B2389" s="262" t="s">
        <v>1576</v>
      </c>
      <c r="C2389" s="262" t="s">
        <v>1609</v>
      </c>
      <c r="D2389" s="262">
        <v>-100.13589899999999</v>
      </c>
      <c r="E2389" s="262">
        <v>44.70823</v>
      </c>
      <c r="M2389" s="262">
        <v>10.72401979</v>
      </c>
      <c r="N2389" s="262">
        <v>10.72401979</v>
      </c>
    </row>
    <row r="2390" spans="1:14" x14ac:dyDescent="0.25">
      <c r="A2390" s="262">
        <v>46121</v>
      </c>
      <c r="B2390" s="262" t="s">
        <v>1576</v>
      </c>
      <c r="C2390" s="262" t="s">
        <v>838</v>
      </c>
      <c r="D2390" s="262">
        <v>-100.722317</v>
      </c>
      <c r="E2390" s="262">
        <v>43.187759999999997</v>
      </c>
      <c r="M2390" s="262">
        <v>11.202491200000001</v>
      </c>
      <c r="N2390" s="262">
        <v>11.202491200000001</v>
      </c>
    </row>
    <row r="2391" spans="1:14" x14ac:dyDescent="0.25">
      <c r="A2391" s="262">
        <v>46123</v>
      </c>
      <c r="B2391" s="262" t="s">
        <v>1576</v>
      </c>
      <c r="C2391" s="262" t="s">
        <v>1610</v>
      </c>
      <c r="D2391" s="262">
        <v>-99.889382100000006</v>
      </c>
      <c r="E2391" s="262">
        <v>43.340380000000003</v>
      </c>
      <c r="M2391" s="262">
        <v>11.26168912</v>
      </c>
      <c r="N2391" s="262">
        <v>11.26168912</v>
      </c>
    </row>
    <row r="2392" spans="1:14" x14ac:dyDescent="0.25">
      <c r="A2392" s="262">
        <v>46125</v>
      </c>
      <c r="B2392" s="262" t="s">
        <v>1576</v>
      </c>
      <c r="C2392" s="262" t="s">
        <v>529</v>
      </c>
      <c r="D2392" s="262">
        <v>-97.138715599999998</v>
      </c>
      <c r="E2392" s="262">
        <v>43.308250000000001</v>
      </c>
      <c r="M2392" s="262">
        <v>10.88868926</v>
      </c>
      <c r="N2392" s="262">
        <v>10.88868926</v>
      </c>
    </row>
    <row r="2393" spans="1:14" x14ac:dyDescent="0.25">
      <c r="A2393" s="262">
        <v>46127</v>
      </c>
      <c r="B2393" s="262" t="s">
        <v>1576</v>
      </c>
      <c r="C2393" s="262" t="s">
        <v>249</v>
      </c>
      <c r="D2393" s="262">
        <v>-96.647386100000006</v>
      </c>
      <c r="E2393" s="262">
        <v>42.828850000000003</v>
      </c>
      <c r="M2393" s="262">
        <v>11.04227777</v>
      </c>
      <c r="N2393" s="262">
        <v>11.04227777</v>
      </c>
    </row>
    <row r="2394" spans="1:14" x14ac:dyDescent="0.25">
      <c r="A2394" s="262">
        <v>46129</v>
      </c>
      <c r="B2394" s="262" t="s">
        <v>1576</v>
      </c>
      <c r="C2394" s="262" t="s">
        <v>1611</v>
      </c>
      <c r="D2394" s="262">
        <v>-100.029976</v>
      </c>
      <c r="E2394" s="262">
        <v>45.424509999999998</v>
      </c>
      <c r="M2394" s="262">
        <v>10.207909730000001</v>
      </c>
      <c r="N2394" s="262">
        <v>10.207909730000001</v>
      </c>
    </row>
    <row r="2395" spans="1:14" x14ac:dyDescent="0.25">
      <c r="A2395" s="262">
        <v>46135</v>
      </c>
      <c r="B2395" s="262" t="s">
        <v>1576</v>
      </c>
      <c r="C2395" s="262" t="s">
        <v>1612</v>
      </c>
      <c r="D2395" s="262">
        <v>-97.394069500000001</v>
      </c>
      <c r="E2395" s="262">
        <v>43.003329999999998</v>
      </c>
      <c r="M2395" s="262">
        <v>11.09026873</v>
      </c>
      <c r="N2395" s="262">
        <v>11.09026873</v>
      </c>
    </row>
    <row r="2396" spans="1:14" x14ac:dyDescent="0.25">
      <c r="A2396" s="262">
        <v>46137</v>
      </c>
      <c r="B2396" s="262" t="s">
        <v>1576</v>
      </c>
      <c r="C2396" s="262" t="s">
        <v>1613</v>
      </c>
      <c r="D2396" s="262">
        <v>-101.66555700000001</v>
      </c>
      <c r="E2396" s="262">
        <v>44.975679999999997</v>
      </c>
      <c r="M2396" s="262">
        <v>10.33059851</v>
      </c>
      <c r="N2396" s="262">
        <v>10.33059851</v>
      </c>
    </row>
    <row r="2397" spans="1:14" x14ac:dyDescent="0.25">
      <c r="A2397" s="262">
        <v>47001</v>
      </c>
      <c r="B2397" s="262" t="s">
        <v>1614</v>
      </c>
      <c r="C2397" s="262" t="s">
        <v>719</v>
      </c>
      <c r="D2397" s="262">
        <v>-84.188045000000002</v>
      </c>
      <c r="E2397" s="262">
        <v>36.121189999999999</v>
      </c>
      <c r="M2397" s="262">
        <v>13.380135409999999</v>
      </c>
      <c r="N2397" s="262">
        <v>13.380135409999999</v>
      </c>
    </row>
    <row r="2398" spans="1:14" x14ac:dyDescent="0.25">
      <c r="A2398" s="262">
        <v>47003</v>
      </c>
      <c r="B2398" s="262" t="s">
        <v>1614</v>
      </c>
      <c r="C2398" s="262" t="s">
        <v>1514</v>
      </c>
      <c r="D2398" s="262">
        <v>-86.458885100000003</v>
      </c>
      <c r="E2398" s="262">
        <v>35.52599</v>
      </c>
      <c r="M2398" s="262">
        <v>15.31912354</v>
      </c>
      <c r="N2398" s="262">
        <v>15.31912354</v>
      </c>
    </row>
    <row r="2399" spans="1:14" x14ac:dyDescent="0.25">
      <c r="A2399" s="262">
        <v>47005</v>
      </c>
      <c r="B2399" s="262" t="s">
        <v>1614</v>
      </c>
      <c r="C2399" s="262" t="s">
        <v>200</v>
      </c>
      <c r="D2399" s="262">
        <v>-88.073291299999994</v>
      </c>
      <c r="E2399" s="262">
        <v>36.075969999999998</v>
      </c>
      <c r="M2399" s="262">
        <v>15.16397433</v>
      </c>
      <c r="N2399" s="262">
        <v>15.16397433</v>
      </c>
    </row>
    <row r="2400" spans="1:14" x14ac:dyDescent="0.25">
      <c r="A2400" s="262">
        <v>47007</v>
      </c>
      <c r="B2400" s="262" t="s">
        <v>1614</v>
      </c>
      <c r="C2400" s="262" t="s">
        <v>1615</v>
      </c>
      <c r="D2400" s="262">
        <v>-85.205981300000005</v>
      </c>
      <c r="E2400" s="262">
        <v>35.600850000000001</v>
      </c>
      <c r="M2400" s="262">
        <v>14.998421179999999</v>
      </c>
      <c r="N2400" s="262">
        <v>14.998421179999999</v>
      </c>
    </row>
    <row r="2401" spans="1:14" x14ac:dyDescent="0.25">
      <c r="A2401" s="262">
        <v>47009</v>
      </c>
      <c r="B2401" s="262" t="s">
        <v>1614</v>
      </c>
      <c r="C2401" s="262" t="s">
        <v>117</v>
      </c>
      <c r="D2401" s="262">
        <v>-83.922778800000003</v>
      </c>
      <c r="E2401" s="262">
        <v>35.689120000000003</v>
      </c>
      <c r="M2401" s="262">
        <v>13.026482489999999</v>
      </c>
      <c r="N2401" s="262">
        <v>13.026482489999999</v>
      </c>
    </row>
    <row r="2402" spans="1:14" x14ac:dyDescent="0.25">
      <c r="A2402" s="262">
        <v>47011</v>
      </c>
      <c r="B2402" s="262" t="s">
        <v>1614</v>
      </c>
      <c r="C2402" s="262" t="s">
        <v>202</v>
      </c>
      <c r="D2402" s="262">
        <v>-84.862265699999995</v>
      </c>
      <c r="E2402" s="262">
        <v>35.151499999999999</v>
      </c>
      <c r="M2402" s="262">
        <v>15.09977574</v>
      </c>
      <c r="N2402" s="262">
        <v>15.09977574</v>
      </c>
    </row>
    <row r="2403" spans="1:14" x14ac:dyDescent="0.25">
      <c r="A2403" s="262">
        <v>47013</v>
      </c>
      <c r="B2403" s="262" t="s">
        <v>1614</v>
      </c>
      <c r="C2403" s="262" t="s">
        <v>799</v>
      </c>
      <c r="D2403" s="262">
        <v>-84.145010600000006</v>
      </c>
      <c r="E2403" s="262">
        <v>36.394539999999999</v>
      </c>
      <c r="M2403" s="262">
        <v>13.343435120000001</v>
      </c>
      <c r="N2403" s="262">
        <v>13.343435120000001</v>
      </c>
    </row>
    <row r="2404" spans="1:14" x14ac:dyDescent="0.25">
      <c r="A2404" s="262">
        <v>47015</v>
      </c>
      <c r="B2404" s="262" t="s">
        <v>1614</v>
      </c>
      <c r="C2404" s="262" t="s">
        <v>1616</v>
      </c>
      <c r="D2404" s="262">
        <v>-86.052098400000006</v>
      </c>
      <c r="E2404" s="262">
        <v>35.813360000000003</v>
      </c>
      <c r="M2404" s="262">
        <v>15.106876870000001</v>
      </c>
      <c r="N2404" s="262">
        <v>15.106876870000001</v>
      </c>
    </row>
    <row r="2405" spans="1:14" x14ac:dyDescent="0.25">
      <c r="A2405" s="262">
        <v>47017</v>
      </c>
      <c r="B2405" s="262" t="s">
        <v>1614</v>
      </c>
      <c r="C2405" s="262" t="s">
        <v>203</v>
      </c>
      <c r="D2405" s="262">
        <v>-88.4525024</v>
      </c>
      <c r="E2405" s="262">
        <v>35.970419999999997</v>
      </c>
      <c r="M2405" s="262">
        <v>15.252289620000001</v>
      </c>
      <c r="N2405" s="262">
        <v>15.252289620000001</v>
      </c>
    </row>
    <row r="2406" spans="1:14" x14ac:dyDescent="0.25">
      <c r="A2406" s="262">
        <v>47019</v>
      </c>
      <c r="B2406" s="262" t="s">
        <v>1614</v>
      </c>
      <c r="C2406" s="262" t="s">
        <v>801</v>
      </c>
      <c r="D2406" s="262">
        <v>-82.12679</v>
      </c>
      <c r="E2406" s="262">
        <v>36.292290000000001</v>
      </c>
      <c r="M2406" s="262">
        <v>13.79004591</v>
      </c>
      <c r="N2406" s="262">
        <v>13.79004591</v>
      </c>
    </row>
    <row r="2407" spans="1:14" x14ac:dyDescent="0.25">
      <c r="A2407" s="262">
        <v>47021</v>
      </c>
      <c r="B2407" s="262" t="s">
        <v>1614</v>
      </c>
      <c r="C2407" s="262" t="s">
        <v>1617</v>
      </c>
      <c r="D2407" s="262">
        <v>-87.092870899999994</v>
      </c>
      <c r="E2407" s="262">
        <v>36.2622</v>
      </c>
      <c r="M2407" s="262">
        <v>14.99568047</v>
      </c>
      <c r="N2407" s="262">
        <v>14.99568047</v>
      </c>
    </row>
    <row r="2408" spans="1:14" x14ac:dyDescent="0.25">
      <c r="A2408" s="262">
        <v>47023</v>
      </c>
      <c r="B2408" s="262" t="s">
        <v>1614</v>
      </c>
      <c r="C2408" s="262" t="s">
        <v>1521</v>
      </c>
      <c r="D2408" s="262">
        <v>-88.616627800000003</v>
      </c>
      <c r="E2408" s="262">
        <v>35.421469999999999</v>
      </c>
      <c r="M2408" s="262">
        <v>15.55858063</v>
      </c>
      <c r="N2408" s="262">
        <v>15.55858063</v>
      </c>
    </row>
    <row r="2409" spans="1:14" x14ac:dyDescent="0.25">
      <c r="A2409" s="262">
        <v>47025</v>
      </c>
      <c r="B2409" s="262" t="s">
        <v>1614</v>
      </c>
      <c r="C2409" s="262" t="s">
        <v>1077</v>
      </c>
      <c r="D2409" s="262">
        <v>-83.668518599999999</v>
      </c>
      <c r="E2409" s="262">
        <v>36.481569999999998</v>
      </c>
      <c r="M2409" s="262">
        <v>13.082112759999999</v>
      </c>
      <c r="N2409" s="262">
        <v>13.082112759999999</v>
      </c>
    </row>
    <row r="2410" spans="1:14" x14ac:dyDescent="0.25">
      <c r="A2410" s="262">
        <v>47027</v>
      </c>
      <c r="B2410" s="262" t="s">
        <v>1614</v>
      </c>
      <c r="C2410" s="262" t="s">
        <v>126</v>
      </c>
      <c r="D2410" s="262">
        <v>-85.535270299999993</v>
      </c>
      <c r="E2410" s="262">
        <v>36.551250000000003</v>
      </c>
      <c r="M2410" s="262">
        <v>14.43064259</v>
      </c>
      <c r="N2410" s="262">
        <v>14.43064259</v>
      </c>
    </row>
    <row r="2411" spans="1:14" x14ac:dyDescent="0.25">
      <c r="A2411" s="262">
        <v>47029</v>
      </c>
      <c r="B2411" s="262" t="s">
        <v>1614</v>
      </c>
      <c r="C2411" s="262" t="s">
        <v>1618</v>
      </c>
      <c r="D2411" s="262">
        <v>-83.1153099</v>
      </c>
      <c r="E2411" s="262">
        <v>35.924619999999997</v>
      </c>
      <c r="M2411" s="262">
        <v>13.01623917</v>
      </c>
      <c r="N2411" s="262">
        <v>13.01623917</v>
      </c>
    </row>
    <row r="2412" spans="1:14" x14ac:dyDescent="0.25">
      <c r="A2412" s="262">
        <v>47031</v>
      </c>
      <c r="B2412" s="262" t="s">
        <v>1614</v>
      </c>
      <c r="C2412" s="262" t="s">
        <v>128</v>
      </c>
      <c r="D2412" s="262">
        <v>-86.062923100000006</v>
      </c>
      <c r="E2412" s="262">
        <v>35.491999999999997</v>
      </c>
      <c r="M2412" s="262">
        <v>15.31236578</v>
      </c>
      <c r="N2412" s="262">
        <v>15.31236578</v>
      </c>
    </row>
    <row r="2413" spans="1:14" x14ac:dyDescent="0.25">
      <c r="A2413" s="262">
        <v>47033</v>
      </c>
      <c r="B2413" s="262" t="s">
        <v>1614</v>
      </c>
      <c r="C2413" s="262" t="s">
        <v>1619</v>
      </c>
      <c r="D2413" s="262">
        <v>-89.137791100000001</v>
      </c>
      <c r="E2413" s="262">
        <v>35.815629999999999</v>
      </c>
      <c r="M2413" s="262">
        <v>15.384687680000001</v>
      </c>
      <c r="N2413" s="262">
        <v>15.384687680000001</v>
      </c>
    </row>
    <row r="2414" spans="1:14" x14ac:dyDescent="0.25">
      <c r="A2414" s="262">
        <v>47035</v>
      </c>
      <c r="B2414" s="262" t="s">
        <v>1614</v>
      </c>
      <c r="C2414" s="262" t="s">
        <v>585</v>
      </c>
      <c r="D2414" s="262">
        <v>-85.010031799999993</v>
      </c>
      <c r="E2414" s="262">
        <v>35.949719999999999</v>
      </c>
      <c r="M2414" s="262">
        <v>14.45456143</v>
      </c>
      <c r="N2414" s="262">
        <v>14.45456143</v>
      </c>
    </row>
    <row r="2415" spans="1:14" x14ac:dyDescent="0.25">
      <c r="A2415" s="262">
        <v>47037</v>
      </c>
      <c r="B2415" s="262" t="s">
        <v>1614</v>
      </c>
      <c r="C2415" s="262" t="s">
        <v>1338</v>
      </c>
      <c r="D2415" s="262">
        <v>-86.778784599999994</v>
      </c>
      <c r="E2415" s="262">
        <v>36.175249999999998</v>
      </c>
      <c r="M2415" s="262">
        <v>15.01087036</v>
      </c>
      <c r="N2415" s="262">
        <v>15.01087036</v>
      </c>
    </row>
    <row r="2416" spans="1:14" x14ac:dyDescent="0.25">
      <c r="A2416" s="262">
        <v>47039</v>
      </c>
      <c r="B2416" s="262" t="s">
        <v>1614</v>
      </c>
      <c r="C2416" s="262" t="s">
        <v>464</v>
      </c>
      <c r="D2416" s="262">
        <v>-88.112675100000004</v>
      </c>
      <c r="E2416" s="262">
        <v>35.618040000000001</v>
      </c>
      <c r="M2416" s="262">
        <v>15.413296880000001</v>
      </c>
      <c r="N2416" s="262">
        <v>15.413296880000001</v>
      </c>
    </row>
    <row r="2417" spans="1:14" x14ac:dyDescent="0.25">
      <c r="A2417" s="262">
        <v>47041</v>
      </c>
      <c r="B2417" s="262" t="s">
        <v>1614</v>
      </c>
      <c r="C2417" s="262" t="s">
        <v>137</v>
      </c>
      <c r="D2417" s="262">
        <v>-85.839886500000006</v>
      </c>
      <c r="E2417" s="262">
        <v>35.989069999999998</v>
      </c>
      <c r="M2417" s="262">
        <v>14.936458310000001</v>
      </c>
      <c r="N2417" s="262">
        <v>14.936458310000001</v>
      </c>
    </row>
    <row r="2418" spans="1:14" x14ac:dyDescent="0.25">
      <c r="A2418" s="262">
        <v>47043</v>
      </c>
      <c r="B2418" s="262" t="s">
        <v>1614</v>
      </c>
      <c r="C2418" s="262" t="s">
        <v>1620</v>
      </c>
      <c r="D2418" s="262">
        <v>-87.363688400000001</v>
      </c>
      <c r="E2418" s="262">
        <v>36.149149999999999</v>
      </c>
      <c r="M2418" s="262">
        <v>15.0703838</v>
      </c>
      <c r="N2418" s="262">
        <v>15.0703838</v>
      </c>
    </row>
    <row r="2419" spans="1:14" x14ac:dyDescent="0.25">
      <c r="A2419" s="262">
        <v>47045</v>
      </c>
      <c r="B2419" s="262" t="s">
        <v>1614</v>
      </c>
      <c r="C2419" s="262" t="s">
        <v>1621</v>
      </c>
      <c r="D2419" s="262">
        <v>-89.412569300000001</v>
      </c>
      <c r="E2419" s="262">
        <v>36.053690000000003</v>
      </c>
      <c r="M2419" s="262">
        <v>15.25485799</v>
      </c>
      <c r="N2419" s="262">
        <v>15.25485799</v>
      </c>
    </row>
    <row r="2420" spans="1:14" x14ac:dyDescent="0.25">
      <c r="A2420" s="262">
        <v>47047</v>
      </c>
      <c r="B2420" s="262" t="s">
        <v>1614</v>
      </c>
      <c r="C2420" s="262" t="s">
        <v>141</v>
      </c>
      <c r="D2420" s="262">
        <v>-89.417613200000005</v>
      </c>
      <c r="E2420" s="262">
        <v>35.201219999999999</v>
      </c>
      <c r="M2420" s="262">
        <v>15.756734099999999</v>
      </c>
      <c r="N2420" s="262">
        <v>15.756734099999999</v>
      </c>
    </row>
    <row r="2421" spans="1:14" x14ac:dyDescent="0.25">
      <c r="A2421" s="262">
        <v>47049</v>
      </c>
      <c r="B2421" s="262" t="s">
        <v>1614</v>
      </c>
      <c r="C2421" s="262" t="s">
        <v>1622</v>
      </c>
      <c r="D2421" s="262">
        <v>-84.9317384</v>
      </c>
      <c r="E2421" s="262">
        <v>36.377470000000002</v>
      </c>
      <c r="M2421" s="262">
        <v>14.098436789999999</v>
      </c>
      <c r="N2421" s="262">
        <v>14.098436789999999</v>
      </c>
    </row>
    <row r="2422" spans="1:14" x14ac:dyDescent="0.25">
      <c r="A2422" s="262">
        <v>47051</v>
      </c>
      <c r="B2422" s="262" t="s">
        <v>1614</v>
      </c>
      <c r="C2422" s="262" t="s">
        <v>142</v>
      </c>
      <c r="D2422" s="262">
        <v>-86.082836299999997</v>
      </c>
      <c r="E2422" s="262">
        <v>35.152320000000003</v>
      </c>
      <c r="M2422" s="262">
        <v>15.50592035</v>
      </c>
      <c r="N2422" s="262">
        <v>15.50592035</v>
      </c>
    </row>
    <row r="2423" spans="1:14" x14ac:dyDescent="0.25">
      <c r="A2423" s="262">
        <v>47053</v>
      </c>
      <c r="B2423" s="262" t="s">
        <v>1614</v>
      </c>
      <c r="C2423" s="262" t="s">
        <v>640</v>
      </c>
      <c r="D2423" s="262">
        <v>-88.934103300000004</v>
      </c>
      <c r="E2423" s="262">
        <v>35.995510000000003</v>
      </c>
      <c r="M2423" s="262">
        <v>15.26834916</v>
      </c>
      <c r="N2423" s="262">
        <v>15.26834916</v>
      </c>
    </row>
    <row r="2424" spans="1:14" x14ac:dyDescent="0.25">
      <c r="A2424" s="262">
        <v>47055</v>
      </c>
      <c r="B2424" s="262" t="s">
        <v>1614</v>
      </c>
      <c r="C2424" s="262" t="s">
        <v>1623</v>
      </c>
      <c r="D2424" s="262">
        <v>-87.026704499999994</v>
      </c>
      <c r="E2424" s="262">
        <v>35.210520000000002</v>
      </c>
      <c r="M2424" s="262">
        <v>15.50738241</v>
      </c>
      <c r="N2424" s="262">
        <v>15.50738241</v>
      </c>
    </row>
    <row r="2425" spans="1:14" x14ac:dyDescent="0.25">
      <c r="A2425" s="262">
        <v>47057</v>
      </c>
      <c r="B2425" s="262" t="s">
        <v>1614</v>
      </c>
      <c r="C2425" s="262" t="s">
        <v>1624</v>
      </c>
      <c r="D2425" s="262">
        <v>-83.495782300000002</v>
      </c>
      <c r="E2425" s="262">
        <v>36.27458</v>
      </c>
      <c r="M2425" s="262">
        <v>12.957457209999999</v>
      </c>
      <c r="N2425" s="262">
        <v>12.957457209999999</v>
      </c>
    </row>
    <row r="2426" spans="1:14" x14ac:dyDescent="0.25">
      <c r="A2426" s="262">
        <v>47059</v>
      </c>
      <c r="B2426" s="262" t="s">
        <v>1614</v>
      </c>
      <c r="C2426" s="262" t="s">
        <v>144</v>
      </c>
      <c r="D2426" s="262">
        <v>-82.846272099999993</v>
      </c>
      <c r="E2426" s="262">
        <v>36.174520000000001</v>
      </c>
      <c r="M2426" s="262">
        <v>13.249536790000001</v>
      </c>
      <c r="N2426" s="262">
        <v>13.249536790000001</v>
      </c>
    </row>
    <row r="2427" spans="1:14" x14ac:dyDescent="0.25">
      <c r="A2427" s="262">
        <v>47061</v>
      </c>
      <c r="B2427" s="262" t="s">
        <v>1614</v>
      </c>
      <c r="C2427" s="262" t="s">
        <v>592</v>
      </c>
      <c r="D2427" s="262">
        <v>-85.717265400000002</v>
      </c>
      <c r="E2427" s="262">
        <v>35.384689999999999</v>
      </c>
      <c r="M2427" s="262">
        <v>15.354912649999999</v>
      </c>
      <c r="N2427" s="262">
        <v>15.354912649999999</v>
      </c>
    </row>
    <row r="2428" spans="1:14" x14ac:dyDescent="0.25">
      <c r="A2428" s="262">
        <v>47063</v>
      </c>
      <c r="B2428" s="262" t="s">
        <v>1614</v>
      </c>
      <c r="C2428" s="262" t="s">
        <v>1625</v>
      </c>
      <c r="D2428" s="262">
        <v>-83.236462900000006</v>
      </c>
      <c r="E2428" s="262">
        <v>36.223640000000003</v>
      </c>
      <c r="M2428" s="262">
        <v>12.98255994</v>
      </c>
      <c r="N2428" s="262">
        <v>12.98255994</v>
      </c>
    </row>
    <row r="2429" spans="1:14" x14ac:dyDescent="0.25">
      <c r="A2429" s="262">
        <v>47065</v>
      </c>
      <c r="B2429" s="262" t="s">
        <v>1614</v>
      </c>
      <c r="C2429" s="262" t="s">
        <v>400</v>
      </c>
      <c r="D2429" s="262">
        <v>-85.170218199999994</v>
      </c>
      <c r="E2429" s="262">
        <v>35.178220000000003</v>
      </c>
      <c r="M2429" s="262">
        <v>15.41493981</v>
      </c>
      <c r="N2429" s="262">
        <v>15.41493981</v>
      </c>
    </row>
    <row r="2430" spans="1:14" x14ac:dyDescent="0.25">
      <c r="A2430" s="262">
        <v>47067</v>
      </c>
      <c r="B2430" s="262" t="s">
        <v>1614</v>
      </c>
      <c r="C2430" s="262" t="s">
        <v>484</v>
      </c>
      <c r="D2430" s="262">
        <v>-83.211943599999998</v>
      </c>
      <c r="E2430" s="262">
        <v>36.521749999999997</v>
      </c>
      <c r="M2430" s="262">
        <v>13.08366517</v>
      </c>
      <c r="N2430" s="262">
        <v>13.08366517</v>
      </c>
    </row>
    <row r="2431" spans="1:14" x14ac:dyDescent="0.25">
      <c r="A2431" s="262">
        <v>47069</v>
      </c>
      <c r="B2431" s="262" t="s">
        <v>1614</v>
      </c>
      <c r="C2431" s="262" t="s">
        <v>1626</v>
      </c>
      <c r="D2431" s="262">
        <v>-88.995711700000001</v>
      </c>
      <c r="E2431" s="262">
        <v>35.209859999999999</v>
      </c>
      <c r="M2431" s="262">
        <v>15.708478550000001</v>
      </c>
      <c r="N2431" s="262">
        <v>15.708478550000001</v>
      </c>
    </row>
    <row r="2432" spans="1:14" x14ac:dyDescent="0.25">
      <c r="A2432" s="262">
        <v>47071</v>
      </c>
      <c r="B2432" s="262" t="s">
        <v>1614</v>
      </c>
      <c r="C2432" s="262" t="s">
        <v>593</v>
      </c>
      <c r="D2432" s="262">
        <v>-88.192474399999995</v>
      </c>
      <c r="E2432" s="262">
        <v>35.204819999999998</v>
      </c>
      <c r="M2432" s="262">
        <v>15.629732000000001</v>
      </c>
      <c r="N2432" s="262">
        <v>15.629732000000001</v>
      </c>
    </row>
    <row r="2433" spans="1:14" x14ac:dyDescent="0.25">
      <c r="A2433" s="262">
        <v>47073</v>
      </c>
      <c r="B2433" s="262" t="s">
        <v>1614</v>
      </c>
      <c r="C2433" s="262" t="s">
        <v>1627</v>
      </c>
      <c r="D2433" s="262">
        <v>-82.933480799999998</v>
      </c>
      <c r="E2433" s="262">
        <v>36.441600000000001</v>
      </c>
      <c r="M2433" s="262">
        <v>13.182599509999999</v>
      </c>
      <c r="N2433" s="262">
        <v>13.182599509999999</v>
      </c>
    </row>
    <row r="2434" spans="1:14" x14ac:dyDescent="0.25">
      <c r="A2434" s="262">
        <v>47075</v>
      </c>
      <c r="B2434" s="262" t="s">
        <v>1614</v>
      </c>
      <c r="C2434" s="262" t="s">
        <v>1349</v>
      </c>
      <c r="D2434" s="262">
        <v>-89.269046599999996</v>
      </c>
      <c r="E2434" s="262">
        <v>35.58672</v>
      </c>
      <c r="M2434" s="262">
        <v>15.53225033</v>
      </c>
      <c r="N2434" s="262">
        <v>15.53225033</v>
      </c>
    </row>
    <row r="2435" spans="1:14" x14ac:dyDescent="0.25">
      <c r="A2435" s="262">
        <v>47077</v>
      </c>
      <c r="B2435" s="262" t="s">
        <v>1614</v>
      </c>
      <c r="C2435" s="262" t="s">
        <v>594</v>
      </c>
      <c r="D2435" s="262">
        <v>-88.387564800000007</v>
      </c>
      <c r="E2435" s="262">
        <v>35.652410000000003</v>
      </c>
      <c r="M2435" s="262">
        <v>15.41174021</v>
      </c>
      <c r="N2435" s="262">
        <v>15.41174021</v>
      </c>
    </row>
    <row r="2436" spans="1:14" x14ac:dyDescent="0.25">
      <c r="A2436" s="262">
        <v>47079</v>
      </c>
      <c r="B2436" s="262" t="s">
        <v>1614</v>
      </c>
      <c r="C2436" s="262" t="s">
        <v>146</v>
      </c>
      <c r="D2436" s="262">
        <v>-88.305257699999999</v>
      </c>
      <c r="E2436" s="262">
        <v>36.334800000000001</v>
      </c>
      <c r="M2436" s="262">
        <v>15.03935461</v>
      </c>
      <c r="N2436" s="262">
        <v>15.03935461</v>
      </c>
    </row>
    <row r="2437" spans="1:14" x14ac:dyDescent="0.25">
      <c r="A2437" s="262">
        <v>47081</v>
      </c>
      <c r="B2437" s="262" t="s">
        <v>1614</v>
      </c>
      <c r="C2437" s="262" t="s">
        <v>813</v>
      </c>
      <c r="D2437" s="262">
        <v>-87.479657599999996</v>
      </c>
      <c r="E2437" s="262">
        <v>35.80921</v>
      </c>
      <c r="M2437" s="262">
        <v>15.253142929999999</v>
      </c>
      <c r="N2437" s="262">
        <v>15.253142929999999</v>
      </c>
    </row>
    <row r="2438" spans="1:14" x14ac:dyDescent="0.25">
      <c r="A2438" s="262">
        <v>47083</v>
      </c>
      <c r="B2438" s="262" t="s">
        <v>1614</v>
      </c>
      <c r="C2438" s="262" t="s">
        <v>147</v>
      </c>
      <c r="D2438" s="262">
        <v>-87.737842000000001</v>
      </c>
      <c r="E2438" s="262">
        <v>36.282530000000001</v>
      </c>
      <c r="M2438" s="262">
        <v>15.025386579999999</v>
      </c>
      <c r="N2438" s="262">
        <v>15.025386579999999</v>
      </c>
    </row>
    <row r="2439" spans="1:14" x14ac:dyDescent="0.25">
      <c r="A2439" s="262">
        <v>47085</v>
      </c>
      <c r="B2439" s="262" t="s">
        <v>1614</v>
      </c>
      <c r="C2439" s="262" t="s">
        <v>1084</v>
      </c>
      <c r="D2439" s="262">
        <v>-87.781175000000005</v>
      </c>
      <c r="E2439" s="262">
        <v>36.031480000000002</v>
      </c>
      <c r="M2439" s="262">
        <v>15.15935144</v>
      </c>
      <c r="N2439" s="262">
        <v>15.15935144</v>
      </c>
    </row>
    <row r="2440" spans="1:14" x14ac:dyDescent="0.25">
      <c r="A2440" s="262">
        <v>47087</v>
      </c>
      <c r="B2440" s="262" t="s">
        <v>1614</v>
      </c>
      <c r="C2440" s="262" t="s">
        <v>148</v>
      </c>
      <c r="D2440" s="262">
        <v>-85.673902499999997</v>
      </c>
      <c r="E2440" s="262">
        <v>36.370510000000003</v>
      </c>
      <c r="M2440" s="262">
        <v>14.61456596</v>
      </c>
      <c r="N2440" s="262">
        <v>14.61456596</v>
      </c>
    </row>
    <row r="2441" spans="1:14" x14ac:dyDescent="0.25">
      <c r="A2441" s="262">
        <v>47089</v>
      </c>
      <c r="B2441" s="262" t="s">
        <v>1614</v>
      </c>
      <c r="C2441" s="262" t="s">
        <v>149</v>
      </c>
      <c r="D2441" s="262">
        <v>-83.4343298</v>
      </c>
      <c r="E2441" s="262">
        <v>36.056199999999997</v>
      </c>
      <c r="M2441" s="262">
        <v>12.86222501</v>
      </c>
      <c r="N2441" s="262">
        <v>12.86222501</v>
      </c>
    </row>
    <row r="2442" spans="1:14" x14ac:dyDescent="0.25">
      <c r="A2442" s="262">
        <v>47091</v>
      </c>
      <c r="B2442" s="262" t="s">
        <v>1614</v>
      </c>
      <c r="C2442" s="262" t="s">
        <v>224</v>
      </c>
      <c r="D2442" s="262">
        <v>-81.843764899999996</v>
      </c>
      <c r="E2442" s="262">
        <v>36.458159999999999</v>
      </c>
      <c r="M2442" s="262">
        <v>13.88923194</v>
      </c>
      <c r="N2442" s="262">
        <v>13.88923194</v>
      </c>
    </row>
    <row r="2443" spans="1:14" x14ac:dyDescent="0.25">
      <c r="A2443" s="262">
        <v>47093</v>
      </c>
      <c r="B2443" s="262" t="s">
        <v>1614</v>
      </c>
      <c r="C2443" s="262" t="s">
        <v>601</v>
      </c>
      <c r="D2443" s="262">
        <v>-83.937987300000003</v>
      </c>
      <c r="E2443" s="262">
        <v>35.992939999999997</v>
      </c>
      <c r="M2443" s="262">
        <v>13.080741250000001</v>
      </c>
      <c r="N2443" s="262">
        <v>13.080741250000001</v>
      </c>
    </row>
    <row r="2444" spans="1:14" x14ac:dyDescent="0.25">
      <c r="A2444" s="262">
        <v>47095</v>
      </c>
      <c r="B2444" s="262" t="s">
        <v>1614</v>
      </c>
      <c r="C2444" s="262" t="s">
        <v>271</v>
      </c>
      <c r="D2444" s="262">
        <v>-89.494616199999996</v>
      </c>
      <c r="E2444" s="262">
        <v>36.35539</v>
      </c>
      <c r="M2444" s="262">
        <v>15.07469373</v>
      </c>
      <c r="N2444" s="262">
        <v>15.07469373</v>
      </c>
    </row>
    <row r="2445" spans="1:14" x14ac:dyDescent="0.25">
      <c r="A2445" s="262">
        <v>47097</v>
      </c>
      <c r="B2445" s="262" t="s">
        <v>1614</v>
      </c>
      <c r="C2445" s="262" t="s">
        <v>151</v>
      </c>
      <c r="D2445" s="262">
        <v>-89.622896800000007</v>
      </c>
      <c r="E2445" s="262">
        <v>35.757710000000003</v>
      </c>
      <c r="M2445" s="262">
        <v>15.43248314</v>
      </c>
      <c r="N2445" s="262">
        <v>15.43248314</v>
      </c>
    </row>
    <row r="2446" spans="1:14" x14ac:dyDescent="0.25">
      <c r="A2446" s="262">
        <v>47099</v>
      </c>
      <c r="B2446" s="262" t="s">
        <v>1614</v>
      </c>
      <c r="C2446" s="262" t="s">
        <v>152</v>
      </c>
      <c r="D2446" s="262">
        <v>-87.392556299999995</v>
      </c>
      <c r="E2446" s="262">
        <v>35.219230000000003</v>
      </c>
      <c r="M2446" s="262">
        <v>15.541972899999999</v>
      </c>
      <c r="N2446" s="262">
        <v>15.541972899999999</v>
      </c>
    </row>
    <row r="2447" spans="1:14" x14ac:dyDescent="0.25">
      <c r="A2447" s="262">
        <v>47101</v>
      </c>
      <c r="B2447" s="262" t="s">
        <v>1614</v>
      </c>
      <c r="C2447" s="262" t="s">
        <v>564</v>
      </c>
      <c r="D2447" s="262">
        <v>-87.489725800000002</v>
      </c>
      <c r="E2447" s="262">
        <v>35.533360000000002</v>
      </c>
      <c r="M2447" s="262">
        <v>15.393072289999999</v>
      </c>
      <c r="N2447" s="262">
        <v>15.393072289999999</v>
      </c>
    </row>
    <row r="2448" spans="1:14" x14ac:dyDescent="0.25">
      <c r="A2448" s="262">
        <v>47103</v>
      </c>
      <c r="B2448" s="262" t="s">
        <v>1614</v>
      </c>
      <c r="C2448" s="262" t="s">
        <v>226</v>
      </c>
      <c r="D2448" s="262">
        <v>-86.576128100000005</v>
      </c>
      <c r="E2448" s="262">
        <v>35.143810000000002</v>
      </c>
      <c r="M2448" s="262">
        <v>15.50678802</v>
      </c>
      <c r="N2448" s="262">
        <v>15.50678802</v>
      </c>
    </row>
    <row r="2449" spans="1:14" x14ac:dyDescent="0.25">
      <c r="A2449" s="262">
        <v>47105</v>
      </c>
      <c r="B2449" s="262" t="s">
        <v>1614</v>
      </c>
      <c r="C2449" s="262" t="s">
        <v>1628</v>
      </c>
      <c r="D2449" s="262">
        <v>-84.313157700000005</v>
      </c>
      <c r="E2449" s="262">
        <v>35.734729999999999</v>
      </c>
      <c r="M2449" s="262">
        <v>13.62471</v>
      </c>
      <c r="N2449" s="262">
        <v>13.62471</v>
      </c>
    </row>
    <row r="2450" spans="1:14" x14ac:dyDescent="0.25">
      <c r="A2450" s="262">
        <v>47107</v>
      </c>
      <c r="B2450" s="262" t="s">
        <v>1614</v>
      </c>
      <c r="C2450" s="262" t="s">
        <v>1629</v>
      </c>
      <c r="D2450" s="262">
        <v>-84.614087900000001</v>
      </c>
      <c r="E2450" s="262">
        <v>35.426369999999999</v>
      </c>
      <c r="M2450" s="262">
        <v>14.42632092</v>
      </c>
      <c r="N2450" s="262">
        <v>14.42632092</v>
      </c>
    </row>
    <row r="2451" spans="1:14" x14ac:dyDescent="0.25">
      <c r="A2451" s="262">
        <v>47109</v>
      </c>
      <c r="B2451" s="262" t="s">
        <v>1614</v>
      </c>
      <c r="C2451" s="262" t="s">
        <v>1630</v>
      </c>
      <c r="D2451" s="262">
        <v>-88.573670100000001</v>
      </c>
      <c r="E2451" s="262">
        <v>35.176490000000001</v>
      </c>
      <c r="M2451" s="262">
        <v>15.678716639999999</v>
      </c>
      <c r="N2451" s="262">
        <v>15.678716639999999</v>
      </c>
    </row>
    <row r="2452" spans="1:14" x14ac:dyDescent="0.25">
      <c r="A2452" s="262">
        <v>47111</v>
      </c>
      <c r="B2452" s="262" t="s">
        <v>1614</v>
      </c>
      <c r="C2452" s="262" t="s">
        <v>156</v>
      </c>
      <c r="D2452" s="262">
        <v>-86.003238999999994</v>
      </c>
      <c r="E2452" s="262">
        <v>36.533920000000002</v>
      </c>
      <c r="M2452" s="262">
        <v>14.65260434</v>
      </c>
      <c r="N2452" s="262">
        <v>14.65260434</v>
      </c>
    </row>
    <row r="2453" spans="1:14" x14ac:dyDescent="0.25">
      <c r="A2453" s="262">
        <v>47113</v>
      </c>
      <c r="B2453" s="262" t="s">
        <v>1614</v>
      </c>
      <c r="C2453" s="262" t="s">
        <v>157</v>
      </c>
      <c r="D2453" s="262">
        <v>-88.8334057</v>
      </c>
      <c r="E2453" s="262">
        <v>35.612909999999999</v>
      </c>
      <c r="M2453" s="262">
        <v>15.475370659999999</v>
      </c>
      <c r="N2453" s="262">
        <v>15.475370659999999</v>
      </c>
    </row>
    <row r="2454" spans="1:14" x14ac:dyDescent="0.25">
      <c r="A2454" s="262">
        <v>47115</v>
      </c>
      <c r="B2454" s="262" t="s">
        <v>1614</v>
      </c>
      <c r="C2454" s="262" t="s">
        <v>159</v>
      </c>
      <c r="D2454" s="262">
        <v>-85.617953299999996</v>
      </c>
      <c r="E2454" s="262">
        <v>35.125979999999998</v>
      </c>
      <c r="M2454" s="262">
        <v>15.54091038</v>
      </c>
      <c r="N2454" s="262">
        <v>15.54091038</v>
      </c>
    </row>
    <row r="2455" spans="1:14" x14ac:dyDescent="0.25">
      <c r="A2455" s="262">
        <v>47117</v>
      </c>
      <c r="B2455" s="262" t="s">
        <v>1614</v>
      </c>
      <c r="C2455" s="262" t="s">
        <v>160</v>
      </c>
      <c r="D2455" s="262">
        <v>-86.762193499999995</v>
      </c>
      <c r="E2455" s="262">
        <v>35.476900000000001</v>
      </c>
      <c r="M2455" s="262">
        <v>15.36207207</v>
      </c>
      <c r="N2455" s="262">
        <v>15.36207207</v>
      </c>
    </row>
    <row r="2456" spans="1:14" x14ac:dyDescent="0.25">
      <c r="A2456" s="262">
        <v>47119</v>
      </c>
      <c r="B2456" s="262" t="s">
        <v>1614</v>
      </c>
      <c r="C2456" s="262" t="s">
        <v>1631</v>
      </c>
      <c r="D2456" s="262">
        <v>-87.077267899999995</v>
      </c>
      <c r="E2456" s="262">
        <v>35.629719999999999</v>
      </c>
      <c r="M2456" s="262">
        <v>15.31155603</v>
      </c>
      <c r="N2456" s="262">
        <v>15.31155603</v>
      </c>
    </row>
    <row r="2457" spans="1:14" x14ac:dyDescent="0.25">
      <c r="A2457" s="262">
        <v>47121</v>
      </c>
      <c r="B2457" s="262" t="s">
        <v>1614</v>
      </c>
      <c r="C2457" s="262" t="s">
        <v>1436</v>
      </c>
      <c r="D2457" s="262">
        <v>-84.806327400000001</v>
      </c>
      <c r="E2457" s="262">
        <v>35.516530000000003</v>
      </c>
      <c r="M2457" s="262">
        <v>14.63293767</v>
      </c>
      <c r="N2457" s="262">
        <v>14.63293767</v>
      </c>
    </row>
    <row r="2458" spans="1:14" x14ac:dyDescent="0.25">
      <c r="A2458" s="262">
        <v>47123</v>
      </c>
      <c r="B2458" s="262" t="s">
        <v>1614</v>
      </c>
      <c r="C2458" s="262" t="s">
        <v>162</v>
      </c>
      <c r="D2458" s="262">
        <v>-84.251918099999997</v>
      </c>
      <c r="E2458" s="262">
        <v>35.446069999999999</v>
      </c>
      <c r="M2458" s="262">
        <v>13.802051690000001</v>
      </c>
      <c r="N2458" s="262">
        <v>13.802051690000001</v>
      </c>
    </row>
    <row r="2459" spans="1:14" x14ac:dyDescent="0.25">
      <c r="A2459" s="262">
        <v>47125</v>
      </c>
      <c r="B2459" s="262" t="s">
        <v>1614</v>
      </c>
      <c r="C2459" s="262" t="s">
        <v>163</v>
      </c>
      <c r="D2459" s="262">
        <v>-87.385333399999993</v>
      </c>
      <c r="E2459" s="262">
        <v>36.497450000000001</v>
      </c>
      <c r="M2459" s="262">
        <v>14.886714660000001</v>
      </c>
      <c r="N2459" s="262">
        <v>14.886714660000001</v>
      </c>
    </row>
    <row r="2460" spans="1:14" x14ac:dyDescent="0.25">
      <c r="A2460" s="262">
        <v>47127</v>
      </c>
      <c r="B2460" s="262" t="s">
        <v>1614</v>
      </c>
      <c r="C2460" s="262" t="s">
        <v>1358</v>
      </c>
      <c r="D2460" s="262">
        <v>-86.356703199999998</v>
      </c>
      <c r="E2460" s="262">
        <v>35.292099999999998</v>
      </c>
      <c r="M2460" s="262">
        <v>15.43200294</v>
      </c>
      <c r="N2460" s="262">
        <v>15.43200294</v>
      </c>
    </row>
    <row r="2461" spans="1:14" x14ac:dyDescent="0.25">
      <c r="A2461" s="262">
        <v>47129</v>
      </c>
      <c r="B2461" s="262" t="s">
        <v>1614</v>
      </c>
      <c r="C2461" s="262" t="s">
        <v>164</v>
      </c>
      <c r="D2461" s="262">
        <v>-84.649435499999996</v>
      </c>
      <c r="E2461" s="262">
        <v>36.126460000000002</v>
      </c>
      <c r="M2461" s="262">
        <v>13.92869351</v>
      </c>
      <c r="N2461" s="262">
        <v>13.92869351</v>
      </c>
    </row>
    <row r="2462" spans="1:14" x14ac:dyDescent="0.25">
      <c r="A2462" s="262">
        <v>47131</v>
      </c>
      <c r="B2462" s="262" t="s">
        <v>1614</v>
      </c>
      <c r="C2462" s="262" t="s">
        <v>1632</v>
      </c>
      <c r="D2462" s="262">
        <v>-89.156442499999997</v>
      </c>
      <c r="E2462" s="262">
        <v>36.351170000000003</v>
      </c>
      <c r="M2462" s="262">
        <v>15.071992509999999</v>
      </c>
      <c r="N2462" s="262">
        <v>15.071992509999999</v>
      </c>
    </row>
    <row r="2463" spans="1:14" x14ac:dyDescent="0.25">
      <c r="A2463" s="262">
        <v>47133</v>
      </c>
      <c r="B2463" s="262" t="s">
        <v>1614</v>
      </c>
      <c r="C2463" s="262" t="s">
        <v>1633</v>
      </c>
      <c r="D2463" s="262">
        <v>-85.284744200000006</v>
      </c>
      <c r="E2463" s="262">
        <v>36.340580000000003</v>
      </c>
      <c r="M2463" s="262">
        <v>14.405086109999999</v>
      </c>
      <c r="N2463" s="262">
        <v>14.405086109999999</v>
      </c>
    </row>
    <row r="2464" spans="1:14" x14ac:dyDescent="0.25">
      <c r="A2464" s="262">
        <v>47135</v>
      </c>
      <c r="B2464" s="262" t="s">
        <v>1614</v>
      </c>
      <c r="C2464" s="262" t="s">
        <v>165</v>
      </c>
      <c r="D2464" s="262">
        <v>-87.863232800000006</v>
      </c>
      <c r="E2464" s="262">
        <v>35.643189999999997</v>
      </c>
      <c r="M2464" s="262">
        <v>15.36872926</v>
      </c>
      <c r="N2464" s="262">
        <v>15.36872926</v>
      </c>
    </row>
    <row r="2465" spans="1:14" x14ac:dyDescent="0.25">
      <c r="A2465" s="262">
        <v>47137</v>
      </c>
      <c r="B2465" s="262" t="s">
        <v>1614</v>
      </c>
      <c r="C2465" s="262" t="s">
        <v>1634</v>
      </c>
      <c r="D2465" s="262">
        <v>-85.071573299999997</v>
      </c>
      <c r="E2465" s="262">
        <v>36.56326</v>
      </c>
      <c r="M2465" s="262">
        <v>14.135858539999999</v>
      </c>
      <c r="N2465" s="262">
        <v>14.135858539999999</v>
      </c>
    </row>
    <row r="2466" spans="1:14" x14ac:dyDescent="0.25">
      <c r="A2466" s="262">
        <v>47139</v>
      </c>
      <c r="B2466" s="262" t="s">
        <v>1614</v>
      </c>
      <c r="C2466" s="262" t="s">
        <v>237</v>
      </c>
      <c r="D2466" s="262">
        <v>-84.526264999999995</v>
      </c>
      <c r="E2466" s="262">
        <v>35.118479999999998</v>
      </c>
      <c r="M2466" s="262">
        <v>14.63808126</v>
      </c>
      <c r="N2466" s="262">
        <v>14.63808126</v>
      </c>
    </row>
    <row r="2467" spans="1:14" x14ac:dyDescent="0.25">
      <c r="A2467" s="262">
        <v>47141</v>
      </c>
      <c r="B2467" s="262" t="s">
        <v>1614</v>
      </c>
      <c r="C2467" s="262" t="s">
        <v>421</v>
      </c>
      <c r="D2467" s="262">
        <v>-85.504943800000007</v>
      </c>
      <c r="E2467" s="262">
        <v>36.145339999999997</v>
      </c>
      <c r="M2467" s="262">
        <v>14.677398220000001</v>
      </c>
      <c r="N2467" s="262">
        <v>14.677398220000001</v>
      </c>
    </row>
    <row r="2468" spans="1:14" x14ac:dyDescent="0.25">
      <c r="A2468" s="262">
        <v>47143</v>
      </c>
      <c r="B2468" s="262" t="s">
        <v>1614</v>
      </c>
      <c r="C2468" s="262" t="s">
        <v>1635</v>
      </c>
      <c r="D2468" s="262">
        <v>-84.927209500000004</v>
      </c>
      <c r="E2468" s="262">
        <v>35.607480000000002</v>
      </c>
      <c r="M2468" s="262">
        <v>14.6954066</v>
      </c>
      <c r="N2468" s="262">
        <v>14.6954066</v>
      </c>
    </row>
    <row r="2469" spans="1:14" x14ac:dyDescent="0.25">
      <c r="A2469" s="262">
        <v>47145</v>
      </c>
      <c r="B2469" s="262" t="s">
        <v>1614</v>
      </c>
      <c r="C2469" s="262" t="s">
        <v>1636</v>
      </c>
      <c r="D2469" s="262">
        <v>-84.512702599999997</v>
      </c>
      <c r="E2469" s="262">
        <v>35.852379999999997</v>
      </c>
      <c r="M2469" s="262">
        <v>13.899403810000001</v>
      </c>
      <c r="N2469" s="262">
        <v>13.899403810000001</v>
      </c>
    </row>
    <row r="2470" spans="1:14" x14ac:dyDescent="0.25">
      <c r="A2470" s="262">
        <v>47147</v>
      </c>
      <c r="B2470" s="262" t="s">
        <v>1614</v>
      </c>
      <c r="C2470" s="262" t="s">
        <v>834</v>
      </c>
      <c r="D2470" s="262">
        <v>-86.871625800000004</v>
      </c>
      <c r="E2470" s="262">
        <v>36.525950000000002</v>
      </c>
      <c r="M2470" s="262">
        <v>14.83930277</v>
      </c>
      <c r="N2470" s="262">
        <v>14.83930277</v>
      </c>
    </row>
    <row r="2471" spans="1:14" x14ac:dyDescent="0.25">
      <c r="A2471" s="262">
        <v>47149</v>
      </c>
      <c r="B2471" s="262" t="s">
        <v>1614</v>
      </c>
      <c r="C2471" s="262" t="s">
        <v>1370</v>
      </c>
      <c r="D2471" s="262">
        <v>-86.404161400000007</v>
      </c>
      <c r="E2471" s="262">
        <v>35.849899999999998</v>
      </c>
      <c r="M2471" s="262">
        <v>15.141162039999999</v>
      </c>
      <c r="N2471" s="262">
        <v>15.141162039999999</v>
      </c>
    </row>
    <row r="2472" spans="1:14" x14ac:dyDescent="0.25">
      <c r="A2472" s="262">
        <v>47151</v>
      </c>
      <c r="B2472" s="262" t="s">
        <v>1614</v>
      </c>
      <c r="C2472" s="262" t="s">
        <v>243</v>
      </c>
      <c r="D2472" s="262">
        <v>-84.497651700000006</v>
      </c>
      <c r="E2472" s="262">
        <v>36.430529999999997</v>
      </c>
      <c r="M2472" s="262">
        <v>13.662651159999999</v>
      </c>
      <c r="N2472" s="262">
        <v>13.662651159999999</v>
      </c>
    </row>
    <row r="2473" spans="1:14" x14ac:dyDescent="0.25">
      <c r="A2473" s="262">
        <v>47153</v>
      </c>
      <c r="B2473" s="262" t="s">
        <v>1614</v>
      </c>
      <c r="C2473" s="262" t="s">
        <v>1637</v>
      </c>
      <c r="D2473" s="262">
        <v>-85.419006600000003</v>
      </c>
      <c r="E2473" s="262">
        <v>35.38156</v>
      </c>
      <c r="M2473" s="262">
        <v>15.338607400000001</v>
      </c>
      <c r="N2473" s="262">
        <v>15.338607400000001</v>
      </c>
    </row>
    <row r="2474" spans="1:14" x14ac:dyDescent="0.25">
      <c r="A2474" s="262">
        <v>47155</v>
      </c>
      <c r="B2474" s="262" t="s">
        <v>1614</v>
      </c>
      <c r="C2474" s="262" t="s">
        <v>246</v>
      </c>
      <c r="D2474" s="262">
        <v>-83.520753600000006</v>
      </c>
      <c r="E2474" s="262">
        <v>35.789960000000001</v>
      </c>
      <c r="M2474" s="262">
        <v>12.70396113</v>
      </c>
      <c r="N2474" s="262">
        <v>12.70396113</v>
      </c>
    </row>
    <row r="2475" spans="1:14" x14ac:dyDescent="0.25">
      <c r="A2475" s="262">
        <v>47157</v>
      </c>
      <c r="B2475" s="262" t="s">
        <v>1614</v>
      </c>
      <c r="C2475" s="262" t="s">
        <v>171</v>
      </c>
      <c r="D2475" s="262">
        <v>-89.885200800000007</v>
      </c>
      <c r="E2475" s="262">
        <v>35.186480000000003</v>
      </c>
      <c r="M2475" s="262">
        <v>15.75229156</v>
      </c>
      <c r="N2475" s="262">
        <v>15.75229156</v>
      </c>
    </row>
    <row r="2476" spans="1:14" x14ac:dyDescent="0.25">
      <c r="A2476" s="262">
        <v>47159</v>
      </c>
      <c r="B2476" s="262" t="s">
        <v>1614</v>
      </c>
      <c r="C2476" s="262" t="s">
        <v>774</v>
      </c>
      <c r="D2476" s="262">
        <v>-85.957637500000004</v>
      </c>
      <c r="E2476" s="262">
        <v>36.259349999999998</v>
      </c>
      <c r="M2476" s="262">
        <v>14.80030876</v>
      </c>
      <c r="N2476" s="262">
        <v>14.80030876</v>
      </c>
    </row>
    <row r="2477" spans="1:14" x14ac:dyDescent="0.25">
      <c r="A2477" s="262">
        <v>47161</v>
      </c>
      <c r="B2477" s="262" t="s">
        <v>1614</v>
      </c>
      <c r="C2477" s="262" t="s">
        <v>517</v>
      </c>
      <c r="D2477" s="262">
        <v>-87.835614199999995</v>
      </c>
      <c r="E2477" s="262">
        <v>36.500619999999998</v>
      </c>
      <c r="M2477" s="262">
        <v>14.915992920000001</v>
      </c>
      <c r="N2477" s="262">
        <v>14.915992920000001</v>
      </c>
    </row>
    <row r="2478" spans="1:14" x14ac:dyDescent="0.25">
      <c r="A2478" s="262">
        <v>47163</v>
      </c>
      <c r="B2478" s="262" t="s">
        <v>1614</v>
      </c>
      <c r="C2478" s="262" t="s">
        <v>662</v>
      </c>
      <c r="D2478" s="262">
        <v>-82.300966599999995</v>
      </c>
      <c r="E2478" s="262">
        <v>36.513860000000001</v>
      </c>
      <c r="M2478" s="262">
        <v>13.56769306</v>
      </c>
      <c r="N2478" s="262">
        <v>13.56769306</v>
      </c>
    </row>
    <row r="2479" spans="1:14" x14ac:dyDescent="0.25">
      <c r="A2479" s="262">
        <v>47165</v>
      </c>
      <c r="B2479" s="262" t="s">
        <v>1614</v>
      </c>
      <c r="C2479" s="262" t="s">
        <v>778</v>
      </c>
      <c r="D2479" s="262">
        <v>-86.452801600000001</v>
      </c>
      <c r="E2479" s="262">
        <v>36.470939999999999</v>
      </c>
      <c r="M2479" s="262">
        <v>14.82263298</v>
      </c>
      <c r="N2479" s="262">
        <v>14.82263298</v>
      </c>
    </row>
    <row r="2480" spans="1:14" x14ac:dyDescent="0.25">
      <c r="A2480" s="262">
        <v>47167</v>
      </c>
      <c r="B2480" s="262" t="s">
        <v>1614</v>
      </c>
      <c r="C2480" s="262" t="s">
        <v>665</v>
      </c>
      <c r="D2480" s="262">
        <v>-89.738709799999995</v>
      </c>
      <c r="E2480" s="262">
        <v>35.496429999999997</v>
      </c>
      <c r="M2480" s="262">
        <v>15.592340829999999</v>
      </c>
      <c r="N2480" s="262">
        <v>15.592340829999999</v>
      </c>
    </row>
    <row r="2481" spans="1:14" x14ac:dyDescent="0.25">
      <c r="A2481" s="262">
        <v>47169</v>
      </c>
      <c r="B2481" s="262" t="s">
        <v>1614</v>
      </c>
      <c r="C2481" s="262" t="s">
        <v>1638</v>
      </c>
      <c r="D2481" s="262">
        <v>-86.1482247</v>
      </c>
      <c r="E2481" s="262">
        <v>36.388190000000002</v>
      </c>
      <c r="M2481" s="262">
        <v>14.78592778</v>
      </c>
      <c r="N2481" s="262">
        <v>14.78592778</v>
      </c>
    </row>
    <row r="2482" spans="1:14" x14ac:dyDescent="0.25">
      <c r="A2482" s="262">
        <v>47171</v>
      </c>
      <c r="B2482" s="262" t="s">
        <v>1614</v>
      </c>
      <c r="C2482" s="262" t="s">
        <v>1639</v>
      </c>
      <c r="D2482" s="262">
        <v>-82.441375100000002</v>
      </c>
      <c r="E2482" s="262">
        <v>36.104460000000003</v>
      </c>
      <c r="M2482" s="262">
        <v>13.629845489999999</v>
      </c>
      <c r="N2482" s="262">
        <v>13.629845489999999</v>
      </c>
    </row>
    <row r="2483" spans="1:14" x14ac:dyDescent="0.25">
      <c r="A2483" s="262">
        <v>47173</v>
      </c>
      <c r="B2483" s="262" t="s">
        <v>1614</v>
      </c>
      <c r="C2483" s="262" t="s">
        <v>249</v>
      </c>
      <c r="D2483" s="262">
        <v>-83.831040000000002</v>
      </c>
      <c r="E2483" s="262">
        <v>36.2836</v>
      </c>
      <c r="M2483" s="262">
        <v>13.06706791</v>
      </c>
      <c r="N2483" s="262">
        <v>13.06706791</v>
      </c>
    </row>
    <row r="2484" spans="1:14" x14ac:dyDescent="0.25">
      <c r="A2484" s="262">
        <v>47175</v>
      </c>
      <c r="B2484" s="262" t="s">
        <v>1614</v>
      </c>
      <c r="C2484" s="262" t="s">
        <v>250</v>
      </c>
      <c r="D2484" s="262">
        <v>-85.448947000000004</v>
      </c>
      <c r="E2484" s="262">
        <v>35.697180000000003</v>
      </c>
      <c r="M2484" s="262">
        <v>15.019292249999999</v>
      </c>
      <c r="N2484" s="262">
        <v>15.019292249999999</v>
      </c>
    </row>
    <row r="2485" spans="1:14" x14ac:dyDescent="0.25">
      <c r="A2485" s="262">
        <v>47177</v>
      </c>
      <c r="B2485" s="262" t="s">
        <v>1614</v>
      </c>
      <c r="C2485" s="262" t="s">
        <v>533</v>
      </c>
      <c r="D2485" s="262">
        <v>-85.765565499999994</v>
      </c>
      <c r="E2485" s="262">
        <v>35.681750000000001</v>
      </c>
      <c r="M2485" s="262">
        <v>15.13576076</v>
      </c>
      <c r="N2485" s="262">
        <v>15.13576076</v>
      </c>
    </row>
    <row r="2486" spans="1:14" x14ac:dyDescent="0.25">
      <c r="A2486" s="262">
        <v>47179</v>
      </c>
      <c r="B2486" s="262" t="s">
        <v>1614</v>
      </c>
      <c r="C2486" s="262" t="s">
        <v>177</v>
      </c>
      <c r="D2486" s="262">
        <v>-82.497656599999999</v>
      </c>
      <c r="E2486" s="262">
        <v>36.29645</v>
      </c>
      <c r="M2486" s="262">
        <v>13.50199976</v>
      </c>
      <c r="N2486" s="262">
        <v>13.50199976</v>
      </c>
    </row>
    <row r="2487" spans="1:14" x14ac:dyDescent="0.25">
      <c r="A2487" s="262">
        <v>47181</v>
      </c>
      <c r="B2487" s="262" t="s">
        <v>1614</v>
      </c>
      <c r="C2487" s="262" t="s">
        <v>534</v>
      </c>
      <c r="D2487" s="262">
        <v>-87.790492400000005</v>
      </c>
      <c r="E2487" s="262">
        <v>35.249890000000001</v>
      </c>
      <c r="M2487" s="262">
        <v>15.56583305</v>
      </c>
      <c r="N2487" s="262">
        <v>15.56583305</v>
      </c>
    </row>
    <row r="2488" spans="1:14" x14ac:dyDescent="0.25">
      <c r="A2488" s="262">
        <v>47183</v>
      </c>
      <c r="B2488" s="262" t="s">
        <v>1614</v>
      </c>
      <c r="C2488" s="262" t="s">
        <v>1640</v>
      </c>
      <c r="D2488" s="262">
        <v>-88.722150600000006</v>
      </c>
      <c r="E2488" s="262">
        <v>36.299329999999998</v>
      </c>
      <c r="M2488" s="262">
        <v>15.08871983</v>
      </c>
      <c r="N2488" s="262">
        <v>15.08871983</v>
      </c>
    </row>
    <row r="2489" spans="1:14" x14ac:dyDescent="0.25">
      <c r="A2489" s="262">
        <v>47185</v>
      </c>
      <c r="B2489" s="262" t="s">
        <v>1614</v>
      </c>
      <c r="C2489" s="262" t="s">
        <v>251</v>
      </c>
      <c r="D2489" s="262">
        <v>-85.460500800000005</v>
      </c>
      <c r="E2489" s="262">
        <v>35.926459999999999</v>
      </c>
      <c r="M2489" s="262">
        <v>14.82158179</v>
      </c>
      <c r="N2489" s="262">
        <v>14.82158179</v>
      </c>
    </row>
    <row r="2490" spans="1:14" x14ac:dyDescent="0.25">
      <c r="A2490" s="262">
        <v>47187</v>
      </c>
      <c r="B2490" s="262" t="s">
        <v>1614</v>
      </c>
      <c r="C2490" s="262" t="s">
        <v>627</v>
      </c>
      <c r="D2490" s="262">
        <v>-86.893874400000001</v>
      </c>
      <c r="E2490" s="262">
        <v>35.897660000000002</v>
      </c>
      <c r="M2490" s="262">
        <v>15.163580870000001</v>
      </c>
      <c r="N2490" s="262">
        <v>15.163580870000001</v>
      </c>
    </row>
    <row r="2491" spans="1:14" x14ac:dyDescent="0.25">
      <c r="A2491" s="262">
        <v>47189</v>
      </c>
      <c r="B2491" s="262" t="s">
        <v>1614</v>
      </c>
      <c r="C2491" s="262" t="s">
        <v>783</v>
      </c>
      <c r="D2491" s="262">
        <v>-86.292924099999993</v>
      </c>
      <c r="E2491" s="262">
        <v>36.156489999999998</v>
      </c>
      <c r="M2491" s="262">
        <v>14.955024849999999</v>
      </c>
      <c r="N2491" s="262">
        <v>14.955024849999999</v>
      </c>
    </row>
    <row r="2492" spans="1:14" x14ac:dyDescent="0.25">
      <c r="A2492" s="262">
        <v>48001</v>
      </c>
      <c r="B2492" s="262" t="s">
        <v>1641</v>
      </c>
      <c r="C2492" s="262" t="s">
        <v>719</v>
      </c>
      <c r="D2492" s="262">
        <v>-95.658293</v>
      </c>
      <c r="E2492" s="262">
        <v>31.828209999999999</v>
      </c>
      <c r="M2492" s="262">
        <v>17.355623359999999</v>
      </c>
      <c r="N2492" s="262">
        <v>17.355623359999999</v>
      </c>
    </row>
    <row r="2493" spans="1:14" x14ac:dyDescent="0.25">
      <c r="A2493" s="262">
        <v>48003</v>
      </c>
      <c r="B2493" s="262" t="s">
        <v>1641</v>
      </c>
      <c r="C2493" s="262" t="s">
        <v>1642</v>
      </c>
      <c r="D2493" s="262">
        <v>-102.641538</v>
      </c>
      <c r="E2493" s="262">
        <v>32.296759999999999</v>
      </c>
      <c r="M2493" s="262">
        <v>16.78016723</v>
      </c>
      <c r="N2493" s="262">
        <v>16.78016723</v>
      </c>
    </row>
    <row r="2494" spans="1:14" x14ac:dyDescent="0.25">
      <c r="A2494" s="262">
        <v>48005</v>
      </c>
      <c r="B2494" s="262" t="s">
        <v>1641</v>
      </c>
      <c r="C2494" s="262" t="s">
        <v>1643</v>
      </c>
      <c r="D2494" s="262">
        <v>-94.615386200000003</v>
      </c>
      <c r="E2494" s="262">
        <v>31.276450000000001</v>
      </c>
      <c r="M2494" s="262">
        <v>17.75506566</v>
      </c>
      <c r="N2494" s="262">
        <v>17.75506566</v>
      </c>
    </row>
    <row r="2495" spans="1:14" x14ac:dyDescent="0.25">
      <c r="A2495" s="262">
        <v>48007</v>
      </c>
      <c r="B2495" s="262" t="s">
        <v>1641</v>
      </c>
      <c r="C2495" s="262" t="s">
        <v>1644</v>
      </c>
      <c r="D2495" s="262">
        <v>-96.951492200000004</v>
      </c>
      <c r="E2495" s="262">
        <v>28.235959999999999</v>
      </c>
      <c r="M2495" s="262">
        <v>18.84745556</v>
      </c>
      <c r="N2495" s="262">
        <v>18.84745556</v>
      </c>
    </row>
    <row r="2496" spans="1:14" x14ac:dyDescent="0.25">
      <c r="A2496" s="262">
        <v>48009</v>
      </c>
      <c r="B2496" s="262" t="s">
        <v>1641</v>
      </c>
      <c r="C2496" s="262" t="s">
        <v>1645</v>
      </c>
      <c r="D2496" s="262">
        <v>-98.683588799999995</v>
      </c>
      <c r="E2496" s="262">
        <v>33.612609999999997</v>
      </c>
      <c r="M2496" s="262">
        <v>16.470406279999999</v>
      </c>
      <c r="N2496" s="262">
        <v>16.470406279999999</v>
      </c>
    </row>
    <row r="2497" spans="1:14" x14ac:dyDescent="0.25">
      <c r="A2497" s="262">
        <v>48011</v>
      </c>
      <c r="B2497" s="262" t="s">
        <v>1641</v>
      </c>
      <c r="C2497" s="262" t="s">
        <v>1513</v>
      </c>
      <c r="D2497" s="262">
        <v>-101.352835</v>
      </c>
      <c r="E2497" s="262">
        <v>34.965139999999998</v>
      </c>
      <c r="M2497" s="262">
        <v>15.18241589</v>
      </c>
      <c r="N2497" s="262">
        <v>15.18241589</v>
      </c>
    </row>
    <row r="2498" spans="1:14" x14ac:dyDescent="0.25">
      <c r="A2498" s="262">
        <v>48013</v>
      </c>
      <c r="B2498" s="262" t="s">
        <v>1641</v>
      </c>
      <c r="C2498" s="262" t="s">
        <v>1646</v>
      </c>
      <c r="D2498" s="262">
        <v>-98.529298100000005</v>
      </c>
      <c r="E2498" s="262">
        <v>28.89798</v>
      </c>
      <c r="M2498" s="262">
        <v>18.255158439999999</v>
      </c>
      <c r="N2498" s="262">
        <v>18.255158439999999</v>
      </c>
    </row>
    <row r="2499" spans="1:14" x14ac:dyDescent="0.25">
      <c r="A2499" s="262">
        <v>48015</v>
      </c>
      <c r="B2499" s="262" t="s">
        <v>1641</v>
      </c>
      <c r="C2499" s="262" t="s">
        <v>1647</v>
      </c>
      <c r="D2499" s="262">
        <v>-96.280688999999995</v>
      </c>
      <c r="E2499" s="262">
        <v>29.890239999999999</v>
      </c>
      <c r="M2499" s="262">
        <v>18.676571689999999</v>
      </c>
      <c r="N2499" s="262">
        <v>18.676571689999999</v>
      </c>
    </row>
    <row r="2500" spans="1:14" x14ac:dyDescent="0.25">
      <c r="A2500" s="262">
        <v>48017</v>
      </c>
      <c r="B2500" s="262" t="s">
        <v>1641</v>
      </c>
      <c r="C2500" s="262" t="s">
        <v>1648</v>
      </c>
      <c r="D2500" s="262">
        <v>-102.834451</v>
      </c>
      <c r="E2500" s="262">
        <v>34.061309999999999</v>
      </c>
      <c r="M2500" s="262">
        <v>15.753590190000001</v>
      </c>
      <c r="N2500" s="262">
        <v>15.753590190000001</v>
      </c>
    </row>
    <row r="2501" spans="1:14" x14ac:dyDescent="0.25">
      <c r="A2501" s="262">
        <v>48019</v>
      </c>
      <c r="B2501" s="262" t="s">
        <v>1641</v>
      </c>
      <c r="C2501" s="262" t="s">
        <v>1649</v>
      </c>
      <c r="D2501" s="262">
        <v>-99.248593200000002</v>
      </c>
      <c r="E2501" s="262">
        <v>29.73367</v>
      </c>
      <c r="M2501" s="262">
        <v>17.906816509999999</v>
      </c>
      <c r="N2501" s="262">
        <v>17.906816509999999</v>
      </c>
    </row>
    <row r="2502" spans="1:14" x14ac:dyDescent="0.25">
      <c r="A2502" s="262">
        <v>48021</v>
      </c>
      <c r="B2502" s="262" t="s">
        <v>1641</v>
      </c>
      <c r="C2502" s="262" t="s">
        <v>1650</v>
      </c>
      <c r="D2502" s="262">
        <v>-97.318504599999997</v>
      </c>
      <c r="E2502" s="262">
        <v>30.09958</v>
      </c>
      <c r="M2502" s="262">
        <v>18.106332680000001</v>
      </c>
      <c r="N2502" s="262">
        <v>18.106332680000001</v>
      </c>
    </row>
    <row r="2503" spans="1:14" x14ac:dyDescent="0.25">
      <c r="A2503" s="262">
        <v>48023</v>
      </c>
      <c r="B2503" s="262" t="s">
        <v>1641</v>
      </c>
      <c r="C2503" s="262" t="s">
        <v>1651</v>
      </c>
      <c r="D2503" s="262">
        <v>-99.210187199999993</v>
      </c>
      <c r="E2503" s="262">
        <v>33.609119999999997</v>
      </c>
      <c r="M2503" s="262">
        <v>16.38299409</v>
      </c>
      <c r="N2503" s="262">
        <v>16.38299409</v>
      </c>
    </row>
    <row r="2504" spans="1:14" x14ac:dyDescent="0.25">
      <c r="A2504" s="262">
        <v>48025</v>
      </c>
      <c r="B2504" s="262" t="s">
        <v>1641</v>
      </c>
      <c r="C2504" s="262" t="s">
        <v>1652</v>
      </c>
      <c r="D2504" s="262">
        <v>-97.742721900000006</v>
      </c>
      <c r="E2504" s="262">
        <v>28.41994</v>
      </c>
      <c r="M2504" s="262">
        <v>18.551156410000001</v>
      </c>
      <c r="N2504" s="262">
        <v>18.551156410000001</v>
      </c>
    </row>
    <row r="2505" spans="1:14" x14ac:dyDescent="0.25">
      <c r="A2505" s="262">
        <v>48027</v>
      </c>
      <c r="B2505" s="262" t="s">
        <v>1641</v>
      </c>
      <c r="C2505" s="262" t="s">
        <v>790</v>
      </c>
      <c r="D2505" s="262">
        <v>-97.484127900000004</v>
      </c>
      <c r="E2505" s="262">
        <v>31.04025</v>
      </c>
      <c r="M2505" s="262">
        <v>17.49689618</v>
      </c>
      <c r="N2505" s="262">
        <v>17.49689618</v>
      </c>
    </row>
    <row r="2506" spans="1:14" x14ac:dyDescent="0.25">
      <c r="A2506" s="262">
        <v>48029</v>
      </c>
      <c r="B2506" s="262" t="s">
        <v>1641</v>
      </c>
      <c r="C2506" s="262" t="s">
        <v>1653</v>
      </c>
      <c r="D2506" s="262">
        <v>-98.525472500000006</v>
      </c>
      <c r="E2506" s="262">
        <v>29.45111</v>
      </c>
      <c r="M2506" s="262">
        <v>18.120749539999998</v>
      </c>
      <c r="N2506" s="262">
        <v>18.120749539999998</v>
      </c>
    </row>
    <row r="2507" spans="1:14" x14ac:dyDescent="0.25">
      <c r="A2507" s="262">
        <v>48031</v>
      </c>
      <c r="B2507" s="262" t="s">
        <v>1641</v>
      </c>
      <c r="C2507" s="262" t="s">
        <v>1654</v>
      </c>
      <c r="D2507" s="262">
        <v>-98.393631799999994</v>
      </c>
      <c r="E2507" s="262">
        <v>30.267379999999999</v>
      </c>
      <c r="M2507" s="262">
        <v>17.83243156</v>
      </c>
      <c r="N2507" s="262">
        <v>17.83243156</v>
      </c>
    </row>
    <row r="2508" spans="1:14" x14ac:dyDescent="0.25">
      <c r="A2508" s="262">
        <v>48033</v>
      </c>
      <c r="B2508" s="262" t="s">
        <v>1641</v>
      </c>
      <c r="C2508" s="262" t="s">
        <v>1655</v>
      </c>
      <c r="D2508" s="262">
        <v>-101.442218</v>
      </c>
      <c r="E2508" s="262">
        <v>32.738689999999998</v>
      </c>
      <c r="M2508" s="262">
        <v>16.631636180000001</v>
      </c>
      <c r="N2508" s="262">
        <v>16.631636180000001</v>
      </c>
    </row>
    <row r="2509" spans="1:14" x14ac:dyDescent="0.25">
      <c r="A2509" s="262">
        <v>48035</v>
      </c>
      <c r="B2509" s="262" t="s">
        <v>1641</v>
      </c>
      <c r="C2509" s="262" t="s">
        <v>1656</v>
      </c>
      <c r="D2509" s="262">
        <v>-97.636350300000004</v>
      </c>
      <c r="E2509" s="262">
        <v>31.90446</v>
      </c>
      <c r="M2509" s="262">
        <v>17.126150540000001</v>
      </c>
      <c r="N2509" s="262">
        <v>17.126150540000001</v>
      </c>
    </row>
    <row r="2510" spans="1:14" x14ac:dyDescent="0.25">
      <c r="A2510" s="262">
        <v>48037</v>
      </c>
      <c r="B2510" s="262" t="s">
        <v>1641</v>
      </c>
      <c r="C2510" s="262" t="s">
        <v>1657</v>
      </c>
      <c r="D2510" s="262">
        <v>-94.432645800000003</v>
      </c>
      <c r="E2510" s="262">
        <v>33.4724</v>
      </c>
      <c r="M2510" s="262">
        <v>16.426858079999999</v>
      </c>
      <c r="N2510" s="262">
        <v>16.426858079999999</v>
      </c>
    </row>
    <row r="2511" spans="1:14" x14ac:dyDescent="0.25">
      <c r="A2511" s="262">
        <v>48039</v>
      </c>
      <c r="B2511" s="262" t="s">
        <v>1641</v>
      </c>
      <c r="C2511" s="262" t="s">
        <v>1658</v>
      </c>
      <c r="D2511" s="262">
        <v>-95.466805399999998</v>
      </c>
      <c r="E2511" s="262">
        <v>29.214659999999999</v>
      </c>
      <c r="M2511" s="262">
        <v>19.46618612</v>
      </c>
      <c r="N2511" s="262">
        <v>19.46618612</v>
      </c>
    </row>
    <row r="2512" spans="1:14" x14ac:dyDescent="0.25">
      <c r="A2512" s="262">
        <v>48041</v>
      </c>
      <c r="B2512" s="262" t="s">
        <v>1641</v>
      </c>
      <c r="C2512" s="262" t="s">
        <v>1659</v>
      </c>
      <c r="D2512" s="262">
        <v>-96.310826000000006</v>
      </c>
      <c r="E2512" s="262">
        <v>30.66255</v>
      </c>
      <c r="M2512" s="262">
        <v>18.077706729999999</v>
      </c>
      <c r="N2512" s="262">
        <v>18.077706729999999</v>
      </c>
    </row>
    <row r="2513" spans="1:14" x14ac:dyDescent="0.25">
      <c r="A2513" s="262">
        <v>48043</v>
      </c>
      <c r="B2513" s="262" t="s">
        <v>1641</v>
      </c>
      <c r="C2513" s="262" t="s">
        <v>1660</v>
      </c>
      <c r="D2513" s="262">
        <v>-103.25317699999999</v>
      </c>
      <c r="E2513" s="262">
        <v>29.805050000000001</v>
      </c>
      <c r="M2513" s="262">
        <v>17.499628120000001</v>
      </c>
      <c r="N2513" s="262">
        <v>17.499628120000001</v>
      </c>
    </row>
    <row r="2514" spans="1:14" x14ac:dyDescent="0.25">
      <c r="A2514" s="262">
        <v>48045</v>
      </c>
      <c r="B2514" s="262" t="s">
        <v>1641</v>
      </c>
      <c r="C2514" s="262" t="s">
        <v>1661</v>
      </c>
      <c r="D2514" s="262">
        <v>-101.218054</v>
      </c>
      <c r="E2514" s="262">
        <v>34.52825</v>
      </c>
      <c r="M2514" s="262">
        <v>15.532209829999999</v>
      </c>
      <c r="N2514" s="262">
        <v>15.532209829999999</v>
      </c>
    </row>
    <row r="2515" spans="1:14" x14ac:dyDescent="0.25">
      <c r="A2515" s="262">
        <v>48047</v>
      </c>
      <c r="B2515" s="262" t="s">
        <v>1641</v>
      </c>
      <c r="C2515" s="262" t="s">
        <v>443</v>
      </c>
      <c r="D2515" s="262">
        <v>-98.224515699999998</v>
      </c>
      <c r="E2515" s="262">
        <v>27.03885</v>
      </c>
      <c r="M2515" s="262">
        <v>18.44592549</v>
      </c>
      <c r="N2515" s="262">
        <v>18.44592549</v>
      </c>
    </row>
    <row r="2516" spans="1:14" x14ac:dyDescent="0.25">
      <c r="A2516" s="262">
        <v>48049</v>
      </c>
      <c r="B2516" s="262" t="s">
        <v>1641</v>
      </c>
      <c r="C2516" s="262" t="s">
        <v>578</v>
      </c>
      <c r="D2516" s="262">
        <v>-98.999530500000006</v>
      </c>
      <c r="E2516" s="262">
        <v>31.78078</v>
      </c>
      <c r="M2516" s="262">
        <v>17.18911855</v>
      </c>
      <c r="N2516" s="262">
        <v>17.18911855</v>
      </c>
    </row>
    <row r="2517" spans="1:14" x14ac:dyDescent="0.25">
      <c r="A2517" s="262">
        <v>48051</v>
      </c>
      <c r="B2517" s="262" t="s">
        <v>1641</v>
      </c>
      <c r="C2517" s="262" t="s">
        <v>1662</v>
      </c>
      <c r="D2517" s="262">
        <v>-96.622868199999999</v>
      </c>
      <c r="E2517" s="262">
        <v>30.493880000000001</v>
      </c>
      <c r="M2517" s="262">
        <v>18.091662459999998</v>
      </c>
      <c r="N2517" s="262">
        <v>18.091662459999998</v>
      </c>
    </row>
    <row r="2518" spans="1:14" x14ac:dyDescent="0.25">
      <c r="A2518" s="262">
        <v>48053</v>
      </c>
      <c r="B2518" s="262" t="s">
        <v>1641</v>
      </c>
      <c r="C2518" s="262" t="s">
        <v>1663</v>
      </c>
      <c r="D2518" s="262">
        <v>-98.184556999999998</v>
      </c>
      <c r="E2518" s="262">
        <v>30.78453</v>
      </c>
      <c r="M2518" s="262">
        <v>17.607578650000001</v>
      </c>
      <c r="N2518" s="262">
        <v>17.607578650000001</v>
      </c>
    </row>
    <row r="2519" spans="1:14" x14ac:dyDescent="0.25">
      <c r="A2519" s="262">
        <v>48055</v>
      </c>
      <c r="B2519" s="262" t="s">
        <v>1641</v>
      </c>
      <c r="C2519" s="262" t="s">
        <v>797</v>
      </c>
      <c r="D2519" s="262">
        <v>-97.624288100000001</v>
      </c>
      <c r="E2519" s="262">
        <v>29.841390000000001</v>
      </c>
      <c r="M2519" s="262">
        <v>18.15694264</v>
      </c>
      <c r="N2519" s="262">
        <v>18.15694264</v>
      </c>
    </row>
    <row r="2520" spans="1:14" x14ac:dyDescent="0.25">
      <c r="A2520" s="262">
        <v>48057</v>
      </c>
      <c r="B2520" s="262" t="s">
        <v>1641</v>
      </c>
      <c r="C2520" s="262" t="s">
        <v>120</v>
      </c>
      <c r="D2520" s="262">
        <v>-96.694045700000004</v>
      </c>
      <c r="E2520" s="262">
        <v>28.52403</v>
      </c>
      <c r="M2520" s="262">
        <v>18.929910039999999</v>
      </c>
      <c r="N2520" s="262">
        <v>18.929910039999999</v>
      </c>
    </row>
    <row r="2521" spans="1:14" x14ac:dyDescent="0.25">
      <c r="A2521" s="262">
        <v>48059</v>
      </c>
      <c r="B2521" s="262" t="s">
        <v>1641</v>
      </c>
      <c r="C2521" s="262" t="s">
        <v>1664</v>
      </c>
      <c r="D2521" s="262">
        <v>-99.372370500000002</v>
      </c>
      <c r="E2521" s="262">
        <v>32.297220000000003</v>
      </c>
      <c r="M2521" s="262">
        <v>16.95940826</v>
      </c>
      <c r="N2521" s="262">
        <v>16.95940826</v>
      </c>
    </row>
    <row r="2522" spans="1:14" x14ac:dyDescent="0.25">
      <c r="A2522" s="262">
        <v>48061</v>
      </c>
      <c r="B2522" s="262" t="s">
        <v>1641</v>
      </c>
      <c r="C2522" s="262" t="s">
        <v>1519</v>
      </c>
      <c r="D2522" s="262">
        <v>-97.546559299999998</v>
      </c>
      <c r="E2522" s="262">
        <v>26.151579999999999</v>
      </c>
      <c r="M2522" s="262">
        <v>18.544795539999999</v>
      </c>
      <c r="N2522" s="262">
        <v>18.544795539999999</v>
      </c>
    </row>
    <row r="2523" spans="1:14" x14ac:dyDescent="0.25">
      <c r="A2523" s="262">
        <v>48063</v>
      </c>
      <c r="B2523" s="262" t="s">
        <v>1641</v>
      </c>
      <c r="C2523" s="262" t="s">
        <v>1665</v>
      </c>
      <c r="D2523" s="262">
        <v>-94.983929599999996</v>
      </c>
      <c r="E2523" s="262">
        <v>33.004179999999998</v>
      </c>
      <c r="M2523" s="262">
        <v>16.67160617</v>
      </c>
      <c r="N2523" s="262">
        <v>16.67160617</v>
      </c>
    </row>
    <row r="2524" spans="1:14" x14ac:dyDescent="0.25">
      <c r="A2524" s="262">
        <v>48065</v>
      </c>
      <c r="B2524" s="262" t="s">
        <v>1641</v>
      </c>
      <c r="C2524" s="262" t="s">
        <v>1666</v>
      </c>
      <c r="D2524" s="262">
        <v>-101.349912</v>
      </c>
      <c r="E2524" s="262">
        <v>35.398760000000003</v>
      </c>
      <c r="M2524" s="262">
        <v>14.873427769999999</v>
      </c>
      <c r="N2524" s="262">
        <v>14.873427769999999</v>
      </c>
    </row>
    <row r="2525" spans="1:14" x14ac:dyDescent="0.25">
      <c r="A2525" s="262">
        <v>48067</v>
      </c>
      <c r="B2525" s="262" t="s">
        <v>1641</v>
      </c>
      <c r="C2525" s="262" t="s">
        <v>580</v>
      </c>
      <c r="D2525" s="262">
        <v>-94.344507500000006</v>
      </c>
      <c r="E2525" s="262">
        <v>33.103380000000001</v>
      </c>
      <c r="M2525" s="262">
        <v>16.61234954</v>
      </c>
      <c r="N2525" s="262">
        <v>16.61234954</v>
      </c>
    </row>
    <row r="2526" spans="1:14" x14ac:dyDescent="0.25">
      <c r="A2526" s="262">
        <v>48069</v>
      </c>
      <c r="B2526" s="262" t="s">
        <v>1641</v>
      </c>
      <c r="C2526" s="262" t="s">
        <v>1667</v>
      </c>
      <c r="D2526" s="262">
        <v>-102.27667</v>
      </c>
      <c r="E2526" s="262">
        <v>34.52496</v>
      </c>
      <c r="M2526" s="262">
        <v>15.4942402</v>
      </c>
      <c r="N2526" s="262">
        <v>15.4942402</v>
      </c>
    </row>
    <row r="2527" spans="1:14" x14ac:dyDescent="0.25">
      <c r="A2527" s="262">
        <v>48071</v>
      </c>
      <c r="B2527" s="262" t="s">
        <v>1641</v>
      </c>
      <c r="C2527" s="262" t="s">
        <v>121</v>
      </c>
      <c r="D2527" s="262">
        <v>-94.608443800000003</v>
      </c>
      <c r="E2527" s="262">
        <v>29.750050000000002</v>
      </c>
      <c r="M2527" s="262">
        <v>19.258168569999999</v>
      </c>
      <c r="N2527" s="262">
        <v>19.258168569999999</v>
      </c>
    </row>
    <row r="2528" spans="1:14" x14ac:dyDescent="0.25">
      <c r="A2528" s="262">
        <v>48073</v>
      </c>
      <c r="B2528" s="262" t="s">
        <v>1641</v>
      </c>
      <c r="C2528" s="262" t="s">
        <v>122</v>
      </c>
      <c r="D2528" s="262">
        <v>-95.170255699999998</v>
      </c>
      <c r="E2528" s="262">
        <v>31.854980000000001</v>
      </c>
      <c r="M2528" s="262">
        <v>17.354984120000001</v>
      </c>
      <c r="N2528" s="262">
        <v>17.354984120000001</v>
      </c>
    </row>
    <row r="2529" spans="1:14" x14ac:dyDescent="0.25">
      <c r="A2529" s="262">
        <v>48075</v>
      </c>
      <c r="B2529" s="262" t="s">
        <v>1641</v>
      </c>
      <c r="C2529" s="262" t="s">
        <v>1668</v>
      </c>
      <c r="D2529" s="262">
        <v>-100.204176</v>
      </c>
      <c r="E2529" s="262">
        <v>34.530270000000002</v>
      </c>
      <c r="M2529" s="262">
        <v>15.690629919999999</v>
      </c>
      <c r="N2529" s="262">
        <v>15.690629919999999</v>
      </c>
    </row>
    <row r="2530" spans="1:14" x14ac:dyDescent="0.25">
      <c r="A2530" s="262">
        <v>48077</v>
      </c>
      <c r="B2530" s="262" t="s">
        <v>1641</v>
      </c>
      <c r="C2530" s="262" t="s">
        <v>126</v>
      </c>
      <c r="D2530" s="262">
        <v>-98.206680899999995</v>
      </c>
      <c r="E2530" s="262">
        <v>33.782200000000003</v>
      </c>
      <c r="M2530" s="262">
        <v>16.419381179999998</v>
      </c>
      <c r="N2530" s="262">
        <v>16.419381179999998</v>
      </c>
    </row>
    <row r="2531" spans="1:14" x14ac:dyDescent="0.25">
      <c r="A2531" s="262">
        <v>48079</v>
      </c>
      <c r="B2531" s="262" t="s">
        <v>1641</v>
      </c>
      <c r="C2531" s="262" t="s">
        <v>1669</v>
      </c>
      <c r="D2531" s="262">
        <v>-102.833549</v>
      </c>
      <c r="E2531" s="262">
        <v>33.605429999999998</v>
      </c>
      <c r="M2531" s="262">
        <v>16.010729510000001</v>
      </c>
      <c r="N2531" s="262">
        <v>16.010729510000001</v>
      </c>
    </row>
    <row r="2532" spans="1:14" x14ac:dyDescent="0.25">
      <c r="A2532" s="262">
        <v>48081</v>
      </c>
      <c r="B2532" s="262" t="s">
        <v>1641</v>
      </c>
      <c r="C2532" s="262" t="s">
        <v>1670</v>
      </c>
      <c r="D2532" s="262">
        <v>-100.530323</v>
      </c>
      <c r="E2532" s="262">
        <v>31.884799999999998</v>
      </c>
      <c r="M2532" s="262">
        <v>17.112590969999999</v>
      </c>
      <c r="N2532" s="262">
        <v>17.112590969999999</v>
      </c>
    </row>
    <row r="2533" spans="1:14" x14ac:dyDescent="0.25">
      <c r="A2533" s="262">
        <v>48083</v>
      </c>
      <c r="B2533" s="262" t="s">
        <v>1641</v>
      </c>
      <c r="C2533" s="262" t="s">
        <v>1671</v>
      </c>
      <c r="D2533" s="262">
        <v>-99.460108000000005</v>
      </c>
      <c r="E2533" s="262">
        <v>31.773530000000001</v>
      </c>
      <c r="M2533" s="262">
        <v>17.181982569999999</v>
      </c>
      <c r="N2533" s="262">
        <v>17.181982569999999</v>
      </c>
    </row>
    <row r="2534" spans="1:14" x14ac:dyDescent="0.25">
      <c r="A2534" s="262">
        <v>48085</v>
      </c>
      <c r="B2534" s="262" t="s">
        <v>1641</v>
      </c>
      <c r="C2534" s="262" t="s">
        <v>1672</v>
      </c>
      <c r="D2534" s="262">
        <v>-96.571842500000002</v>
      </c>
      <c r="E2534" s="262">
        <v>33.190869999999997</v>
      </c>
      <c r="M2534" s="262">
        <v>16.60702186</v>
      </c>
      <c r="N2534" s="262">
        <v>16.60702186</v>
      </c>
    </row>
    <row r="2535" spans="1:14" x14ac:dyDescent="0.25">
      <c r="A2535" s="262">
        <v>48087</v>
      </c>
      <c r="B2535" s="262" t="s">
        <v>1641</v>
      </c>
      <c r="C2535" s="262" t="s">
        <v>1673</v>
      </c>
      <c r="D2535" s="262">
        <v>-100.272406</v>
      </c>
      <c r="E2535" s="262">
        <v>34.964060000000003</v>
      </c>
      <c r="M2535" s="262">
        <v>15.392494409999999</v>
      </c>
      <c r="N2535" s="262">
        <v>15.392494409999999</v>
      </c>
    </row>
    <row r="2536" spans="1:14" x14ac:dyDescent="0.25">
      <c r="A2536" s="262">
        <v>48089</v>
      </c>
      <c r="B2536" s="262" t="s">
        <v>1641</v>
      </c>
      <c r="C2536" s="262" t="s">
        <v>1674</v>
      </c>
      <c r="D2536" s="262">
        <v>-96.536396999999994</v>
      </c>
      <c r="E2536" s="262">
        <v>29.621390000000002</v>
      </c>
      <c r="M2536" s="262">
        <v>18.70214314</v>
      </c>
      <c r="N2536" s="262">
        <v>18.70214314</v>
      </c>
    </row>
    <row r="2537" spans="1:14" x14ac:dyDescent="0.25">
      <c r="A2537" s="262">
        <v>48091</v>
      </c>
      <c r="B2537" s="262" t="s">
        <v>1641</v>
      </c>
      <c r="C2537" s="262" t="s">
        <v>1675</v>
      </c>
      <c r="D2537" s="262">
        <v>-98.278176400000007</v>
      </c>
      <c r="E2537" s="262">
        <v>29.816400000000002</v>
      </c>
      <c r="M2537" s="262">
        <v>18.036075140000001</v>
      </c>
      <c r="N2537" s="262">
        <v>18.036075140000001</v>
      </c>
    </row>
    <row r="2538" spans="1:14" x14ac:dyDescent="0.25">
      <c r="A2538" s="262">
        <v>48093</v>
      </c>
      <c r="B2538" s="262" t="s">
        <v>1641</v>
      </c>
      <c r="C2538" s="262" t="s">
        <v>728</v>
      </c>
      <c r="D2538" s="262">
        <v>-98.547858099999999</v>
      </c>
      <c r="E2538" s="262">
        <v>31.95213</v>
      </c>
      <c r="M2538" s="262">
        <v>17.13298722</v>
      </c>
      <c r="N2538" s="262">
        <v>17.13298722</v>
      </c>
    </row>
    <row r="2539" spans="1:14" x14ac:dyDescent="0.25">
      <c r="A2539" s="262">
        <v>48095</v>
      </c>
      <c r="B2539" s="262" t="s">
        <v>1641</v>
      </c>
      <c r="C2539" s="262" t="s">
        <v>1676</v>
      </c>
      <c r="D2539" s="262">
        <v>-99.879902400000006</v>
      </c>
      <c r="E2539" s="262">
        <v>31.329560000000001</v>
      </c>
      <c r="M2539" s="262">
        <v>17.361248410000002</v>
      </c>
      <c r="N2539" s="262">
        <v>17.361248410000002</v>
      </c>
    </row>
    <row r="2540" spans="1:14" x14ac:dyDescent="0.25">
      <c r="A2540" s="262">
        <v>48097</v>
      </c>
      <c r="B2540" s="262" t="s">
        <v>1641</v>
      </c>
      <c r="C2540" s="262" t="s">
        <v>1677</v>
      </c>
      <c r="D2540" s="262">
        <v>-97.209230399999996</v>
      </c>
      <c r="E2540" s="262">
        <v>33.635739999999998</v>
      </c>
      <c r="M2540" s="262">
        <v>16.422342579999999</v>
      </c>
      <c r="N2540" s="262">
        <v>16.422342579999999</v>
      </c>
    </row>
    <row r="2541" spans="1:14" x14ac:dyDescent="0.25">
      <c r="A2541" s="262">
        <v>48099</v>
      </c>
      <c r="B2541" s="262" t="s">
        <v>1641</v>
      </c>
      <c r="C2541" s="262" t="s">
        <v>1678</v>
      </c>
      <c r="D2541" s="262">
        <v>-97.805556499999994</v>
      </c>
      <c r="E2541" s="262">
        <v>31.392749999999999</v>
      </c>
      <c r="M2541" s="262">
        <v>17.324689020000001</v>
      </c>
      <c r="N2541" s="262">
        <v>17.324689020000001</v>
      </c>
    </row>
    <row r="2542" spans="1:14" x14ac:dyDescent="0.25">
      <c r="A2542" s="262">
        <v>48101</v>
      </c>
      <c r="B2542" s="262" t="s">
        <v>1641</v>
      </c>
      <c r="C2542" s="262" t="s">
        <v>1679</v>
      </c>
      <c r="D2542" s="262">
        <v>-100.271049</v>
      </c>
      <c r="E2542" s="262">
        <v>34.080039999999997</v>
      </c>
      <c r="M2542" s="262">
        <v>15.963481829999999</v>
      </c>
      <c r="N2542" s="262">
        <v>15.963481829999999</v>
      </c>
    </row>
    <row r="2543" spans="1:14" x14ac:dyDescent="0.25">
      <c r="A2543" s="262">
        <v>48103</v>
      </c>
      <c r="B2543" s="262" t="s">
        <v>1641</v>
      </c>
      <c r="C2543" s="262" t="s">
        <v>1680</v>
      </c>
      <c r="D2543" s="262">
        <v>-102.51971500000001</v>
      </c>
      <c r="E2543" s="262">
        <v>31.427209999999999</v>
      </c>
      <c r="M2543" s="262">
        <v>17.204439399999998</v>
      </c>
      <c r="N2543" s="262">
        <v>17.204439399999998</v>
      </c>
    </row>
    <row r="2544" spans="1:14" x14ac:dyDescent="0.25">
      <c r="A2544" s="262">
        <v>48105</v>
      </c>
      <c r="B2544" s="262" t="s">
        <v>1641</v>
      </c>
      <c r="C2544" s="262" t="s">
        <v>1619</v>
      </c>
      <c r="D2544" s="262">
        <v>-101.41217899999999</v>
      </c>
      <c r="E2544" s="262">
        <v>30.70524</v>
      </c>
      <c r="M2544" s="262">
        <v>17.487041699999999</v>
      </c>
      <c r="N2544" s="262">
        <v>17.487041699999999</v>
      </c>
    </row>
    <row r="2545" spans="1:14" x14ac:dyDescent="0.25">
      <c r="A2545" s="262">
        <v>48107</v>
      </c>
      <c r="B2545" s="262" t="s">
        <v>1641</v>
      </c>
      <c r="C2545" s="262" t="s">
        <v>1681</v>
      </c>
      <c r="D2545" s="262">
        <v>-101.28548000000001</v>
      </c>
      <c r="E2545" s="262">
        <v>33.61074</v>
      </c>
      <c r="M2545" s="262">
        <v>16.11643432</v>
      </c>
      <c r="N2545" s="262">
        <v>16.11643432</v>
      </c>
    </row>
    <row r="2546" spans="1:14" x14ac:dyDescent="0.25">
      <c r="A2546" s="262">
        <v>48109</v>
      </c>
      <c r="B2546" s="262" t="s">
        <v>1641</v>
      </c>
      <c r="C2546" s="262" t="s">
        <v>1682</v>
      </c>
      <c r="D2546" s="262">
        <v>-104.51624099999999</v>
      </c>
      <c r="E2546" s="262">
        <v>31.438099999999999</v>
      </c>
      <c r="M2546" s="262">
        <v>16.953903910000001</v>
      </c>
      <c r="N2546" s="262">
        <v>16.953903910000001</v>
      </c>
    </row>
    <row r="2547" spans="1:14" x14ac:dyDescent="0.25">
      <c r="A2547" s="262">
        <v>48111</v>
      </c>
      <c r="B2547" s="262" t="s">
        <v>1641</v>
      </c>
      <c r="C2547" s="262" t="s">
        <v>1683</v>
      </c>
      <c r="D2547" s="262">
        <v>-102.603768</v>
      </c>
      <c r="E2547" s="262">
        <v>36.268320000000003</v>
      </c>
      <c r="M2547" s="262">
        <v>13.71305855</v>
      </c>
      <c r="N2547" s="262">
        <v>13.71305855</v>
      </c>
    </row>
    <row r="2548" spans="1:14" x14ac:dyDescent="0.25">
      <c r="A2548" s="262">
        <v>48113</v>
      </c>
      <c r="B2548" s="262" t="s">
        <v>1641</v>
      </c>
      <c r="C2548" s="262" t="s">
        <v>136</v>
      </c>
      <c r="D2548" s="262">
        <v>-96.779460900000004</v>
      </c>
      <c r="E2548" s="262">
        <v>32.767429999999997</v>
      </c>
      <c r="M2548" s="262">
        <v>16.81189621</v>
      </c>
      <c r="N2548" s="262">
        <v>16.81189621</v>
      </c>
    </row>
    <row r="2549" spans="1:14" x14ac:dyDescent="0.25">
      <c r="A2549" s="262">
        <v>48115</v>
      </c>
      <c r="B2549" s="262" t="s">
        <v>1641</v>
      </c>
      <c r="C2549" s="262" t="s">
        <v>463</v>
      </c>
      <c r="D2549" s="262">
        <v>-101.955218</v>
      </c>
      <c r="E2549" s="262">
        <v>32.74024</v>
      </c>
      <c r="M2549" s="262">
        <v>16.600957489999999</v>
      </c>
      <c r="N2549" s="262">
        <v>16.600957489999999</v>
      </c>
    </row>
    <row r="2550" spans="1:14" x14ac:dyDescent="0.25">
      <c r="A2550" s="262">
        <v>48117</v>
      </c>
      <c r="B2550" s="262" t="s">
        <v>1641</v>
      </c>
      <c r="C2550" s="262" t="s">
        <v>1684</v>
      </c>
      <c r="D2550" s="262">
        <v>-102.607259</v>
      </c>
      <c r="E2550" s="262">
        <v>34.959290000000003</v>
      </c>
      <c r="M2550" s="262">
        <v>15.157437789999999</v>
      </c>
      <c r="N2550" s="262">
        <v>15.157437789999999</v>
      </c>
    </row>
    <row r="2551" spans="1:14" x14ac:dyDescent="0.25">
      <c r="A2551" s="262">
        <v>48119</v>
      </c>
      <c r="B2551" s="262" t="s">
        <v>1641</v>
      </c>
      <c r="C2551" s="262" t="s">
        <v>327</v>
      </c>
      <c r="D2551" s="262">
        <v>-95.676794700000002</v>
      </c>
      <c r="E2551" s="262">
        <v>33.41601</v>
      </c>
      <c r="M2551" s="262">
        <v>16.473928180000001</v>
      </c>
      <c r="N2551" s="262">
        <v>16.473928180000001</v>
      </c>
    </row>
    <row r="2552" spans="1:14" x14ac:dyDescent="0.25">
      <c r="A2552" s="262">
        <v>48121</v>
      </c>
      <c r="B2552" s="262" t="s">
        <v>1641</v>
      </c>
      <c r="C2552" s="262" t="s">
        <v>1685</v>
      </c>
      <c r="D2552" s="262">
        <v>-97.117621799999995</v>
      </c>
      <c r="E2552" s="262">
        <v>33.203569999999999</v>
      </c>
      <c r="M2552" s="262">
        <v>16.62939579</v>
      </c>
      <c r="N2552" s="262">
        <v>16.62939579</v>
      </c>
    </row>
    <row r="2553" spans="1:14" x14ac:dyDescent="0.25">
      <c r="A2553" s="262">
        <v>48123</v>
      </c>
      <c r="B2553" s="262" t="s">
        <v>1641</v>
      </c>
      <c r="C2553" s="262" t="s">
        <v>1686</v>
      </c>
      <c r="D2553" s="262">
        <v>-97.360592800000006</v>
      </c>
      <c r="E2553" s="262">
        <v>29.074860000000001</v>
      </c>
      <c r="M2553" s="262">
        <v>18.547662150000001</v>
      </c>
      <c r="N2553" s="262">
        <v>18.547662150000001</v>
      </c>
    </row>
    <row r="2554" spans="1:14" x14ac:dyDescent="0.25">
      <c r="A2554" s="262">
        <v>48125</v>
      </c>
      <c r="B2554" s="262" t="s">
        <v>1641</v>
      </c>
      <c r="C2554" s="262" t="s">
        <v>1687</v>
      </c>
      <c r="D2554" s="262">
        <v>-100.76555</v>
      </c>
      <c r="E2554" s="262">
        <v>33.611980000000003</v>
      </c>
      <c r="M2554" s="262">
        <v>16.170929109999999</v>
      </c>
      <c r="N2554" s="262">
        <v>16.170929109999999</v>
      </c>
    </row>
    <row r="2555" spans="1:14" x14ac:dyDescent="0.25">
      <c r="A2555" s="262">
        <v>48127</v>
      </c>
      <c r="B2555" s="262" t="s">
        <v>1641</v>
      </c>
      <c r="C2555" s="262" t="s">
        <v>1688</v>
      </c>
      <c r="D2555" s="262">
        <v>-99.761214300000006</v>
      </c>
      <c r="E2555" s="262">
        <v>28.420439999999999</v>
      </c>
      <c r="M2555" s="262">
        <v>18.050976980000002</v>
      </c>
      <c r="N2555" s="262">
        <v>18.050976980000002</v>
      </c>
    </row>
    <row r="2556" spans="1:14" x14ac:dyDescent="0.25">
      <c r="A2556" s="262">
        <v>48129</v>
      </c>
      <c r="B2556" s="262" t="s">
        <v>1641</v>
      </c>
      <c r="C2556" s="262" t="s">
        <v>1689</v>
      </c>
      <c r="D2556" s="262">
        <v>-100.811924</v>
      </c>
      <c r="E2556" s="262">
        <v>34.964750000000002</v>
      </c>
      <c r="M2556" s="262">
        <v>15.280304299999999</v>
      </c>
      <c r="N2556" s="262">
        <v>15.280304299999999</v>
      </c>
    </row>
    <row r="2557" spans="1:14" x14ac:dyDescent="0.25">
      <c r="A2557" s="262">
        <v>48131</v>
      </c>
      <c r="B2557" s="262" t="s">
        <v>1641</v>
      </c>
      <c r="C2557" s="262" t="s">
        <v>394</v>
      </c>
      <c r="D2557" s="262">
        <v>-98.5149282</v>
      </c>
      <c r="E2557" s="262">
        <v>27.6813</v>
      </c>
      <c r="M2557" s="262">
        <v>18.378753830000001</v>
      </c>
      <c r="N2557" s="262">
        <v>18.378753830000001</v>
      </c>
    </row>
    <row r="2558" spans="1:14" x14ac:dyDescent="0.25">
      <c r="A2558" s="262">
        <v>48133</v>
      </c>
      <c r="B2558" s="262" t="s">
        <v>1641</v>
      </c>
      <c r="C2558" s="262" t="s">
        <v>1690</v>
      </c>
      <c r="D2558" s="262">
        <v>-98.827671800000005</v>
      </c>
      <c r="E2558" s="262">
        <v>32.328919999999997</v>
      </c>
      <c r="M2558" s="262">
        <v>16.981518999999999</v>
      </c>
      <c r="N2558" s="262">
        <v>16.981518999999999</v>
      </c>
    </row>
    <row r="2559" spans="1:14" x14ac:dyDescent="0.25">
      <c r="A2559" s="262">
        <v>48135</v>
      </c>
      <c r="B2559" s="262" t="s">
        <v>1641</v>
      </c>
      <c r="C2559" s="262" t="s">
        <v>1691</v>
      </c>
      <c r="D2559" s="262">
        <v>-102.54879699999999</v>
      </c>
      <c r="E2559" s="262">
        <v>31.864049999999999</v>
      </c>
      <c r="M2559" s="262">
        <v>17.014155250000002</v>
      </c>
      <c r="N2559" s="262">
        <v>17.014155250000002</v>
      </c>
    </row>
    <row r="2560" spans="1:14" x14ac:dyDescent="0.25">
      <c r="A2560" s="262">
        <v>48137</v>
      </c>
      <c r="B2560" s="262" t="s">
        <v>1641</v>
      </c>
      <c r="C2560" s="262" t="s">
        <v>589</v>
      </c>
      <c r="D2560" s="262">
        <v>-100.314026</v>
      </c>
      <c r="E2560" s="262">
        <v>29.95908</v>
      </c>
      <c r="M2560" s="262">
        <v>17.73858779</v>
      </c>
      <c r="N2560" s="262">
        <v>17.73858779</v>
      </c>
    </row>
    <row r="2561" spans="1:14" x14ac:dyDescent="0.25">
      <c r="A2561" s="262">
        <v>48139</v>
      </c>
      <c r="B2561" s="262" t="s">
        <v>1641</v>
      </c>
      <c r="C2561" s="262" t="s">
        <v>732</v>
      </c>
      <c r="D2561" s="262">
        <v>-96.796694799999997</v>
      </c>
      <c r="E2561" s="262">
        <v>32.347679999999997</v>
      </c>
      <c r="M2561" s="262">
        <v>16.990397399999999</v>
      </c>
      <c r="N2561" s="262">
        <v>16.990397399999999</v>
      </c>
    </row>
    <row r="2562" spans="1:14" x14ac:dyDescent="0.25">
      <c r="A2562" s="262">
        <v>48141</v>
      </c>
      <c r="B2562" s="262" t="s">
        <v>1641</v>
      </c>
      <c r="C2562" s="262" t="s">
        <v>333</v>
      </c>
      <c r="D2562" s="262">
        <v>-106.235056</v>
      </c>
      <c r="E2562" s="262">
        <v>31.758150000000001</v>
      </c>
      <c r="M2562" s="262">
        <v>16.878596179999999</v>
      </c>
      <c r="N2562" s="262">
        <v>16.878596179999999</v>
      </c>
    </row>
    <row r="2563" spans="1:14" x14ac:dyDescent="0.25">
      <c r="A2563" s="262">
        <v>48143</v>
      </c>
      <c r="B2563" s="262" t="s">
        <v>1641</v>
      </c>
      <c r="C2563" s="262" t="s">
        <v>1692</v>
      </c>
      <c r="D2563" s="262">
        <v>-98.206411700000004</v>
      </c>
      <c r="E2563" s="262">
        <v>32.240780000000001</v>
      </c>
      <c r="M2563" s="262">
        <v>17.033046070000001</v>
      </c>
      <c r="N2563" s="262">
        <v>17.033046070000001</v>
      </c>
    </row>
    <row r="2564" spans="1:14" x14ac:dyDescent="0.25">
      <c r="A2564" s="262">
        <v>48145</v>
      </c>
      <c r="B2564" s="262" t="s">
        <v>1641</v>
      </c>
      <c r="C2564" s="262" t="s">
        <v>1693</v>
      </c>
      <c r="D2564" s="262">
        <v>-96.933721599999998</v>
      </c>
      <c r="E2564" s="262">
        <v>31.252800000000001</v>
      </c>
      <c r="M2564" s="262">
        <v>17.432096489999999</v>
      </c>
      <c r="N2564" s="262">
        <v>17.432096489999999</v>
      </c>
    </row>
    <row r="2565" spans="1:14" x14ac:dyDescent="0.25">
      <c r="A2565" s="262">
        <v>48147</v>
      </c>
      <c r="B2565" s="262" t="s">
        <v>1641</v>
      </c>
      <c r="C2565" s="262" t="s">
        <v>473</v>
      </c>
      <c r="D2565" s="262">
        <v>-96.111080799999996</v>
      </c>
      <c r="E2565" s="262">
        <v>33.596780000000003</v>
      </c>
      <c r="M2565" s="262">
        <v>16.388316499999998</v>
      </c>
      <c r="N2565" s="262">
        <v>16.388316499999998</v>
      </c>
    </row>
    <row r="2566" spans="1:14" x14ac:dyDescent="0.25">
      <c r="A2566" s="262">
        <v>48149</v>
      </c>
      <c r="B2566" s="262" t="s">
        <v>1641</v>
      </c>
      <c r="C2566" s="262" t="s">
        <v>141</v>
      </c>
      <c r="D2566" s="262">
        <v>-96.915582099999995</v>
      </c>
      <c r="E2566" s="262">
        <v>29.882860000000001</v>
      </c>
      <c r="M2566" s="262">
        <v>18.38222386</v>
      </c>
      <c r="N2566" s="262">
        <v>18.38222386</v>
      </c>
    </row>
    <row r="2567" spans="1:14" x14ac:dyDescent="0.25">
      <c r="A2567" s="262">
        <v>48151</v>
      </c>
      <c r="B2567" s="262" t="s">
        <v>1641</v>
      </c>
      <c r="C2567" s="262" t="s">
        <v>1694</v>
      </c>
      <c r="D2567" s="262">
        <v>-100.401043</v>
      </c>
      <c r="E2567" s="262">
        <v>32.738999999999997</v>
      </c>
      <c r="M2567" s="262">
        <v>16.699053580000001</v>
      </c>
      <c r="N2567" s="262">
        <v>16.699053580000001</v>
      </c>
    </row>
    <row r="2568" spans="1:14" x14ac:dyDescent="0.25">
      <c r="A2568" s="262">
        <v>48153</v>
      </c>
      <c r="B2568" s="262" t="s">
        <v>1641</v>
      </c>
      <c r="C2568" s="262" t="s">
        <v>474</v>
      </c>
      <c r="D2568" s="262">
        <v>-101.293736</v>
      </c>
      <c r="E2568" s="262">
        <v>34.072360000000003</v>
      </c>
      <c r="M2568" s="262">
        <v>15.83569999</v>
      </c>
      <c r="N2568" s="262">
        <v>15.83569999</v>
      </c>
    </row>
    <row r="2569" spans="1:14" x14ac:dyDescent="0.25">
      <c r="A2569" s="262">
        <v>48155</v>
      </c>
      <c r="B2569" s="262" t="s">
        <v>1641</v>
      </c>
      <c r="C2569" s="262" t="s">
        <v>1695</v>
      </c>
      <c r="D2569" s="262">
        <v>-99.770889699999998</v>
      </c>
      <c r="E2569" s="262">
        <v>33.983919999999998</v>
      </c>
      <c r="M2569" s="262">
        <v>16.096283769999999</v>
      </c>
      <c r="N2569" s="262">
        <v>16.096283769999999</v>
      </c>
    </row>
    <row r="2570" spans="1:14" x14ac:dyDescent="0.25">
      <c r="A2570" s="262">
        <v>48157</v>
      </c>
      <c r="B2570" s="262" t="s">
        <v>1641</v>
      </c>
      <c r="C2570" s="262" t="s">
        <v>1696</v>
      </c>
      <c r="D2570" s="262">
        <v>-95.783379199999999</v>
      </c>
      <c r="E2570" s="262">
        <v>29.53593</v>
      </c>
      <c r="M2570" s="262">
        <v>19.193781040000001</v>
      </c>
      <c r="N2570" s="262">
        <v>19.193781040000001</v>
      </c>
    </row>
    <row r="2571" spans="1:14" x14ac:dyDescent="0.25">
      <c r="A2571" s="262">
        <v>48159</v>
      </c>
      <c r="B2571" s="262" t="s">
        <v>1641</v>
      </c>
      <c r="C2571" s="262" t="s">
        <v>142</v>
      </c>
      <c r="D2571" s="262">
        <v>-95.223505700000004</v>
      </c>
      <c r="E2571" s="262">
        <v>33.1965</v>
      </c>
      <c r="M2571" s="262">
        <v>16.577104349999999</v>
      </c>
      <c r="N2571" s="262">
        <v>16.577104349999999</v>
      </c>
    </row>
    <row r="2572" spans="1:14" x14ac:dyDescent="0.25">
      <c r="A2572" s="262">
        <v>48161</v>
      </c>
      <c r="B2572" s="262" t="s">
        <v>1641</v>
      </c>
      <c r="C2572" s="262" t="s">
        <v>1697</v>
      </c>
      <c r="D2572" s="262">
        <v>-96.154280999999997</v>
      </c>
      <c r="E2572" s="262">
        <v>31.71576</v>
      </c>
      <c r="M2572" s="262">
        <v>17.36467549</v>
      </c>
      <c r="N2572" s="262">
        <v>17.36467549</v>
      </c>
    </row>
    <row r="2573" spans="1:14" x14ac:dyDescent="0.25">
      <c r="A2573" s="262">
        <v>48163</v>
      </c>
      <c r="B2573" s="262" t="s">
        <v>1641</v>
      </c>
      <c r="C2573" s="262" t="s">
        <v>1698</v>
      </c>
      <c r="D2573" s="262">
        <v>-99.113105599999997</v>
      </c>
      <c r="E2573" s="262">
        <v>28.86561</v>
      </c>
      <c r="M2573" s="262">
        <v>18.123754720000001</v>
      </c>
      <c r="N2573" s="262">
        <v>18.123754720000001</v>
      </c>
    </row>
    <row r="2574" spans="1:14" x14ac:dyDescent="0.25">
      <c r="A2574" s="262">
        <v>48165</v>
      </c>
      <c r="B2574" s="262" t="s">
        <v>1641</v>
      </c>
      <c r="C2574" s="262" t="s">
        <v>1699</v>
      </c>
      <c r="D2574" s="262">
        <v>-102.640978</v>
      </c>
      <c r="E2574" s="262">
        <v>32.734099999999998</v>
      </c>
      <c r="M2574" s="262">
        <v>16.545803620000001</v>
      </c>
      <c r="N2574" s="262">
        <v>16.545803620000001</v>
      </c>
    </row>
    <row r="2575" spans="1:14" x14ac:dyDescent="0.25">
      <c r="A2575" s="262">
        <v>48167</v>
      </c>
      <c r="B2575" s="262" t="s">
        <v>1641</v>
      </c>
      <c r="C2575" s="262" t="s">
        <v>1700</v>
      </c>
      <c r="D2575" s="262">
        <v>-95.066524799999996</v>
      </c>
      <c r="E2575" s="262">
        <v>29.423410000000001</v>
      </c>
      <c r="M2575" s="262">
        <v>19.552635160000001</v>
      </c>
      <c r="N2575" s="262">
        <v>19.552635160000001</v>
      </c>
    </row>
    <row r="2576" spans="1:14" x14ac:dyDescent="0.25">
      <c r="A2576" s="262">
        <v>48169</v>
      </c>
      <c r="B2576" s="262" t="s">
        <v>1641</v>
      </c>
      <c r="C2576" s="262" t="s">
        <v>1701</v>
      </c>
      <c r="D2576" s="262">
        <v>-101.280652</v>
      </c>
      <c r="E2576" s="262">
        <v>33.170310000000001</v>
      </c>
      <c r="M2576" s="262">
        <v>16.387530139999999</v>
      </c>
      <c r="N2576" s="262">
        <v>16.387530139999999</v>
      </c>
    </row>
    <row r="2577" spans="1:14" x14ac:dyDescent="0.25">
      <c r="A2577" s="262">
        <v>48171</v>
      </c>
      <c r="B2577" s="262" t="s">
        <v>1641</v>
      </c>
      <c r="C2577" s="262" t="s">
        <v>1702</v>
      </c>
      <c r="D2577" s="262">
        <v>-98.937327300000007</v>
      </c>
      <c r="E2577" s="262">
        <v>30.30097</v>
      </c>
      <c r="M2577" s="262">
        <v>17.769493369999999</v>
      </c>
      <c r="N2577" s="262">
        <v>17.769493369999999</v>
      </c>
    </row>
    <row r="2578" spans="1:14" x14ac:dyDescent="0.25">
      <c r="A2578" s="262">
        <v>48173</v>
      </c>
      <c r="B2578" s="262" t="s">
        <v>1641</v>
      </c>
      <c r="C2578" s="262" t="s">
        <v>1703</v>
      </c>
      <c r="D2578" s="262">
        <v>-101.515199</v>
      </c>
      <c r="E2578" s="262">
        <v>31.863620000000001</v>
      </c>
      <c r="M2578" s="262">
        <v>17.091851779999999</v>
      </c>
      <c r="N2578" s="262">
        <v>17.091851779999999</v>
      </c>
    </row>
    <row r="2579" spans="1:14" x14ac:dyDescent="0.25">
      <c r="A2579" s="262">
        <v>48175</v>
      </c>
      <c r="B2579" s="262" t="s">
        <v>1641</v>
      </c>
      <c r="C2579" s="262" t="s">
        <v>1704</v>
      </c>
      <c r="D2579" s="262">
        <v>-97.427605099999994</v>
      </c>
      <c r="E2579" s="262">
        <v>28.657319999999999</v>
      </c>
      <c r="M2579" s="262">
        <v>18.621318809999998</v>
      </c>
      <c r="N2579" s="262">
        <v>18.621318809999998</v>
      </c>
    </row>
    <row r="2580" spans="1:14" x14ac:dyDescent="0.25">
      <c r="A2580" s="262">
        <v>48177</v>
      </c>
      <c r="B2580" s="262" t="s">
        <v>1641</v>
      </c>
      <c r="C2580" s="262" t="s">
        <v>1705</v>
      </c>
      <c r="D2580" s="262">
        <v>-97.498001900000006</v>
      </c>
      <c r="E2580" s="262">
        <v>29.45523</v>
      </c>
      <c r="M2580" s="262">
        <v>18.367471680000001</v>
      </c>
      <c r="N2580" s="262">
        <v>18.367471680000001</v>
      </c>
    </row>
    <row r="2581" spans="1:14" x14ac:dyDescent="0.25">
      <c r="A2581" s="262">
        <v>48179</v>
      </c>
      <c r="B2581" s="262" t="s">
        <v>1641</v>
      </c>
      <c r="C2581" s="262" t="s">
        <v>737</v>
      </c>
      <c r="D2581" s="262">
        <v>-100.809059</v>
      </c>
      <c r="E2581" s="262">
        <v>35.397329999999997</v>
      </c>
      <c r="M2581" s="262">
        <v>14.998802299999999</v>
      </c>
      <c r="N2581" s="262">
        <v>14.998802299999999</v>
      </c>
    </row>
    <row r="2582" spans="1:14" x14ac:dyDescent="0.25">
      <c r="A2582" s="262">
        <v>48181</v>
      </c>
      <c r="B2582" s="262" t="s">
        <v>1641</v>
      </c>
      <c r="C2582" s="262" t="s">
        <v>809</v>
      </c>
      <c r="D2582" s="262">
        <v>-96.683077999999995</v>
      </c>
      <c r="E2582" s="262">
        <v>33.626379999999997</v>
      </c>
      <c r="M2582" s="262">
        <v>16.386214389999999</v>
      </c>
      <c r="N2582" s="262">
        <v>16.386214389999999</v>
      </c>
    </row>
    <row r="2583" spans="1:14" x14ac:dyDescent="0.25">
      <c r="A2583" s="262">
        <v>48183</v>
      </c>
      <c r="B2583" s="262" t="s">
        <v>1641</v>
      </c>
      <c r="C2583" s="262" t="s">
        <v>1706</v>
      </c>
      <c r="D2583" s="262">
        <v>-94.824949099999998</v>
      </c>
      <c r="E2583" s="262">
        <v>32.50488</v>
      </c>
      <c r="M2583" s="262">
        <v>16.943721679999999</v>
      </c>
      <c r="N2583" s="262">
        <v>16.943721679999999</v>
      </c>
    </row>
    <row r="2584" spans="1:14" x14ac:dyDescent="0.25">
      <c r="A2584" s="262">
        <v>48185</v>
      </c>
      <c r="B2584" s="262" t="s">
        <v>1641</v>
      </c>
      <c r="C2584" s="262" t="s">
        <v>1707</v>
      </c>
      <c r="D2584" s="262">
        <v>-95.995474599999994</v>
      </c>
      <c r="E2584" s="262">
        <v>30.54419</v>
      </c>
      <c r="M2584" s="262">
        <v>18.305248519999999</v>
      </c>
      <c r="N2584" s="262">
        <v>18.305248519999999</v>
      </c>
    </row>
    <row r="2585" spans="1:14" x14ac:dyDescent="0.25">
      <c r="A2585" s="262">
        <v>48187</v>
      </c>
      <c r="B2585" s="262" t="s">
        <v>1641</v>
      </c>
      <c r="C2585" s="262" t="s">
        <v>1270</v>
      </c>
      <c r="D2585" s="262">
        <v>-97.954103399999994</v>
      </c>
      <c r="E2585" s="262">
        <v>29.587109999999999</v>
      </c>
      <c r="M2585" s="262">
        <v>18.193505529999999</v>
      </c>
      <c r="N2585" s="262">
        <v>18.193505529999999</v>
      </c>
    </row>
    <row r="2586" spans="1:14" x14ac:dyDescent="0.25">
      <c r="A2586" s="262">
        <v>48189</v>
      </c>
      <c r="B2586" s="262" t="s">
        <v>1641</v>
      </c>
      <c r="C2586" s="262" t="s">
        <v>145</v>
      </c>
      <c r="D2586" s="262">
        <v>-101.806905</v>
      </c>
      <c r="E2586" s="262">
        <v>34.069859999999998</v>
      </c>
      <c r="M2586" s="262">
        <v>15.80605989</v>
      </c>
      <c r="N2586" s="262">
        <v>15.80605989</v>
      </c>
    </row>
    <row r="2587" spans="1:14" x14ac:dyDescent="0.25">
      <c r="A2587" s="262">
        <v>48191</v>
      </c>
      <c r="B2587" s="262" t="s">
        <v>1641</v>
      </c>
      <c r="C2587" s="262" t="s">
        <v>483</v>
      </c>
      <c r="D2587" s="262">
        <v>-100.67935799999999</v>
      </c>
      <c r="E2587" s="262">
        <v>34.531390000000002</v>
      </c>
      <c r="M2587" s="262">
        <v>15.60992824</v>
      </c>
      <c r="N2587" s="262">
        <v>15.60992824</v>
      </c>
    </row>
    <row r="2588" spans="1:14" x14ac:dyDescent="0.25">
      <c r="A2588" s="262">
        <v>48193</v>
      </c>
      <c r="B2588" s="262" t="s">
        <v>1641</v>
      </c>
      <c r="C2588" s="262" t="s">
        <v>400</v>
      </c>
      <c r="D2588" s="262">
        <v>-98.123054100000004</v>
      </c>
      <c r="E2588" s="262">
        <v>31.700410000000002</v>
      </c>
      <c r="M2588" s="262">
        <v>17.21844703</v>
      </c>
      <c r="N2588" s="262">
        <v>17.21844703</v>
      </c>
    </row>
    <row r="2589" spans="1:14" x14ac:dyDescent="0.25">
      <c r="A2589" s="262">
        <v>48195</v>
      </c>
      <c r="B2589" s="262" t="s">
        <v>1641</v>
      </c>
      <c r="C2589" s="262" t="s">
        <v>1708</v>
      </c>
      <c r="D2589" s="262">
        <v>-101.351105</v>
      </c>
      <c r="E2589" s="262">
        <v>36.269660000000002</v>
      </c>
      <c r="M2589" s="262">
        <v>14.24388415</v>
      </c>
      <c r="N2589" s="262">
        <v>14.24388415</v>
      </c>
    </row>
    <row r="2590" spans="1:14" x14ac:dyDescent="0.25">
      <c r="A2590" s="262">
        <v>48197</v>
      </c>
      <c r="B2590" s="262" t="s">
        <v>1641</v>
      </c>
      <c r="C2590" s="262" t="s">
        <v>1626</v>
      </c>
      <c r="D2590" s="262">
        <v>-99.738526300000004</v>
      </c>
      <c r="E2590" s="262">
        <v>34.298690000000001</v>
      </c>
      <c r="M2590" s="262">
        <v>15.90844783</v>
      </c>
      <c r="N2590" s="262">
        <v>15.90844783</v>
      </c>
    </row>
    <row r="2591" spans="1:14" x14ac:dyDescent="0.25">
      <c r="A2591" s="262">
        <v>48199</v>
      </c>
      <c r="B2591" s="262" t="s">
        <v>1641</v>
      </c>
      <c r="C2591" s="262" t="s">
        <v>593</v>
      </c>
      <c r="D2591" s="262">
        <v>-94.3986716</v>
      </c>
      <c r="E2591" s="262">
        <v>30.347249999999999</v>
      </c>
      <c r="M2591" s="262">
        <v>18.679497269999999</v>
      </c>
      <c r="N2591" s="262">
        <v>18.679497269999999</v>
      </c>
    </row>
    <row r="2592" spans="1:14" x14ac:dyDescent="0.25">
      <c r="A2592" s="262">
        <v>48201</v>
      </c>
      <c r="B2592" s="262" t="s">
        <v>1641</v>
      </c>
      <c r="C2592" s="262" t="s">
        <v>486</v>
      </c>
      <c r="D2592" s="262">
        <v>-95.401056999999994</v>
      </c>
      <c r="E2592" s="262">
        <v>29.872170000000001</v>
      </c>
      <c r="M2592" s="262">
        <v>19.159970529999999</v>
      </c>
      <c r="N2592" s="262">
        <v>19.159970529999999</v>
      </c>
    </row>
    <row r="2593" spans="1:14" x14ac:dyDescent="0.25">
      <c r="A2593" s="262">
        <v>48203</v>
      </c>
      <c r="B2593" s="262" t="s">
        <v>1641</v>
      </c>
      <c r="C2593" s="262" t="s">
        <v>641</v>
      </c>
      <c r="D2593" s="262">
        <v>-94.380426999999997</v>
      </c>
      <c r="E2593" s="262">
        <v>32.57996</v>
      </c>
      <c r="M2593" s="262">
        <v>16.88756098</v>
      </c>
      <c r="N2593" s="262">
        <v>16.88756098</v>
      </c>
    </row>
    <row r="2594" spans="1:14" x14ac:dyDescent="0.25">
      <c r="A2594" s="262">
        <v>48205</v>
      </c>
      <c r="B2594" s="262" t="s">
        <v>1641</v>
      </c>
      <c r="C2594" s="262" t="s">
        <v>1709</v>
      </c>
      <c r="D2594" s="262">
        <v>-102.604321</v>
      </c>
      <c r="E2594" s="262">
        <v>35.831359999999997</v>
      </c>
      <c r="M2594" s="262">
        <v>14.24389545</v>
      </c>
      <c r="N2594" s="262">
        <v>14.24389545</v>
      </c>
    </row>
    <row r="2595" spans="1:14" x14ac:dyDescent="0.25">
      <c r="A2595" s="262">
        <v>48207</v>
      </c>
      <c r="B2595" s="262" t="s">
        <v>1641</v>
      </c>
      <c r="C2595" s="262" t="s">
        <v>742</v>
      </c>
      <c r="D2595" s="262">
        <v>-99.728803900000003</v>
      </c>
      <c r="E2595" s="262">
        <v>33.172820000000002</v>
      </c>
      <c r="M2595" s="262">
        <v>16.54637769</v>
      </c>
      <c r="N2595" s="262">
        <v>16.54637769</v>
      </c>
    </row>
    <row r="2596" spans="1:14" x14ac:dyDescent="0.25">
      <c r="A2596" s="262">
        <v>48209</v>
      </c>
      <c r="B2596" s="262" t="s">
        <v>1641</v>
      </c>
      <c r="C2596" s="262" t="s">
        <v>1710</v>
      </c>
      <c r="D2596" s="262">
        <v>-98.029509399999995</v>
      </c>
      <c r="E2596" s="262">
        <v>30.053450000000002</v>
      </c>
      <c r="M2596" s="262">
        <v>17.976263589999999</v>
      </c>
      <c r="N2596" s="262">
        <v>17.976263589999999</v>
      </c>
    </row>
    <row r="2597" spans="1:14" x14ac:dyDescent="0.25">
      <c r="A2597" s="262">
        <v>48211</v>
      </c>
      <c r="B2597" s="262" t="s">
        <v>1641</v>
      </c>
      <c r="C2597" s="262" t="s">
        <v>1711</v>
      </c>
      <c r="D2597" s="262">
        <v>-100.27278699999999</v>
      </c>
      <c r="E2597" s="262">
        <v>35.830719999999999</v>
      </c>
      <c r="M2597" s="262">
        <v>14.84762903</v>
      </c>
      <c r="N2597" s="262">
        <v>14.84762903</v>
      </c>
    </row>
    <row r="2598" spans="1:14" x14ac:dyDescent="0.25">
      <c r="A2598" s="262">
        <v>48213</v>
      </c>
      <c r="B2598" s="262" t="s">
        <v>1641</v>
      </c>
      <c r="C2598" s="262" t="s">
        <v>594</v>
      </c>
      <c r="D2598" s="262">
        <v>-95.865319999999997</v>
      </c>
      <c r="E2598" s="262">
        <v>32.228450000000002</v>
      </c>
      <c r="M2598" s="262">
        <v>17.092441529999999</v>
      </c>
      <c r="N2598" s="262">
        <v>17.092441529999999</v>
      </c>
    </row>
    <row r="2599" spans="1:14" x14ac:dyDescent="0.25">
      <c r="A2599" s="262">
        <v>48215</v>
      </c>
      <c r="B2599" s="262" t="s">
        <v>1641</v>
      </c>
      <c r="C2599" s="262" t="s">
        <v>1272</v>
      </c>
      <c r="D2599" s="262">
        <v>-98.186342100000005</v>
      </c>
      <c r="E2599" s="262">
        <v>26.40314</v>
      </c>
      <c r="M2599" s="262">
        <v>18.408847139999999</v>
      </c>
      <c r="N2599" s="262">
        <v>18.408847139999999</v>
      </c>
    </row>
    <row r="2600" spans="1:14" x14ac:dyDescent="0.25">
      <c r="A2600" s="262">
        <v>48217</v>
      </c>
      <c r="B2600" s="262" t="s">
        <v>1641</v>
      </c>
      <c r="C2600" s="262" t="s">
        <v>1166</v>
      </c>
      <c r="D2600" s="262">
        <v>-97.130030000000005</v>
      </c>
      <c r="E2600" s="262">
        <v>31.994009999999999</v>
      </c>
      <c r="M2600" s="262">
        <v>17.105267990000002</v>
      </c>
      <c r="N2600" s="262">
        <v>17.105267990000002</v>
      </c>
    </row>
    <row r="2601" spans="1:14" x14ac:dyDescent="0.25">
      <c r="A2601" s="262">
        <v>48219</v>
      </c>
      <c r="B2601" s="262" t="s">
        <v>1641</v>
      </c>
      <c r="C2601" s="262" t="s">
        <v>1712</v>
      </c>
      <c r="D2601" s="262">
        <v>-102.331113</v>
      </c>
      <c r="E2601" s="262">
        <v>33.612290000000002</v>
      </c>
      <c r="M2601" s="262">
        <v>16.062048269999998</v>
      </c>
      <c r="N2601" s="262">
        <v>16.062048269999998</v>
      </c>
    </row>
    <row r="2602" spans="1:14" x14ac:dyDescent="0.25">
      <c r="A2602" s="262">
        <v>48221</v>
      </c>
      <c r="B2602" s="262" t="s">
        <v>1641</v>
      </c>
      <c r="C2602" s="262" t="s">
        <v>1713</v>
      </c>
      <c r="D2602" s="262">
        <v>-97.827280599999995</v>
      </c>
      <c r="E2602" s="262">
        <v>32.433079999999997</v>
      </c>
      <c r="M2602" s="262">
        <v>16.96584622</v>
      </c>
      <c r="N2602" s="262">
        <v>16.96584622</v>
      </c>
    </row>
    <row r="2603" spans="1:14" x14ac:dyDescent="0.25">
      <c r="A2603" s="262">
        <v>48223</v>
      </c>
      <c r="B2603" s="262" t="s">
        <v>1641</v>
      </c>
      <c r="C2603" s="262" t="s">
        <v>814</v>
      </c>
      <c r="D2603" s="262">
        <v>-95.567048099999994</v>
      </c>
      <c r="E2603" s="262">
        <v>33.172829999999998</v>
      </c>
      <c r="M2603" s="262">
        <v>16.592563739999999</v>
      </c>
      <c r="N2603" s="262">
        <v>16.592563739999999</v>
      </c>
    </row>
    <row r="2604" spans="1:14" x14ac:dyDescent="0.25">
      <c r="A2604" s="262">
        <v>48225</v>
      </c>
      <c r="B2604" s="262" t="s">
        <v>1641</v>
      </c>
      <c r="C2604" s="262" t="s">
        <v>147</v>
      </c>
      <c r="D2604" s="262">
        <v>-95.4280957</v>
      </c>
      <c r="E2604" s="262">
        <v>31.33304</v>
      </c>
      <c r="M2604" s="262">
        <v>17.733948130000002</v>
      </c>
      <c r="N2604" s="262">
        <v>17.733948130000002</v>
      </c>
    </row>
    <row r="2605" spans="1:14" x14ac:dyDescent="0.25">
      <c r="A2605" s="262">
        <v>48227</v>
      </c>
      <c r="B2605" s="262" t="s">
        <v>1641</v>
      </c>
      <c r="C2605" s="262" t="s">
        <v>221</v>
      </c>
      <c r="D2605" s="262">
        <v>-101.442381</v>
      </c>
      <c r="E2605" s="262">
        <v>32.299630000000001</v>
      </c>
      <c r="M2605" s="262">
        <v>16.867743879999999</v>
      </c>
      <c r="N2605" s="262">
        <v>16.867743879999999</v>
      </c>
    </row>
    <row r="2606" spans="1:14" x14ac:dyDescent="0.25">
      <c r="A2606" s="262">
        <v>48229</v>
      </c>
      <c r="B2606" s="262" t="s">
        <v>1641</v>
      </c>
      <c r="C2606" s="262" t="s">
        <v>1714</v>
      </c>
      <c r="D2606" s="262">
        <v>-105.383814</v>
      </c>
      <c r="E2606" s="262">
        <v>31.443719999999999</v>
      </c>
      <c r="M2606" s="262">
        <v>16.959858279999999</v>
      </c>
      <c r="N2606" s="262">
        <v>16.959858279999999</v>
      </c>
    </row>
    <row r="2607" spans="1:14" x14ac:dyDescent="0.25">
      <c r="A2607" s="262">
        <v>48231</v>
      </c>
      <c r="B2607" s="262" t="s">
        <v>1641</v>
      </c>
      <c r="C2607" s="262" t="s">
        <v>1715</v>
      </c>
      <c r="D2607" s="262">
        <v>-96.083178500000002</v>
      </c>
      <c r="E2607" s="262">
        <v>33.1342</v>
      </c>
      <c r="M2607" s="262">
        <v>16.625869000000002</v>
      </c>
      <c r="N2607" s="262">
        <v>16.625869000000002</v>
      </c>
    </row>
    <row r="2608" spans="1:14" x14ac:dyDescent="0.25">
      <c r="A2608" s="262">
        <v>48233</v>
      </c>
      <c r="B2608" s="262" t="s">
        <v>1641</v>
      </c>
      <c r="C2608" s="262" t="s">
        <v>1596</v>
      </c>
      <c r="D2608" s="262">
        <v>-101.350506</v>
      </c>
      <c r="E2608" s="262">
        <v>35.833539999999999</v>
      </c>
      <c r="M2608" s="262">
        <v>14.57193927</v>
      </c>
      <c r="N2608" s="262">
        <v>14.57193927</v>
      </c>
    </row>
    <row r="2609" spans="1:14" x14ac:dyDescent="0.25">
      <c r="A2609" s="262">
        <v>48235</v>
      </c>
      <c r="B2609" s="262" t="s">
        <v>1641</v>
      </c>
      <c r="C2609" s="262" t="s">
        <v>1716</v>
      </c>
      <c r="D2609" s="262">
        <v>-100.98664599999999</v>
      </c>
      <c r="E2609" s="262">
        <v>31.29955</v>
      </c>
      <c r="M2609" s="262">
        <v>17.33169169</v>
      </c>
      <c r="N2609" s="262">
        <v>17.33169169</v>
      </c>
    </row>
    <row r="2610" spans="1:14" x14ac:dyDescent="0.25">
      <c r="A2610" s="262">
        <v>48237</v>
      </c>
      <c r="B2610" s="262" t="s">
        <v>1641</v>
      </c>
      <c r="C2610" s="262" t="s">
        <v>1717</v>
      </c>
      <c r="D2610" s="262">
        <v>-98.173350600000006</v>
      </c>
      <c r="E2610" s="262">
        <v>33.224899999999998</v>
      </c>
      <c r="M2610" s="262">
        <v>16.692661619999999</v>
      </c>
      <c r="N2610" s="262">
        <v>16.692661619999999</v>
      </c>
    </row>
    <row r="2611" spans="1:14" x14ac:dyDescent="0.25">
      <c r="A2611" s="262">
        <v>48239</v>
      </c>
      <c r="B2611" s="262" t="s">
        <v>1641</v>
      </c>
      <c r="C2611" s="262" t="s">
        <v>148</v>
      </c>
      <c r="D2611" s="262">
        <v>-96.575772799999996</v>
      </c>
      <c r="E2611" s="262">
        <v>28.930029999999999</v>
      </c>
      <c r="M2611" s="262">
        <v>18.918583550000001</v>
      </c>
      <c r="N2611" s="262">
        <v>18.918583550000001</v>
      </c>
    </row>
    <row r="2612" spans="1:14" x14ac:dyDescent="0.25">
      <c r="A2612" s="262">
        <v>48241</v>
      </c>
      <c r="B2612" s="262" t="s">
        <v>1641</v>
      </c>
      <c r="C2612" s="262" t="s">
        <v>490</v>
      </c>
      <c r="D2612" s="262">
        <v>-94.025648200000006</v>
      </c>
      <c r="E2612" s="262">
        <v>30.754169999999998</v>
      </c>
      <c r="M2612" s="262">
        <v>18.27657129</v>
      </c>
      <c r="N2612" s="262">
        <v>18.27657129</v>
      </c>
    </row>
    <row r="2613" spans="1:14" x14ac:dyDescent="0.25">
      <c r="A2613" s="262">
        <v>48243</v>
      </c>
      <c r="B2613" s="262" t="s">
        <v>1641</v>
      </c>
      <c r="C2613" s="262" t="s">
        <v>491</v>
      </c>
      <c r="D2613" s="262">
        <v>-104.141583</v>
      </c>
      <c r="E2613" s="262">
        <v>30.7012</v>
      </c>
      <c r="M2613" s="262">
        <v>17.256207289999999</v>
      </c>
      <c r="N2613" s="262">
        <v>17.256207289999999</v>
      </c>
    </row>
    <row r="2614" spans="1:14" x14ac:dyDescent="0.25">
      <c r="A2614" s="262">
        <v>48245</v>
      </c>
      <c r="B2614" s="262" t="s">
        <v>1641</v>
      </c>
      <c r="C2614" s="262" t="s">
        <v>149</v>
      </c>
      <c r="D2614" s="262">
        <v>-94.167768600000002</v>
      </c>
      <c r="E2614" s="262">
        <v>29.910689999999999</v>
      </c>
      <c r="M2614" s="262">
        <v>19.052340279999999</v>
      </c>
      <c r="N2614" s="262">
        <v>19.052340279999999</v>
      </c>
    </row>
    <row r="2615" spans="1:14" x14ac:dyDescent="0.25">
      <c r="A2615" s="262">
        <v>48247</v>
      </c>
      <c r="B2615" s="262" t="s">
        <v>1641</v>
      </c>
      <c r="C2615" s="262" t="s">
        <v>1718</v>
      </c>
      <c r="D2615" s="262">
        <v>-98.705933700000003</v>
      </c>
      <c r="E2615" s="262">
        <v>27.052779999999998</v>
      </c>
      <c r="M2615" s="262">
        <v>18.32278007</v>
      </c>
      <c r="N2615" s="262">
        <v>18.32278007</v>
      </c>
    </row>
    <row r="2616" spans="1:14" x14ac:dyDescent="0.25">
      <c r="A2616" s="262">
        <v>48249</v>
      </c>
      <c r="B2616" s="262" t="s">
        <v>1641</v>
      </c>
      <c r="C2616" s="262" t="s">
        <v>1719</v>
      </c>
      <c r="D2616" s="262">
        <v>-98.096047799999994</v>
      </c>
      <c r="E2616" s="262">
        <v>27.72683</v>
      </c>
      <c r="M2616" s="262">
        <v>18.492166510000001</v>
      </c>
      <c r="N2616" s="262">
        <v>18.492166510000001</v>
      </c>
    </row>
    <row r="2617" spans="1:14" x14ac:dyDescent="0.25">
      <c r="A2617" s="262">
        <v>48251</v>
      </c>
      <c r="B2617" s="262" t="s">
        <v>1641</v>
      </c>
      <c r="C2617" s="262" t="s">
        <v>224</v>
      </c>
      <c r="D2617" s="262">
        <v>-97.370309700000007</v>
      </c>
      <c r="E2617" s="262">
        <v>32.377949999999998</v>
      </c>
      <c r="M2617" s="262">
        <v>16.983606049999999</v>
      </c>
      <c r="N2617" s="262">
        <v>16.983606049999999</v>
      </c>
    </row>
    <row r="2618" spans="1:14" x14ac:dyDescent="0.25">
      <c r="A2618" s="262">
        <v>48253</v>
      </c>
      <c r="B2618" s="262" t="s">
        <v>1641</v>
      </c>
      <c r="C2618" s="262" t="s">
        <v>493</v>
      </c>
      <c r="D2618" s="262">
        <v>-99.886844199999999</v>
      </c>
      <c r="E2618" s="262">
        <v>32.741050000000001</v>
      </c>
      <c r="M2618" s="262">
        <v>16.7383296</v>
      </c>
      <c r="N2618" s="262">
        <v>16.7383296</v>
      </c>
    </row>
    <row r="2619" spans="1:14" x14ac:dyDescent="0.25">
      <c r="A2619" s="262">
        <v>48255</v>
      </c>
      <c r="B2619" s="262" t="s">
        <v>1641</v>
      </c>
      <c r="C2619" s="262" t="s">
        <v>1720</v>
      </c>
      <c r="D2619" s="262">
        <v>-97.859016999999994</v>
      </c>
      <c r="E2619" s="262">
        <v>28.90399</v>
      </c>
      <c r="M2619" s="262">
        <v>18.43005217</v>
      </c>
      <c r="N2619" s="262">
        <v>18.43005217</v>
      </c>
    </row>
    <row r="2620" spans="1:14" x14ac:dyDescent="0.25">
      <c r="A2620" s="262">
        <v>48257</v>
      </c>
      <c r="B2620" s="262" t="s">
        <v>1641</v>
      </c>
      <c r="C2620" s="262" t="s">
        <v>1721</v>
      </c>
      <c r="D2620" s="262">
        <v>-96.294595700000002</v>
      </c>
      <c r="E2620" s="262">
        <v>32.610669999999999</v>
      </c>
      <c r="M2620" s="262">
        <v>16.88107956</v>
      </c>
      <c r="N2620" s="262">
        <v>16.88107956</v>
      </c>
    </row>
    <row r="2621" spans="1:14" x14ac:dyDescent="0.25">
      <c r="A2621" s="262">
        <v>48259</v>
      </c>
      <c r="B2621" s="262" t="s">
        <v>1641</v>
      </c>
      <c r="C2621" s="262" t="s">
        <v>600</v>
      </c>
      <c r="D2621" s="262">
        <v>-98.711121199999994</v>
      </c>
      <c r="E2621" s="262">
        <v>29.926490000000001</v>
      </c>
      <c r="M2621" s="262">
        <v>17.926732399999999</v>
      </c>
      <c r="N2621" s="262">
        <v>17.926732399999999</v>
      </c>
    </row>
    <row r="2622" spans="1:14" x14ac:dyDescent="0.25">
      <c r="A2622" s="262">
        <v>48261</v>
      </c>
      <c r="B2622" s="262" t="s">
        <v>1641</v>
      </c>
      <c r="C2622" s="262" t="s">
        <v>1722</v>
      </c>
      <c r="D2622" s="262">
        <v>-97.747742400000007</v>
      </c>
      <c r="E2622" s="262">
        <v>26.93197</v>
      </c>
      <c r="M2622" s="262">
        <v>18.567897370000001</v>
      </c>
      <c r="N2622" s="262">
        <v>18.567897370000001</v>
      </c>
    </row>
    <row r="2623" spans="1:14" x14ac:dyDescent="0.25">
      <c r="A2623" s="262">
        <v>48263</v>
      </c>
      <c r="B2623" s="262" t="s">
        <v>1641</v>
      </c>
      <c r="C2623" s="262" t="s">
        <v>377</v>
      </c>
      <c r="D2623" s="262">
        <v>-100.764197</v>
      </c>
      <c r="E2623" s="262">
        <v>33.169580000000003</v>
      </c>
      <c r="M2623" s="262">
        <v>16.435471369999998</v>
      </c>
      <c r="N2623" s="262">
        <v>16.435471369999998</v>
      </c>
    </row>
    <row r="2624" spans="1:14" x14ac:dyDescent="0.25">
      <c r="A2624" s="262">
        <v>48265</v>
      </c>
      <c r="B2624" s="262" t="s">
        <v>1641</v>
      </c>
      <c r="C2624" s="262" t="s">
        <v>1723</v>
      </c>
      <c r="D2624" s="262">
        <v>-99.356415200000001</v>
      </c>
      <c r="E2624" s="262">
        <v>30.038879999999999</v>
      </c>
      <c r="M2624" s="262">
        <v>17.812581770000001</v>
      </c>
      <c r="N2624" s="262">
        <v>17.812581770000001</v>
      </c>
    </row>
    <row r="2625" spans="1:14" x14ac:dyDescent="0.25">
      <c r="A2625" s="262">
        <v>48267</v>
      </c>
      <c r="B2625" s="262" t="s">
        <v>1641</v>
      </c>
      <c r="C2625" s="262" t="s">
        <v>1724</v>
      </c>
      <c r="D2625" s="262">
        <v>-99.744237999999996</v>
      </c>
      <c r="E2625" s="262">
        <v>30.457930000000001</v>
      </c>
      <c r="M2625" s="262">
        <v>17.660368439999999</v>
      </c>
      <c r="N2625" s="262">
        <v>17.660368439999999</v>
      </c>
    </row>
    <row r="2626" spans="1:14" x14ac:dyDescent="0.25">
      <c r="A2626" s="262">
        <v>48269</v>
      </c>
      <c r="B2626" s="262" t="s">
        <v>1641</v>
      </c>
      <c r="C2626" s="262" t="s">
        <v>1725</v>
      </c>
      <c r="D2626" s="262">
        <v>-100.248261</v>
      </c>
      <c r="E2626" s="262">
        <v>33.610990000000001</v>
      </c>
      <c r="M2626" s="262">
        <v>16.235942189999999</v>
      </c>
      <c r="N2626" s="262">
        <v>16.235942189999999</v>
      </c>
    </row>
    <row r="2627" spans="1:14" x14ac:dyDescent="0.25">
      <c r="A2627" s="262">
        <v>48271</v>
      </c>
      <c r="B2627" s="262" t="s">
        <v>1641</v>
      </c>
      <c r="C2627" s="262" t="s">
        <v>1726</v>
      </c>
      <c r="D2627" s="262">
        <v>-100.42521499999999</v>
      </c>
      <c r="E2627" s="262">
        <v>29.338920000000002</v>
      </c>
      <c r="M2627" s="262">
        <v>17.835970140000001</v>
      </c>
      <c r="N2627" s="262">
        <v>17.835970140000001</v>
      </c>
    </row>
    <row r="2628" spans="1:14" x14ac:dyDescent="0.25">
      <c r="A2628" s="262">
        <v>48273</v>
      </c>
      <c r="B2628" s="262" t="s">
        <v>1641</v>
      </c>
      <c r="C2628" s="262" t="s">
        <v>1727</v>
      </c>
      <c r="D2628" s="262">
        <v>-97.766520299999996</v>
      </c>
      <c r="E2628" s="262">
        <v>27.44342</v>
      </c>
      <c r="M2628" s="262">
        <v>18.5900724</v>
      </c>
      <c r="N2628" s="262">
        <v>18.5900724</v>
      </c>
    </row>
    <row r="2629" spans="1:14" x14ac:dyDescent="0.25">
      <c r="A2629" s="262">
        <v>48275</v>
      </c>
      <c r="B2629" s="262" t="s">
        <v>1641</v>
      </c>
      <c r="C2629" s="262" t="s">
        <v>601</v>
      </c>
      <c r="D2629" s="262">
        <v>-99.737994200000003</v>
      </c>
      <c r="E2629" s="262">
        <v>33.600299999999997</v>
      </c>
      <c r="M2629" s="262">
        <v>16.315278259999999</v>
      </c>
      <c r="N2629" s="262">
        <v>16.315278259999999</v>
      </c>
    </row>
    <row r="2630" spans="1:14" x14ac:dyDescent="0.25">
      <c r="A2630" s="262">
        <v>48277</v>
      </c>
      <c r="B2630" s="262" t="s">
        <v>1641</v>
      </c>
      <c r="C2630" s="262" t="s">
        <v>150</v>
      </c>
      <c r="D2630" s="262">
        <v>-95.5744708</v>
      </c>
      <c r="E2630" s="262">
        <v>33.692320000000002</v>
      </c>
      <c r="M2630" s="262">
        <v>16.334479099999999</v>
      </c>
      <c r="N2630" s="262">
        <v>16.334479099999999</v>
      </c>
    </row>
    <row r="2631" spans="1:14" x14ac:dyDescent="0.25">
      <c r="A2631" s="262">
        <v>48279</v>
      </c>
      <c r="B2631" s="262" t="s">
        <v>1641</v>
      </c>
      <c r="C2631" s="262" t="s">
        <v>1728</v>
      </c>
      <c r="D2631" s="262">
        <v>-102.337971</v>
      </c>
      <c r="E2631" s="262">
        <v>34.066220000000001</v>
      </c>
      <c r="M2631" s="262">
        <v>15.79008436</v>
      </c>
      <c r="N2631" s="262">
        <v>15.79008436</v>
      </c>
    </row>
    <row r="2632" spans="1:14" x14ac:dyDescent="0.25">
      <c r="A2632" s="262">
        <v>48281</v>
      </c>
      <c r="B2632" s="262" t="s">
        <v>1641</v>
      </c>
      <c r="C2632" s="262" t="s">
        <v>1729</v>
      </c>
      <c r="D2632" s="262">
        <v>-98.247014399999998</v>
      </c>
      <c r="E2632" s="262">
        <v>31.19293</v>
      </c>
      <c r="M2632" s="262">
        <v>17.42143815</v>
      </c>
      <c r="N2632" s="262">
        <v>17.42143815</v>
      </c>
    </row>
    <row r="2633" spans="1:14" x14ac:dyDescent="0.25">
      <c r="A2633" s="262">
        <v>48283</v>
      </c>
      <c r="B2633" s="262" t="s">
        <v>1641</v>
      </c>
      <c r="C2633" s="262" t="s">
        <v>1730</v>
      </c>
      <c r="D2633" s="262">
        <v>-99.110720700000002</v>
      </c>
      <c r="E2633" s="262">
        <v>28.346609999999998</v>
      </c>
      <c r="M2633" s="262">
        <v>18.19012622</v>
      </c>
      <c r="N2633" s="262">
        <v>18.19012622</v>
      </c>
    </row>
    <row r="2634" spans="1:14" x14ac:dyDescent="0.25">
      <c r="A2634" s="262">
        <v>48285</v>
      </c>
      <c r="B2634" s="262" t="s">
        <v>1641</v>
      </c>
      <c r="C2634" s="262" t="s">
        <v>1731</v>
      </c>
      <c r="D2634" s="262">
        <v>-96.937363700000006</v>
      </c>
      <c r="E2634" s="262">
        <v>29.37481</v>
      </c>
      <c r="M2634" s="262">
        <v>18.60918058</v>
      </c>
      <c r="N2634" s="262">
        <v>18.60918058</v>
      </c>
    </row>
    <row r="2635" spans="1:14" x14ac:dyDescent="0.25">
      <c r="A2635" s="262">
        <v>48287</v>
      </c>
      <c r="B2635" s="262" t="s">
        <v>1641</v>
      </c>
      <c r="C2635" s="262" t="s">
        <v>153</v>
      </c>
      <c r="D2635" s="262">
        <v>-96.976191099999994</v>
      </c>
      <c r="E2635" s="262">
        <v>30.31213</v>
      </c>
      <c r="M2635" s="262">
        <v>18.091421350000001</v>
      </c>
      <c r="N2635" s="262">
        <v>18.091421350000001</v>
      </c>
    </row>
    <row r="2636" spans="1:14" x14ac:dyDescent="0.25">
      <c r="A2636" s="262">
        <v>48289</v>
      </c>
      <c r="B2636" s="262" t="s">
        <v>1641</v>
      </c>
      <c r="C2636" s="262" t="s">
        <v>408</v>
      </c>
      <c r="D2636" s="262">
        <v>-96.010004300000006</v>
      </c>
      <c r="E2636" s="262">
        <v>31.31015</v>
      </c>
      <c r="M2636" s="262">
        <v>17.66689281</v>
      </c>
      <c r="N2636" s="262">
        <v>17.66689281</v>
      </c>
    </row>
    <row r="2637" spans="1:14" x14ac:dyDescent="0.25">
      <c r="A2637" s="262">
        <v>48291</v>
      </c>
      <c r="B2637" s="262" t="s">
        <v>1641</v>
      </c>
      <c r="C2637" s="262" t="s">
        <v>410</v>
      </c>
      <c r="D2637" s="262">
        <v>-94.813887199999996</v>
      </c>
      <c r="E2637" s="262">
        <v>30.159130000000001</v>
      </c>
      <c r="M2637" s="262">
        <v>18.914210690000001</v>
      </c>
      <c r="N2637" s="262">
        <v>18.914210690000001</v>
      </c>
    </row>
    <row r="2638" spans="1:14" x14ac:dyDescent="0.25">
      <c r="A2638" s="262">
        <v>48293</v>
      </c>
      <c r="B2638" s="262" t="s">
        <v>1641</v>
      </c>
      <c r="C2638" s="262" t="s">
        <v>154</v>
      </c>
      <c r="D2638" s="262">
        <v>-96.579057800000001</v>
      </c>
      <c r="E2638" s="262">
        <v>31.54984</v>
      </c>
      <c r="M2638" s="262">
        <v>17.372495430000001</v>
      </c>
      <c r="N2638" s="262">
        <v>17.372495430000001</v>
      </c>
    </row>
    <row r="2639" spans="1:14" x14ac:dyDescent="0.25">
      <c r="A2639" s="262">
        <v>48295</v>
      </c>
      <c r="B2639" s="262" t="s">
        <v>1641</v>
      </c>
      <c r="C2639" s="262" t="s">
        <v>1732</v>
      </c>
      <c r="D2639" s="262">
        <v>-100.273342</v>
      </c>
      <c r="E2639" s="262">
        <v>36.268230000000003</v>
      </c>
      <c r="M2639" s="262">
        <v>14.57348768</v>
      </c>
      <c r="N2639" s="262">
        <v>14.57348768</v>
      </c>
    </row>
    <row r="2640" spans="1:14" x14ac:dyDescent="0.25">
      <c r="A2640" s="262">
        <v>48297</v>
      </c>
      <c r="B2640" s="262" t="s">
        <v>1641</v>
      </c>
      <c r="C2640" s="262" t="s">
        <v>1733</v>
      </c>
      <c r="D2640" s="262">
        <v>-98.128557900000004</v>
      </c>
      <c r="E2640" s="262">
        <v>28.34938</v>
      </c>
      <c r="M2640" s="262">
        <v>18.441652569999999</v>
      </c>
      <c r="N2640" s="262">
        <v>18.441652569999999</v>
      </c>
    </row>
    <row r="2641" spans="1:14" x14ac:dyDescent="0.25">
      <c r="A2641" s="262">
        <v>48299</v>
      </c>
      <c r="B2641" s="262" t="s">
        <v>1641</v>
      </c>
      <c r="C2641" s="262" t="s">
        <v>1734</v>
      </c>
      <c r="D2641" s="262">
        <v>-98.689973899999998</v>
      </c>
      <c r="E2641" s="262">
        <v>30.700589999999998</v>
      </c>
      <c r="M2641" s="262">
        <v>17.63154724</v>
      </c>
      <c r="N2641" s="262">
        <v>17.63154724</v>
      </c>
    </row>
    <row r="2642" spans="1:14" x14ac:dyDescent="0.25">
      <c r="A2642" s="262">
        <v>48301</v>
      </c>
      <c r="B2642" s="262" t="s">
        <v>1641</v>
      </c>
      <c r="C2642" s="262" t="s">
        <v>1735</v>
      </c>
      <c r="D2642" s="262">
        <v>-103.59324700000001</v>
      </c>
      <c r="E2642" s="262">
        <v>31.84891</v>
      </c>
      <c r="M2642" s="262">
        <v>16.857701219999999</v>
      </c>
      <c r="N2642" s="262">
        <v>16.857701219999999</v>
      </c>
    </row>
    <row r="2643" spans="1:14" x14ac:dyDescent="0.25">
      <c r="A2643" s="262">
        <v>48303</v>
      </c>
      <c r="B2643" s="262" t="s">
        <v>1641</v>
      </c>
      <c r="C2643" s="262" t="s">
        <v>1736</v>
      </c>
      <c r="D2643" s="262">
        <v>-101.802599</v>
      </c>
      <c r="E2643" s="262">
        <v>33.610300000000002</v>
      </c>
      <c r="M2643" s="262">
        <v>16.088056389999998</v>
      </c>
      <c r="N2643" s="262">
        <v>16.088056389999998</v>
      </c>
    </row>
    <row r="2644" spans="1:14" x14ac:dyDescent="0.25">
      <c r="A2644" s="262">
        <v>48305</v>
      </c>
      <c r="B2644" s="262" t="s">
        <v>1641</v>
      </c>
      <c r="C2644" s="262" t="s">
        <v>1737</v>
      </c>
      <c r="D2644" s="262">
        <v>-101.80349200000001</v>
      </c>
      <c r="E2644" s="262">
        <v>33.173470000000002</v>
      </c>
      <c r="M2644" s="262">
        <v>16.360874240000001</v>
      </c>
      <c r="N2644" s="262">
        <v>16.360874240000001</v>
      </c>
    </row>
    <row r="2645" spans="1:14" x14ac:dyDescent="0.25">
      <c r="A2645" s="262">
        <v>48307</v>
      </c>
      <c r="B2645" s="262" t="s">
        <v>1641</v>
      </c>
      <c r="C2645" s="262" t="s">
        <v>1738</v>
      </c>
      <c r="D2645" s="262">
        <v>-99.365763900000005</v>
      </c>
      <c r="E2645" s="262">
        <v>31.202110000000001</v>
      </c>
      <c r="M2645" s="262">
        <v>17.414534249999999</v>
      </c>
      <c r="N2645" s="262">
        <v>17.414534249999999</v>
      </c>
    </row>
    <row r="2646" spans="1:14" x14ac:dyDescent="0.25">
      <c r="A2646" s="262">
        <v>48309</v>
      </c>
      <c r="B2646" s="262" t="s">
        <v>1641</v>
      </c>
      <c r="C2646" s="262" t="s">
        <v>1739</v>
      </c>
      <c r="D2646" s="262">
        <v>-97.201685999999995</v>
      </c>
      <c r="E2646" s="262">
        <v>31.558070000000001</v>
      </c>
      <c r="M2646" s="262">
        <v>17.231683579999999</v>
      </c>
      <c r="N2646" s="262">
        <v>17.231683579999999</v>
      </c>
    </row>
    <row r="2647" spans="1:14" x14ac:dyDescent="0.25">
      <c r="A2647" s="262">
        <v>48311</v>
      </c>
      <c r="B2647" s="262" t="s">
        <v>1641</v>
      </c>
      <c r="C2647" s="262" t="s">
        <v>1740</v>
      </c>
      <c r="D2647" s="262">
        <v>-98.575924700000002</v>
      </c>
      <c r="E2647" s="262">
        <v>28.351369999999999</v>
      </c>
      <c r="M2647" s="262">
        <v>18.322044900000002</v>
      </c>
      <c r="N2647" s="262">
        <v>18.322044900000002</v>
      </c>
    </row>
    <row r="2648" spans="1:14" x14ac:dyDescent="0.25">
      <c r="A2648" s="262">
        <v>48313</v>
      </c>
      <c r="B2648" s="262" t="s">
        <v>1641</v>
      </c>
      <c r="C2648" s="262" t="s">
        <v>157</v>
      </c>
      <c r="D2648" s="262">
        <v>-95.942546800000002</v>
      </c>
      <c r="E2648" s="262">
        <v>30.97336</v>
      </c>
      <c r="M2648" s="262">
        <v>17.95094357</v>
      </c>
      <c r="N2648" s="262">
        <v>17.95094357</v>
      </c>
    </row>
    <row r="2649" spans="1:14" x14ac:dyDescent="0.25">
      <c r="A2649" s="262">
        <v>48315</v>
      </c>
      <c r="B2649" s="262" t="s">
        <v>1641</v>
      </c>
      <c r="C2649" s="262" t="s">
        <v>159</v>
      </c>
      <c r="D2649" s="262">
        <v>-94.368424700000006</v>
      </c>
      <c r="E2649" s="262">
        <v>32.827469999999998</v>
      </c>
      <c r="M2649" s="262">
        <v>16.753930690000001</v>
      </c>
      <c r="N2649" s="262">
        <v>16.753930690000001</v>
      </c>
    </row>
    <row r="2650" spans="1:14" x14ac:dyDescent="0.25">
      <c r="A2650" s="262">
        <v>48317</v>
      </c>
      <c r="B2650" s="262" t="s">
        <v>1641</v>
      </c>
      <c r="C2650" s="262" t="s">
        <v>412</v>
      </c>
      <c r="D2650" s="262">
        <v>-101.95415199999999</v>
      </c>
      <c r="E2650" s="262">
        <v>32.30133</v>
      </c>
      <c r="M2650" s="262">
        <v>16.840740589999999</v>
      </c>
      <c r="N2650" s="262">
        <v>16.840740589999999</v>
      </c>
    </row>
    <row r="2651" spans="1:14" x14ac:dyDescent="0.25">
      <c r="A2651" s="262">
        <v>48319</v>
      </c>
      <c r="B2651" s="262" t="s">
        <v>1641</v>
      </c>
      <c r="C2651" s="262" t="s">
        <v>608</v>
      </c>
      <c r="D2651" s="262">
        <v>-99.242290600000004</v>
      </c>
      <c r="E2651" s="262">
        <v>30.712890000000002</v>
      </c>
      <c r="M2651" s="262">
        <v>17.598947290000002</v>
      </c>
      <c r="N2651" s="262">
        <v>17.598947290000002</v>
      </c>
    </row>
    <row r="2652" spans="1:14" x14ac:dyDescent="0.25">
      <c r="A2652" s="262">
        <v>48321</v>
      </c>
      <c r="B2652" s="262" t="s">
        <v>1641</v>
      </c>
      <c r="C2652" s="262" t="s">
        <v>1741</v>
      </c>
      <c r="D2652" s="262">
        <v>-95.9962673</v>
      </c>
      <c r="E2652" s="262">
        <v>28.877140000000001</v>
      </c>
      <c r="M2652" s="262">
        <v>19.223991550000001</v>
      </c>
      <c r="N2652" s="262">
        <v>19.223991550000001</v>
      </c>
    </row>
    <row r="2653" spans="1:14" x14ac:dyDescent="0.25">
      <c r="A2653" s="262">
        <v>48323</v>
      </c>
      <c r="B2653" s="262" t="s">
        <v>1641</v>
      </c>
      <c r="C2653" s="262" t="s">
        <v>1742</v>
      </c>
      <c r="D2653" s="262">
        <v>-100.322906</v>
      </c>
      <c r="E2653" s="262">
        <v>28.734529999999999</v>
      </c>
      <c r="M2653" s="262">
        <v>17.92324434</v>
      </c>
      <c r="N2653" s="262">
        <v>17.92324434</v>
      </c>
    </row>
    <row r="2654" spans="1:14" x14ac:dyDescent="0.25">
      <c r="A2654" s="262">
        <v>48325</v>
      </c>
      <c r="B2654" s="262" t="s">
        <v>1641</v>
      </c>
      <c r="C2654" s="262" t="s">
        <v>1435</v>
      </c>
      <c r="D2654" s="262">
        <v>-99.114528000000007</v>
      </c>
      <c r="E2654" s="262">
        <v>29.351669999999999</v>
      </c>
      <c r="M2654" s="262">
        <v>18.025870600000001</v>
      </c>
      <c r="N2654" s="262">
        <v>18.025870600000001</v>
      </c>
    </row>
    <row r="2655" spans="1:14" x14ac:dyDescent="0.25">
      <c r="A2655" s="262">
        <v>48327</v>
      </c>
      <c r="B2655" s="262" t="s">
        <v>1641</v>
      </c>
      <c r="C2655" s="262" t="s">
        <v>610</v>
      </c>
      <c r="D2655" s="262">
        <v>-99.833497399999999</v>
      </c>
      <c r="E2655" s="262">
        <v>30.878820000000001</v>
      </c>
      <c r="M2655" s="262">
        <v>17.522911870000001</v>
      </c>
      <c r="N2655" s="262">
        <v>17.522911870000001</v>
      </c>
    </row>
    <row r="2656" spans="1:14" x14ac:dyDescent="0.25">
      <c r="A2656" s="262">
        <v>48329</v>
      </c>
      <c r="B2656" s="262" t="s">
        <v>1641</v>
      </c>
      <c r="C2656" s="262" t="s">
        <v>989</v>
      </c>
      <c r="D2656" s="262">
        <v>-102.024444</v>
      </c>
      <c r="E2656" s="262">
        <v>31.863250000000001</v>
      </c>
      <c r="M2656" s="262">
        <v>17.076756039999999</v>
      </c>
      <c r="N2656" s="262">
        <v>17.076756039999999</v>
      </c>
    </row>
    <row r="2657" spans="1:14" x14ac:dyDescent="0.25">
      <c r="A2657" s="262">
        <v>48331</v>
      </c>
      <c r="B2657" s="262" t="s">
        <v>1641</v>
      </c>
      <c r="C2657" s="262" t="s">
        <v>1743</v>
      </c>
      <c r="D2657" s="262">
        <v>-96.983288599999995</v>
      </c>
      <c r="E2657" s="262">
        <v>30.783480000000001</v>
      </c>
      <c r="M2657" s="262">
        <v>17.756715740000001</v>
      </c>
      <c r="N2657" s="262">
        <v>17.756715740000001</v>
      </c>
    </row>
    <row r="2658" spans="1:14" x14ac:dyDescent="0.25">
      <c r="A2658" s="262">
        <v>48333</v>
      </c>
      <c r="B2658" s="262" t="s">
        <v>1641</v>
      </c>
      <c r="C2658" s="262" t="s">
        <v>699</v>
      </c>
      <c r="D2658" s="262">
        <v>-98.607098199999996</v>
      </c>
      <c r="E2658" s="262">
        <v>31.498010000000001</v>
      </c>
      <c r="M2658" s="262">
        <v>17.306728140000001</v>
      </c>
      <c r="N2658" s="262">
        <v>17.306728140000001</v>
      </c>
    </row>
    <row r="2659" spans="1:14" x14ac:dyDescent="0.25">
      <c r="A2659" s="262">
        <v>48335</v>
      </c>
      <c r="B2659" s="262" t="s">
        <v>1641</v>
      </c>
      <c r="C2659" s="262" t="s">
        <v>501</v>
      </c>
      <c r="D2659" s="262">
        <v>-100.92019500000001</v>
      </c>
      <c r="E2659" s="262">
        <v>32.29813</v>
      </c>
      <c r="M2659" s="262">
        <v>16.89055596</v>
      </c>
      <c r="N2659" s="262">
        <v>16.89055596</v>
      </c>
    </row>
    <row r="2660" spans="1:14" x14ac:dyDescent="0.25">
      <c r="A2660" s="262">
        <v>48337</v>
      </c>
      <c r="B2660" s="262" t="s">
        <v>1641</v>
      </c>
      <c r="C2660" s="262" t="s">
        <v>1744</v>
      </c>
      <c r="D2660" s="262">
        <v>-97.7241863</v>
      </c>
      <c r="E2660" s="262">
        <v>33.674889999999998</v>
      </c>
      <c r="M2660" s="262">
        <v>16.43319967</v>
      </c>
      <c r="N2660" s="262">
        <v>16.43319967</v>
      </c>
    </row>
    <row r="2661" spans="1:14" x14ac:dyDescent="0.25">
      <c r="A2661" s="262">
        <v>48339</v>
      </c>
      <c r="B2661" s="262" t="s">
        <v>1641</v>
      </c>
      <c r="C2661" s="262" t="s">
        <v>163</v>
      </c>
      <c r="D2661" s="262">
        <v>-95.513741499999995</v>
      </c>
      <c r="E2661" s="262">
        <v>30.31794</v>
      </c>
      <c r="M2661" s="262">
        <v>18.674566299999999</v>
      </c>
      <c r="N2661" s="262">
        <v>18.674566299999999</v>
      </c>
    </row>
    <row r="2662" spans="1:14" x14ac:dyDescent="0.25">
      <c r="A2662" s="262">
        <v>48341</v>
      </c>
      <c r="B2662" s="262" t="s">
        <v>1641</v>
      </c>
      <c r="C2662" s="262" t="s">
        <v>1358</v>
      </c>
      <c r="D2662" s="262">
        <v>-101.893975</v>
      </c>
      <c r="E2662" s="262">
        <v>35.833829999999999</v>
      </c>
      <c r="M2662" s="262">
        <v>14.437116059999999</v>
      </c>
      <c r="N2662" s="262">
        <v>14.437116059999999</v>
      </c>
    </row>
    <row r="2663" spans="1:14" x14ac:dyDescent="0.25">
      <c r="A2663" s="262">
        <v>48343</v>
      </c>
      <c r="B2663" s="262" t="s">
        <v>1641</v>
      </c>
      <c r="C2663" s="262" t="s">
        <v>752</v>
      </c>
      <c r="D2663" s="262">
        <v>-94.732228800000001</v>
      </c>
      <c r="E2663" s="262">
        <v>33.139830000000003</v>
      </c>
      <c r="M2663" s="262">
        <v>16.597805149999999</v>
      </c>
      <c r="N2663" s="262">
        <v>16.597805149999999</v>
      </c>
    </row>
    <row r="2664" spans="1:14" x14ac:dyDescent="0.25">
      <c r="A2664" s="262">
        <v>48345</v>
      </c>
      <c r="B2664" s="262" t="s">
        <v>1641</v>
      </c>
      <c r="C2664" s="262" t="s">
        <v>1745</v>
      </c>
      <c r="D2664" s="262">
        <v>-100.771226</v>
      </c>
      <c r="E2664" s="262">
        <v>34.07499</v>
      </c>
      <c r="M2664" s="262">
        <v>15.89302337</v>
      </c>
      <c r="N2664" s="262">
        <v>15.89302337</v>
      </c>
    </row>
    <row r="2665" spans="1:14" x14ac:dyDescent="0.25">
      <c r="A2665" s="262">
        <v>48347</v>
      </c>
      <c r="B2665" s="262" t="s">
        <v>1641</v>
      </c>
      <c r="C2665" s="262" t="s">
        <v>1746</v>
      </c>
      <c r="D2665" s="262">
        <v>-94.629809499999993</v>
      </c>
      <c r="E2665" s="262">
        <v>31.64377</v>
      </c>
      <c r="M2665" s="262">
        <v>17.486561630000001</v>
      </c>
      <c r="N2665" s="262">
        <v>17.486561630000001</v>
      </c>
    </row>
    <row r="2666" spans="1:14" x14ac:dyDescent="0.25">
      <c r="A2666" s="262">
        <v>48349</v>
      </c>
      <c r="B2666" s="262" t="s">
        <v>1641</v>
      </c>
      <c r="C2666" s="262" t="s">
        <v>1747</v>
      </c>
      <c r="D2666" s="262">
        <v>-96.475107800000004</v>
      </c>
      <c r="E2666" s="262">
        <v>32.050269999999998</v>
      </c>
      <c r="M2666" s="262">
        <v>17.13951359</v>
      </c>
      <c r="N2666" s="262">
        <v>17.13951359</v>
      </c>
    </row>
    <row r="2667" spans="1:14" x14ac:dyDescent="0.25">
      <c r="A2667" s="262">
        <v>48351</v>
      </c>
      <c r="B2667" s="262" t="s">
        <v>1641</v>
      </c>
      <c r="C2667" s="262" t="s">
        <v>233</v>
      </c>
      <c r="D2667" s="262">
        <v>-93.751262800000006</v>
      </c>
      <c r="E2667" s="262">
        <v>30.803789999999999</v>
      </c>
      <c r="M2667" s="262">
        <v>18.248706670000001</v>
      </c>
      <c r="N2667" s="262">
        <v>18.248706670000001</v>
      </c>
    </row>
    <row r="2668" spans="1:14" x14ac:dyDescent="0.25">
      <c r="A2668" s="262">
        <v>48353</v>
      </c>
      <c r="B2668" s="262" t="s">
        <v>1641</v>
      </c>
      <c r="C2668" s="262" t="s">
        <v>1748</v>
      </c>
      <c r="D2668" s="262">
        <v>-100.398161</v>
      </c>
      <c r="E2668" s="262">
        <v>32.300820000000002</v>
      </c>
      <c r="M2668" s="262">
        <v>16.914206310000001</v>
      </c>
      <c r="N2668" s="262">
        <v>16.914206310000001</v>
      </c>
    </row>
    <row r="2669" spans="1:14" x14ac:dyDescent="0.25">
      <c r="A2669" s="262">
        <v>48355</v>
      </c>
      <c r="B2669" s="262" t="s">
        <v>1641</v>
      </c>
      <c r="C2669" s="262" t="s">
        <v>1749</v>
      </c>
      <c r="D2669" s="262">
        <v>-97.670024900000001</v>
      </c>
      <c r="E2669" s="262">
        <v>27.733409999999999</v>
      </c>
      <c r="M2669" s="262">
        <v>18.618316579999998</v>
      </c>
      <c r="N2669" s="262">
        <v>18.618316579999998</v>
      </c>
    </row>
    <row r="2670" spans="1:14" x14ac:dyDescent="0.25">
      <c r="A2670" s="262">
        <v>48357</v>
      </c>
      <c r="B2670" s="262" t="s">
        <v>1641</v>
      </c>
      <c r="C2670" s="262" t="s">
        <v>1750</v>
      </c>
      <c r="D2670" s="262">
        <v>-100.80813000000001</v>
      </c>
      <c r="E2670" s="262">
        <v>36.269309999999997</v>
      </c>
      <c r="M2670" s="262">
        <v>14.41856291</v>
      </c>
      <c r="N2670" s="262">
        <v>14.41856291</v>
      </c>
    </row>
    <row r="2671" spans="1:14" x14ac:dyDescent="0.25">
      <c r="A2671" s="262">
        <v>48359</v>
      </c>
      <c r="B2671" s="262" t="s">
        <v>1641</v>
      </c>
      <c r="C2671" s="262" t="s">
        <v>830</v>
      </c>
      <c r="D2671" s="262">
        <v>-102.605283</v>
      </c>
      <c r="E2671" s="262">
        <v>35.394469999999998</v>
      </c>
      <c r="M2671" s="262">
        <v>14.738215370000001</v>
      </c>
      <c r="N2671" s="262">
        <v>14.738215370000001</v>
      </c>
    </row>
    <row r="2672" spans="1:14" x14ac:dyDescent="0.25">
      <c r="A2672" s="262">
        <v>48361</v>
      </c>
      <c r="B2672" s="262" t="s">
        <v>1641</v>
      </c>
      <c r="C2672" s="262" t="s">
        <v>283</v>
      </c>
      <c r="D2672" s="262">
        <v>-93.890098399999999</v>
      </c>
      <c r="E2672" s="262">
        <v>30.140989999999999</v>
      </c>
      <c r="M2672" s="262">
        <v>18.846769909999999</v>
      </c>
      <c r="N2672" s="262">
        <v>18.846769909999999</v>
      </c>
    </row>
    <row r="2673" spans="1:14" x14ac:dyDescent="0.25">
      <c r="A2673" s="262">
        <v>48363</v>
      </c>
      <c r="B2673" s="262" t="s">
        <v>1641</v>
      </c>
      <c r="C2673" s="262" t="s">
        <v>1751</v>
      </c>
      <c r="D2673" s="262">
        <v>-98.314861100000002</v>
      </c>
      <c r="E2673" s="262">
        <v>32.752310000000001</v>
      </c>
      <c r="M2673" s="262">
        <v>16.85908401</v>
      </c>
      <c r="N2673" s="262">
        <v>16.85908401</v>
      </c>
    </row>
    <row r="2674" spans="1:14" x14ac:dyDescent="0.25">
      <c r="A2674" s="262">
        <v>48365</v>
      </c>
      <c r="B2674" s="262" t="s">
        <v>1641</v>
      </c>
      <c r="C2674" s="262" t="s">
        <v>1094</v>
      </c>
      <c r="D2674" s="262">
        <v>-94.319484399999993</v>
      </c>
      <c r="E2674" s="262">
        <v>32.185949999999998</v>
      </c>
      <c r="M2674" s="262">
        <v>17.11704976</v>
      </c>
      <c r="N2674" s="262">
        <v>17.11704976</v>
      </c>
    </row>
    <row r="2675" spans="1:14" x14ac:dyDescent="0.25">
      <c r="A2675" s="262">
        <v>48367</v>
      </c>
      <c r="B2675" s="262" t="s">
        <v>1641</v>
      </c>
      <c r="C2675" s="262" t="s">
        <v>1752</v>
      </c>
      <c r="D2675" s="262">
        <v>-97.805346200000002</v>
      </c>
      <c r="E2675" s="262">
        <v>32.773809999999997</v>
      </c>
      <c r="M2675" s="262">
        <v>16.84824751</v>
      </c>
      <c r="N2675" s="262">
        <v>16.84824751</v>
      </c>
    </row>
    <row r="2676" spans="1:14" x14ac:dyDescent="0.25">
      <c r="A2676" s="262">
        <v>48369</v>
      </c>
      <c r="B2676" s="262" t="s">
        <v>1641</v>
      </c>
      <c r="C2676" s="262" t="s">
        <v>1753</v>
      </c>
      <c r="D2676" s="262">
        <v>-102.785304</v>
      </c>
      <c r="E2676" s="262">
        <v>34.519509999999997</v>
      </c>
      <c r="M2676" s="262">
        <v>15.48944326</v>
      </c>
      <c r="N2676" s="262">
        <v>15.48944326</v>
      </c>
    </row>
    <row r="2677" spans="1:14" x14ac:dyDescent="0.25">
      <c r="A2677" s="262">
        <v>48371</v>
      </c>
      <c r="B2677" s="262" t="s">
        <v>1641</v>
      </c>
      <c r="C2677" s="262" t="s">
        <v>1754</v>
      </c>
      <c r="D2677" s="262">
        <v>-102.72325499999999</v>
      </c>
      <c r="E2677" s="262">
        <v>30.776389999999999</v>
      </c>
      <c r="M2677" s="262">
        <v>17.356060580000001</v>
      </c>
      <c r="N2677" s="262">
        <v>17.356060580000001</v>
      </c>
    </row>
    <row r="2678" spans="1:14" x14ac:dyDescent="0.25">
      <c r="A2678" s="262">
        <v>48373</v>
      </c>
      <c r="B2678" s="262" t="s">
        <v>1641</v>
      </c>
      <c r="C2678" s="262" t="s">
        <v>237</v>
      </c>
      <c r="D2678" s="262">
        <v>-94.840035999999998</v>
      </c>
      <c r="E2678" s="262">
        <v>30.810960000000001</v>
      </c>
      <c r="M2678" s="262">
        <v>18.220364759999999</v>
      </c>
      <c r="N2678" s="262">
        <v>18.220364759999999</v>
      </c>
    </row>
    <row r="2679" spans="1:14" x14ac:dyDescent="0.25">
      <c r="A2679" s="262">
        <v>48375</v>
      </c>
      <c r="B2679" s="262" t="s">
        <v>1641</v>
      </c>
      <c r="C2679" s="262" t="s">
        <v>1539</v>
      </c>
      <c r="D2679" s="262">
        <v>-101.89255300000001</v>
      </c>
      <c r="E2679" s="262">
        <v>35.398760000000003</v>
      </c>
      <c r="M2679" s="262">
        <v>14.8009012</v>
      </c>
      <c r="N2679" s="262">
        <v>14.8009012</v>
      </c>
    </row>
    <row r="2680" spans="1:14" x14ac:dyDescent="0.25">
      <c r="A2680" s="262">
        <v>48377</v>
      </c>
      <c r="B2680" s="262" t="s">
        <v>1641</v>
      </c>
      <c r="C2680" s="262" t="s">
        <v>1755</v>
      </c>
      <c r="D2680" s="262">
        <v>-104.240263</v>
      </c>
      <c r="E2680" s="262">
        <v>29.985019999999999</v>
      </c>
      <c r="M2680" s="262">
        <v>17.417428690000001</v>
      </c>
      <c r="N2680" s="262">
        <v>17.417428690000001</v>
      </c>
    </row>
    <row r="2681" spans="1:14" x14ac:dyDescent="0.25">
      <c r="A2681" s="262">
        <v>48379</v>
      </c>
      <c r="B2681" s="262" t="s">
        <v>1641</v>
      </c>
      <c r="C2681" s="262" t="s">
        <v>1756</v>
      </c>
      <c r="D2681" s="262">
        <v>-95.791826999999998</v>
      </c>
      <c r="E2681" s="262">
        <v>32.884239999999998</v>
      </c>
      <c r="M2681" s="262">
        <v>16.74331639</v>
      </c>
      <c r="N2681" s="262">
        <v>16.74331639</v>
      </c>
    </row>
    <row r="2682" spans="1:14" x14ac:dyDescent="0.25">
      <c r="A2682" s="262">
        <v>48381</v>
      </c>
      <c r="B2682" s="262" t="s">
        <v>1641</v>
      </c>
      <c r="C2682" s="262" t="s">
        <v>1757</v>
      </c>
      <c r="D2682" s="262">
        <v>-101.891352</v>
      </c>
      <c r="E2682" s="262">
        <v>34.966189999999997</v>
      </c>
      <c r="M2682" s="262">
        <v>15.149025679999999</v>
      </c>
      <c r="N2682" s="262">
        <v>15.149025679999999</v>
      </c>
    </row>
    <row r="2683" spans="1:14" x14ac:dyDescent="0.25">
      <c r="A2683" s="262">
        <v>48383</v>
      </c>
      <c r="B2683" s="262" t="s">
        <v>1641</v>
      </c>
      <c r="C2683" s="262" t="s">
        <v>1758</v>
      </c>
      <c r="D2683" s="262">
        <v>-101.51713700000001</v>
      </c>
      <c r="E2683" s="262">
        <v>31.360279999999999</v>
      </c>
      <c r="M2683" s="262">
        <v>17.295241470000001</v>
      </c>
      <c r="N2683" s="262">
        <v>17.295241470000001</v>
      </c>
    </row>
    <row r="2684" spans="1:14" x14ac:dyDescent="0.25">
      <c r="A2684" s="262">
        <v>48385</v>
      </c>
      <c r="B2684" s="262" t="s">
        <v>1641</v>
      </c>
      <c r="C2684" s="262" t="s">
        <v>1759</v>
      </c>
      <c r="D2684" s="262">
        <v>-99.828669899999994</v>
      </c>
      <c r="E2684" s="262">
        <v>29.8203</v>
      </c>
      <c r="M2684" s="262">
        <v>17.820105850000001</v>
      </c>
      <c r="N2684" s="262">
        <v>17.820105850000001</v>
      </c>
    </row>
    <row r="2685" spans="1:14" x14ac:dyDescent="0.25">
      <c r="A2685" s="262">
        <v>48387</v>
      </c>
      <c r="B2685" s="262" t="s">
        <v>1641</v>
      </c>
      <c r="C2685" s="262" t="s">
        <v>1760</v>
      </c>
      <c r="D2685" s="262">
        <v>-95.058142200000006</v>
      </c>
      <c r="E2685" s="262">
        <v>33.648650000000004</v>
      </c>
      <c r="M2685" s="262">
        <v>16.348962100000001</v>
      </c>
      <c r="N2685" s="262">
        <v>16.348962100000001</v>
      </c>
    </row>
    <row r="2686" spans="1:14" x14ac:dyDescent="0.25">
      <c r="A2686" s="262">
        <v>48389</v>
      </c>
      <c r="B2686" s="262" t="s">
        <v>1641</v>
      </c>
      <c r="C2686" s="262" t="s">
        <v>1761</v>
      </c>
      <c r="D2686" s="262">
        <v>-103.69041</v>
      </c>
      <c r="E2686" s="262">
        <v>31.316410000000001</v>
      </c>
      <c r="M2686" s="262">
        <v>17.074150889999999</v>
      </c>
      <c r="N2686" s="262">
        <v>17.074150889999999</v>
      </c>
    </row>
    <row r="2687" spans="1:14" x14ac:dyDescent="0.25">
      <c r="A2687" s="262">
        <v>48391</v>
      </c>
      <c r="B2687" s="262" t="s">
        <v>1641</v>
      </c>
      <c r="C2687" s="262" t="s">
        <v>1762</v>
      </c>
      <c r="D2687" s="262">
        <v>-97.16619</v>
      </c>
      <c r="E2687" s="262">
        <v>28.33792</v>
      </c>
      <c r="M2687" s="262">
        <v>18.760793719999999</v>
      </c>
      <c r="N2687" s="262">
        <v>18.760793719999999</v>
      </c>
    </row>
    <row r="2688" spans="1:14" x14ac:dyDescent="0.25">
      <c r="A2688" s="262">
        <v>48393</v>
      </c>
      <c r="B2688" s="262" t="s">
        <v>1641</v>
      </c>
      <c r="C2688" s="262" t="s">
        <v>1605</v>
      </c>
      <c r="D2688" s="262">
        <v>-100.80965999999999</v>
      </c>
      <c r="E2688" s="262">
        <v>35.830579999999998</v>
      </c>
      <c r="M2688" s="262">
        <v>14.719534339999999</v>
      </c>
      <c r="N2688" s="262">
        <v>14.719534339999999</v>
      </c>
    </row>
    <row r="2689" spans="1:14" x14ac:dyDescent="0.25">
      <c r="A2689" s="262">
        <v>48395</v>
      </c>
      <c r="B2689" s="262" t="s">
        <v>1641</v>
      </c>
      <c r="C2689" s="262" t="s">
        <v>834</v>
      </c>
      <c r="D2689" s="262">
        <v>-96.520344100000003</v>
      </c>
      <c r="E2689" s="262">
        <v>31.02458</v>
      </c>
      <c r="M2689" s="262">
        <v>17.728241059999998</v>
      </c>
      <c r="N2689" s="262">
        <v>17.728241059999998</v>
      </c>
    </row>
    <row r="2690" spans="1:14" x14ac:dyDescent="0.25">
      <c r="A2690" s="262">
        <v>48397</v>
      </c>
      <c r="B2690" s="262" t="s">
        <v>1641</v>
      </c>
      <c r="C2690" s="262" t="s">
        <v>1763</v>
      </c>
      <c r="D2690" s="262">
        <v>-96.409817700000005</v>
      </c>
      <c r="E2690" s="262">
        <v>32.903860000000002</v>
      </c>
      <c r="M2690" s="262">
        <v>16.737980740000001</v>
      </c>
      <c r="N2690" s="262">
        <v>16.737980740000001</v>
      </c>
    </row>
    <row r="2691" spans="1:14" x14ac:dyDescent="0.25">
      <c r="A2691" s="262">
        <v>48399</v>
      </c>
      <c r="B2691" s="262" t="s">
        <v>1641</v>
      </c>
      <c r="C2691" s="262" t="s">
        <v>1764</v>
      </c>
      <c r="D2691" s="262">
        <v>-99.979961900000006</v>
      </c>
      <c r="E2691" s="262">
        <v>31.823029999999999</v>
      </c>
      <c r="M2691" s="262">
        <v>17.14959176</v>
      </c>
      <c r="N2691" s="262">
        <v>17.14959176</v>
      </c>
    </row>
    <row r="2692" spans="1:14" x14ac:dyDescent="0.25">
      <c r="A2692" s="262">
        <v>48401</v>
      </c>
      <c r="B2692" s="262" t="s">
        <v>1641</v>
      </c>
      <c r="C2692" s="262" t="s">
        <v>1765</v>
      </c>
      <c r="D2692" s="262">
        <v>-94.7720719</v>
      </c>
      <c r="E2692" s="262">
        <v>32.130679999999998</v>
      </c>
      <c r="M2692" s="262">
        <v>17.161416970000001</v>
      </c>
      <c r="N2692" s="262">
        <v>17.161416970000001</v>
      </c>
    </row>
    <row r="2693" spans="1:14" x14ac:dyDescent="0.25">
      <c r="A2693" s="262">
        <v>48403</v>
      </c>
      <c r="B2693" s="262" t="s">
        <v>1641</v>
      </c>
      <c r="C2693" s="262" t="s">
        <v>1766</v>
      </c>
      <c r="D2693" s="262">
        <v>-93.8669826</v>
      </c>
      <c r="E2693" s="262">
        <v>31.357140000000001</v>
      </c>
      <c r="M2693" s="262">
        <v>17.742072740000001</v>
      </c>
      <c r="N2693" s="262">
        <v>17.742072740000001</v>
      </c>
    </row>
    <row r="2694" spans="1:14" x14ac:dyDescent="0.25">
      <c r="A2694" s="262">
        <v>48405</v>
      </c>
      <c r="B2694" s="262" t="s">
        <v>1641</v>
      </c>
      <c r="C2694" s="262" t="s">
        <v>1767</v>
      </c>
      <c r="D2694" s="262">
        <v>-94.182655400000002</v>
      </c>
      <c r="E2694" s="262">
        <v>31.423249999999999</v>
      </c>
      <c r="M2694" s="262">
        <v>17.652042659999999</v>
      </c>
      <c r="N2694" s="262">
        <v>17.652042659999999</v>
      </c>
    </row>
    <row r="2695" spans="1:14" x14ac:dyDescent="0.25">
      <c r="A2695" s="262">
        <v>48407</v>
      </c>
      <c r="B2695" s="262" t="s">
        <v>1641</v>
      </c>
      <c r="C2695" s="262" t="s">
        <v>1768</v>
      </c>
      <c r="D2695" s="262">
        <v>-95.183754199999996</v>
      </c>
      <c r="E2695" s="262">
        <v>30.602139999999999</v>
      </c>
      <c r="M2695" s="262">
        <v>18.44603742</v>
      </c>
      <c r="N2695" s="262">
        <v>18.44603742</v>
      </c>
    </row>
    <row r="2696" spans="1:14" x14ac:dyDescent="0.25">
      <c r="A2696" s="262">
        <v>48409</v>
      </c>
      <c r="B2696" s="262" t="s">
        <v>1641</v>
      </c>
      <c r="C2696" s="262" t="s">
        <v>1769</v>
      </c>
      <c r="D2696" s="262">
        <v>-97.522663600000001</v>
      </c>
      <c r="E2696" s="262">
        <v>28.019469999999998</v>
      </c>
      <c r="M2696" s="262">
        <v>18.66048777</v>
      </c>
      <c r="N2696" s="262">
        <v>18.66048777</v>
      </c>
    </row>
    <row r="2697" spans="1:14" x14ac:dyDescent="0.25">
      <c r="A2697" s="262">
        <v>48411</v>
      </c>
      <c r="B2697" s="262" t="s">
        <v>1641</v>
      </c>
      <c r="C2697" s="262" t="s">
        <v>1770</v>
      </c>
      <c r="D2697" s="262">
        <v>-98.818540200000001</v>
      </c>
      <c r="E2697" s="262">
        <v>31.153479999999998</v>
      </c>
      <c r="M2697" s="262">
        <v>17.4448437</v>
      </c>
      <c r="N2697" s="262">
        <v>17.4448437</v>
      </c>
    </row>
    <row r="2698" spans="1:14" x14ac:dyDescent="0.25">
      <c r="A2698" s="262">
        <v>48413</v>
      </c>
      <c r="B2698" s="262" t="s">
        <v>1641</v>
      </c>
      <c r="C2698" s="262" t="s">
        <v>1771</v>
      </c>
      <c r="D2698" s="262">
        <v>-100.544219</v>
      </c>
      <c r="E2698" s="262">
        <v>30.885570000000001</v>
      </c>
      <c r="M2698" s="262">
        <v>17.494081260000002</v>
      </c>
      <c r="N2698" s="262">
        <v>17.494081260000002</v>
      </c>
    </row>
    <row r="2699" spans="1:14" x14ac:dyDescent="0.25">
      <c r="A2699" s="262">
        <v>48415</v>
      </c>
      <c r="B2699" s="262" t="s">
        <v>1641</v>
      </c>
      <c r="C2699" s="262" t="s">
        <v>1772</v>
      </c>
      <c r="D2699" s="262">
        <v>-100.917074</v>
      </c>
      <c r="E2699" s="262">
        <v>32.737969999999997</v>
      </c>
      <c r="M2699" s="262">
        <v>16.663798119999999</v>
      </c>
      <c r="N2699" s="262">
        <v>16.663798119999999</v>
      </c>
    </row>
    <row r="2700" spans="1:14" x14ac:dyDescent="0.25">
      <c r="A2700" s="262">
        <v>48417</v>
      </c>
      <c r="B2700" s="262" t="s">
        <v>1641</v>
      </c>
      <c r="C2700" s="262" t="s">
        <v>1773</v>
      </c>
      <c r="D2700" s="262">
        <v>-99.359076200000004</v>
      </c>
      <c r="E2700" s="262">
        <v>32.741259999999997</v>
      </c>
      <c r="M2700" s="262">
        <v>16.781830029999998</v>
      </c>
      <c r="N2700" s="262">
        <v>16.781830029999998</v>
      </c>
    </row>
    <row r="2701" spans="1:14" x14ac:dyDescent="0.25">
      <c r="A2701" s="262">
        <v>48419</v>
      </c>
      <c r="B2701" s="262" t="s">
        <v>1641</v>
      </c>
      <c r="C2701" s="262" t="s">
        <v>171</v>
      </c>
      <c r="D2701" s="262">
        <v>-94.150985599999998</v>
      </c>
      <c r="E2701" s="262">
        <v>31.81016</v>
      </c>
      <c r="M2701" s="262">
        <v>17.373910049999999</v>
      </c>
      <c r="N2701" s="262">
        <v>17.373910049999999</v>
      </c>
    </row>
    <row r="2702" spans="1:14" x14ac:dyDescent="0.25">
      <c r="A2702" s="262">
        <v>48421</v>
      </c>
      <c r="B2702" s="262" t="s">
        <v>1641</v>
      </c>
      <c r="C2702" s="262" t="s">
        <v>773</v>
      </c>
      <c r="D2702" s="262">
        <v>-101.892805</v>
      </c>
      <c r="E2702" s="262">
        <v>36.272129999999997</v>
      </c>
      <c r="M2702" s="262">
        <v>14.04192323</v>
      </c>
      <c r="N2702" s="262">
        <v>14.04192323</v>
      </c>
    </row>
    <row r="2703" spans="1:14" x14ac:dyDescent="0.25">
      <c r="A2703" s="262">
        <v>48423</v>
      </c>
      <c r="B2703" s="262" t="s">
        <v>1641</v>
      </c>
      <c r="C2703" s="262" t="s">
        <v>774</v>
      </c>
      <c r="D2703" s="262">
        <v>-95.277675299999999</v>
      </c>
      <c r="E2703" s="262">
        <v>32.395359999999997</v>
      </c>
      <c r="M2703" s="262">
        <v>17.01145795</v>
      </c>
      <c r="N2703" s="262">
        <v>17.01145795</v>
      </c>
    </row>
    <row r="2704" spans="1:14" x14ac:dyDescent="0.25">
      <c r="A2704" s="262">
        <v>48425</v>
      </c>
      <c r="B2704" s="262" t="s">
        <v>1641</v>
      </c>
      <c r="C2704" s="262" t="s">
        <v>1774</v>
      </c>
      <c r="D2704" s="262">
        <v>-97.770523699999998</v>
      </c>
      <c r="E2704" s="262">
        <v>32.229799999999997</v>
      </c>
      <c r="M2704" s="262">
        <v>17.027718119999999</v>
      </c>
      <c r="N2704" s="262">
        <v>17.027718119999999</v>
      </c>
    </row>
    <row r="2705" spans="1:14" x14ac:dyDescent="0.25">
      <c r="A2705" s="262">
        <v>48427</v>
      </c>
      <c r="B2705" s="262" t="s">
        <v>1641</v>
      </c>
      <c r="C2705" s="262" t="s">
        <v>1775</v>
      </c>
      <c r="D2705" s="262">
        <v>-98.744762899999998</v>
      </c>
      <c r="E2705" s="262">
        <v>26.569179999999999</v>
      </c>
      <c r="M2705" s="262">
        <v>18.285646239999998</v>
      </c>
      <c r="N2705" s="262">
        <v>18.285646239999998</v>
      </c>
    </row>
    <row r="2706" spans="1:14" x14ac:dyDescent="0.25">
      <c r="A2706" s="262">
        <v>48429</v>
      </c>
      <c r="B2706" s="262" t="s">
        <v>1641</v>
      </c>
      <c r="C2706" s="262" t="s">
        <v>516</v>
      </c>
      <c r="D2706" s="262">
        <v>-98.834834099999995</v>
      </c>
      <c r="E2706" s="262">
        <v>32.744129999999998</v>
      </c>
      <c r="M2706" s="262">
        <v>16.828704590000001</v>
      </c>
      <c r="N2706" s="262">
        <v>16.828704590000001</v>
      </c>
    </row>
    <row r="2707" spans="1:14" x14ac:dyDescent="0.25">
      <c r="A2707" s="262">
        <v>48431</v>
      </c>
      <c r="B2707" s="262" t="s">
        <v>1641</v>
      </c>
      <c r="C2707" s="262" t="s">
        <v>1776</v>
      </c>
      <c r="D2707" s="262">
        <v>-101.051559</v>
      </c>
      <c r="E2707" s="262">
        <v>31.822099999999999</v>
      </c>
      <c r="M2707" s="262">
        <v>17.12363564</v>
      </c>
      <c r="N2707" s="262">
        <v>17.12363564</v>
      </c>
    </row>
    <row r="2708" spans="1:14" x14ac:dyDescent="0.25">
      <c r="A2708" s="262">
        <v>48433</v>
      </c>
      <c r="B2708" s="262" t="s">
        <v>1641</v>
      </c>
      <c r="C2708" s="262" t="s">
        <v>1777</v>
      </c>
      <c r="D2708" s="262">
        <v>-100.24533700000001</v>
      </c>
      <c r="E2708" s="262">
        <v>33.171790000000001</v>
      </c>
      <c r="M2708" s="262">
        <v>16.488335330000002</v>
      </c>
      <c r="N2708" s="262">
        <v>16.488335330000002</v>
      </c>
    </row>
    <row r="2709" spans="1:14" x14ac:dyDescent="0.25">
      <c r="A2709" s="262">
        <v>48435</v>
      </c>
      <c r="B2709" s="262" t="s">
        <v>1641</v>
      </c>
      <c r="C2709" s="262" t="s">
        <v>1778</v>
      </c>
      <c r="D2709" s="262">
        <v>-100.542962</v>
      </c>
      <c r="E2709" s="262">
        <v>30.471329999999998</v>
      </c>
      <c r="M2709" s="262">
        <v>17.60509029</v>
      </c>
      <c r="N2709" s="262">
        <v>17.60509029</v>
      </c>
    </row>
    <row r="2710" spans="1:14" x14ac:dyDescent="0.25">
      <c r="A2710" s="262">
        <v>48437</v>
      </c>
      <c r="B2710" s="262" t="s">
        <v>1641</v>
      </c>
      <c r="C2710" s="262" t="s">
        <v>1779</v>
      </c>
      <c r="D2710" s="262">
        <v>-101.764011</v>
      </c>
      <c r="E2710" s="262">
        <v>34.527700000000003</v>
      </c>
      <c r="M2710" s="262">
        <v>15.496889599999999</v>
      </c>
      <c r="N2710" s="262">
        <v>15.496889599999999</v>
      </c>
    </row>
    <row r="2711" spans="1:14" x14ac:dyDescent="0.25">
      <c r="A2711" s="262">
        <v>48439</v>
      </c>
      <c r="B2711" s="262" t="s">
        <v>1641</v>
      </c>
      <c r="C2711" s="262" t="s">
        <v>1780</v>
      </c>
      <c r="D2711" s="262">
        <v>-97.291324399999993</v>
      </c>
      <c r="E2711" s="262">
        <v>32.766689999999997</v>
      </c>
      <c r="M2711" s="262">
        <v>16.832845850000002</v>
      </c>
      <c r="N2711" s="262">
        <v>16.832845850000002</v>
      </c>
    </row>
    <row r="2712" spans="1:14" x14ac:dyDescent="0.25">
      <c r="A2712" s="262">
        <v>48441</v>
      </c>
      <c r="B2712" s="262" t="s">
        <v>1641</v>
      </c>
      <c r="C2712" s="262" t="s">
        <v>428</v>
      </c>
      <c r="D2712" s="262">
        <v>-99.886598599999999</v>
      </c>
      <c r="E2712" s="262">
        <v>32.297629999999998</v>
      </c>
      <c r="M2712" s="262">
        <v>16.937017359999999</v>
      </c>
      <c r="N2712" s="262">
        <v>16.937017359999999</v>
      </c>
    </row>
    <row r="2713" spans="1:14" x14ac:dyDescent="0.25">
      <c r="A2713" s="262">
        <v>48443</v>
      </c>
      <c r="B2713" s="262" t="s">
        <v>1641</v>
      </c>
      <c r="C2713" s="262" t="s">
        <v>522</v>
      </c>
      <c r="D2713" s="262">
        <v>-102.073972</v>
      </c>
      <c r="E2713" s="262">
        <v>30.213080000000001</v>
      </c>
      <c r="M2713" s="262">
        <v>17.53610488</v>
      </c>
      <c r="N2713" s="262">
        <v>17.53610488</v>
      </c>
    </row>
    <row r="2714" spans="1:14" x14ac:dyDescent="0.25">
      <c r="A2714" s="262">
        <v>48445</v>
      </c>
      <c r="B2714" s="262" t="s">
        <v>1641</v>
      </c>
      <c r="C2714" s="262" t="s">
        <v>1781</v>
      </c>
      <c r="D2714" s="262">
        <v>-102.329235</v>
      </c>
      <c r="E2714" s="262">
        <v>33.175829999999998</v>
      </c>
      <c r="M2714" s="262">
        <v>16.32387086</v>
      </c>
      <c r="N2714" s="262">
        <v>16.32387086</v>
      </c>
    </row>
    <row r="2715" spans="1:14" x14ac:dyDescent="0.25">
      <c r="A2715" s="262">
        <v>48447</v>
      </c>
      <c r="B2715" s="262" t="s">
        <v>1641</v>
      </c>
      <c r="C2715" s="262" t="s">
        <v>1782</v>
      </c>
      <c r="D2715" s="262">
        <v>-99.209466199999994</v>
      </c>
      <c r="E2715" s="262">
        <v>33.17427</v>
      </c>
      <c r="M2715" s="262">
        <v>16.609037090000001</v>
      </c>
      <c r="N2715" s="262">
        <v>16.609037090000001</v>
      </c>
    </row>
    <row r="2716" spans="1:14" x14ac:dyDescent="0.25">
      <c r="A2716" s="262">
        <v>48449</v>
      </c>
      <c r="B2716" s="262" t="s">
        <v>1641</v>
      </c>
      <c r="C2716" s="262" t="s">
        <v>1783</v>
      </c>
      <c r="D2716" s="262">
        <v>-94.9695052</v>
      </c>
      <c r="E2716" s="262">
        <v>33.245370000000001</v>
      </c>
      <c r="M2716" s="262">
        <v>16.547831209999998</v>
      </c>
      <c r="N2716" s="262">
        <v>16.547831209999998</v>
      </c>
    </row>
    <row r="2717" spans="1:14" x14ac:dyDescent="0.25">
      <c r="A2717" s="262">
        <v>48451</v>
      </c>
      <c r="B2717" s="262" t="s">
        <v>1641</v>
      </c>
      <c r="C2717" s="262" t="s">
        <v>1784</v>
      </c>
      <c r="D2717" s="262">
        <v>-100.46859499999999</v>
      </c>
      <c r="E2717" s="262">
        <v>31.401319999999998</v>
      </c>
      <c r="M2717" s="262">
        <v>17.327060500000002</v>
      </c>
      <c r="N2717" s="262">
        <v>17.327060500000002</v>
      </c>
    </row>
    <row r="2718" spans="1:14" x14ac:dyDescent="0.25">
      <c r="A2718" s="262">
        <v>48453</v>
      </c>
      <c r="B2718" s="262" t="s">
        <v>1641</v>
      </c>
      <c r="C2718" s="262" t="s">
        <v>1785</v>
      </c>
      <c r="D2718" s="262">
        <v>-97.776996800000006</v>
      </c>
      <c r="E2718" s="262">
        <v>30.328679999999999</v>
      </c>
      <c r="M2718" s="262">
        <v>17.877857110000001</v>
      </c>
      <c r="N2718" s="262">
        <v>17.877857110000001</v>
      </c>
    </row>
    <row r="2719" spans="1:14" x14ac:dyDescent="0.25">
      <c r="A2719" s="262">
        <v>48455</v>
      </c>
      <c r="B2719" s="262" t="s">
        <v>1641</v>
      </c>
      <c r="C2719" s="262" t="s">
        <v>305</v>
      </c>
      <c r="D2719" s="262">
        <v>-95.142481900000007</v>
      </c>
      <c r="E2719" s="262">
        <v>31.10341</v>
      </c>
      <c r="M2719" s="262">
        <v>17.94001153</v>
      </c>
      <c r="N2719" s="262">
        <v>17.94001153</v>
      </c>
    </row>
    <row r="2720" spans="1:14" x14ac:dyDescent="0.25">
      <c r="A2720" s="262">
        <v>48457</v>
      </c>
      <c r="B2720" s="262" t="s">
        <v>1641</v>
      </c>
      <c r="C2720" s="262" t="s">
        <v>1786</v>
      </c>
      <c r="D2720" s="262">
        <v>-94.386832799999993</v>
      </c>
      <c r="E2720" s="262">
        <v>30.79083</v>
      </c>
      <c r="M2720" s="262">
        <v>18.21594777</v>
      </c>
      <c r="N2720" s="262">
        <v>18.21594777</v>
      </c>
    </row>
    <row r="2721" spans="1:14" x14ac:dyDescent="0.25">
      <c r="A2721" s="262">
        <v>48459</v>
      </c>
      <c r="B2721" s="262" t="s">
        <v>1641</v>
      </c>
      <c r="C2721" s="262" t="s">
        <v>1787</v>
      </c>
      <c r="D2721" s="262">
        <v>-94.946638699999994</v>
      </c>
      <c r="E2721" s="262">
        <v>32.764679999999998</v>
      </c>
      <c r="M2721" s="262">
        <v>16.795506589999999</v>
      </c>
      <c r="N2721" s="262">
        <v>16.795506589999999</v>
      </c>
    </row>
    <row r="2722" spans="1:14" x14ac:dyDescent="0.25">
      <c r="A2722" s="262">
        <v>48461</v>
      </c>
      <c r="B2722" s="262" t="s">
        <v>1641</v>
      </c>
      <c r="C2722" s="262" t="s">
        <v>1788</v>
      </c>
      <c r="D2722" s="262">
        <v>-102.034223</v>
      </c>
      <c r="E2722" s="262">
        <v>31.359960000000001</v>
      </c>
      <c r="M2722" s="262">
        <v>17.280242659999999</v>
      </c>
      <c r="N2722" s="262">
        <v>17.280242659999999</v>
      </c>
    </row>
    <row r="2723" spans="1:14" x14ac:dyDescent="0.25">
      <c r="A2723" s="262">
        <v>48463</v>
      </c>
      <c r="B2723" s="262" t="s">
        <v>1641</v>
      </c>
      <c r="C2723" s="262" t="s">
        <v>1789</v>
      </c>
      <c r="D2723" s="262">
        <v>-99.764672399999995</v>
      </c>
      <c r="E2723" s="262">
        <v>29.346889999999998</v>
      </c>
      <c r="M2723" s="262">
        <v>17.923659870000002</v>
      </c>
      <c r="N2723" s="262">
        <v>17.923659870000002</v>
      </c>
    </row>
    <row r="2724" spans="1:14" x14ac:dyDescent="0.25">
      <c r="A2724" s="262">
        <v>48465</v>
      </c>
      <c r="B2724" s="262" t="s">
        <v>1641</v>
      </c>
      <c r="C2724" s="262" t="s">
        <v>1790</v>
      </c>
      <c r="D2724" s="262">
        <v>-101.150628</v>
      </c>
      <c r="E2724" s="262">
        <v>29.875070000000001</v>
      </c>
      <c r="M2724" s="262">
        <v>17.67623622</v>
      </c>
      <c r="N2724" s="262">
        <v>17.67623622</v>
      </c>
    </row>
    <row r="2725" spans="1:14" x14ac:dyDescent="0.25">
      <c r="A2725" s="262">
        <v>48467</v>
      </c>
      <c r="B2725" s="262" t="s">
        <v>1641</v>
      </c>
      <c r="C2725" s="262" t="s">
        <v>1791</v>
      </c>
      <c r="D2725" s="262">
        <v>-95.846742399999997</v>
      </c>
      <c r="E2725" s="262">
        <v>32.584409999999998</v>
      </c>
      <c r="M2725" s="262">
        <v>16.900739860000002</v>
      </c>
      <c r="N2725" s="262">
        <v>16.900739860000002</v>
      </c>
    </row>
    <row r="2726" spans="1:14" x14ac:dyDescent="0.25">
      <c r="A2726" s="262">
        <v>48469</v>
      </c>
      <c r="B2726" s="262" t="s">
        <v>1641</v>
      </c>
      <c r="C2726" s="262" t="s">
        <v>1792</v>
      </c>
      <c r="D2726" s="262">
        <v>-96.977435700000001</v>
      </c>
      <c r="E2726" s="262">
        <v>28.79016</v>
      </c>
      <c r="M2726" s="262">
        <v>18.76919904</v>
      </c>
      <c r="N2726" s="262">
        <v>18.76919904</v>
      </c>
    </row>
    <row r="2727" spans="1:14" x14ac:dyDescent="0.25">
      <c r="A2727" s="262">
        <v>48471</v>
      </c>
      <c r="B2727" s="262" t="s">
        <v>1641</v>
      </c>
      <c r="C2727" s="262" t="s">
        <v>176</v>
      </c>
      <c r="D2727" s="262">
        <v>-95.592668599999996</v>
      </c>
      <c r="E2727" s="262">
        <v>30.7545</v>
      </c>
      <c r="M2727" s="262">
        <v>18.228499490000001</v>
      </c>
      <c r="N2727" s="262">
        <v>18.228499490000001</v>
      </c>
    </row>
    <row r="2728" spans="1:14" x14ac:dyDescent="0.25">
      <c r="A2728" s="262">
        <v>48473</v>
      </c>
      <c r="B2728" s="262" t="s">
        <v>1641</v>
      </c>
      <c r="C2728" s="262" t="s">
        <v>1793</v>
      </c>
      <c r="D2728" s="262">
        <v>-95.991703099999995</v>
      </c>
      <c r="E2728" s="262">
        <v>30.00816</v>
      </c>
      <c r="M2728" s="262">
        <v>18.741268030000001</v>
      </c>
      <c r="N2728" s="262">
        <v>18.741268030000001</v>
      </c>
    </row>
    <row r="2729" spans="1:14" x14ac:dyDescent="0.25">
      <c r="A2729" s="262">
        <v>48475</v>
      </c>
      <c r="B2729" s="262" t="s">
        <v>1641</v>
      </c>
      <c r="C2729" s="262" t="s">
        <v>1413</v>
      </c>
      <c r="D2729" s="262">
        <v>-103.111953</v>
      </c>
      <c r="E2729" s="262">
        <v>31.5137</v>
      </c>
      <c r="M2729" s="262">
        <v>17.080443460000001</v>
      </c>
      <c r="N2729" s="262">
        <v>17.080443460000001</v>
      </c>
    </row>
    <row r="2730" spans="1:14" x14ac:dyDescent="0.25">
      <c r="A2730" s="262">
        <v>48477</v>
      </c>
      <c r="B2730" s="262" t="s">
        <v>1641</v>
      </c>
      <c r="C2730" s="262" t="s">
        <v>177</v>
      </c>
      <c r="D2730" s="262">
        <v>-96.402188800000005</v>
      </c>
      <c r="E2730" s="262">
        <v>30.218699999999998</v>
      </c>
      <c r="M2730" s="262">
        <v>18.388162810000001</v>
      </c>
      <c r="N2730" s="262">
        <v>18.388162810000001</v>
      </c>
    </row>
    <row r="2731" spans="1:14" x14ac:dyDescent="0.25">
      <c r="A2731" s="262">
        <v>48479</v>
      </c>
      <c r="B2731" s="262" t="s">
        <v>1641</v>
      </c>
      <c r="C2731" s="262" t="s">
        <v>1794</v>
      </c>
      <c r="D2731" s="262">
        <v>-99.345161399999995</v>
      </c>
      <c r="E2731" s="262">
        <v>27.763500000000001</v>
      </c>
      <c r="M2731" s="262">
        <v>18.17518535</v>
      </c>
      <c r="N2731" s="262">
        <v>18.17518535</v>
      </c>
    </row>
    <row r="2732" spans="1:14" x14ac:dyDescent="0.25">
      <c r="A2732" s="262">
        <v>48481</v>
      </c>
      <c r="B2732" s="262" t="s">
        <v>1641</v>
      </c>
      <c r="C2732" s="262" t="s">
        <v>1795</v>
      </c>
      <c r="D2732" s="262">
        <v>-96.242168500000005</v>
      </c>
      <c r="E2732" s="262">
        <v>29.278670000000002</v>
      </c>
      <c r="M2732" s="262">
        <v>19.00576968</v>
      </c>
      <c r="N2732" s="262">
        <v>19.00576968</v>
      </c>
    </row>
    <row r="2733" spans="1:14" x14ac:dyDescent="0.25">
      <c r="A2733" s="262">
        <v>48483</v>
      </c>
      <c r="B2733" s="262" t="s">
        <v>1641</v>
      </c>
      <c r="C2733" s="262" t="s">
        <v>536</v>
      </c>
      <c r="D2733" s="262">
        <v>-100.271907</v>
      </c>
      <c r="E2733" s="262">
        <v>35.397359999999999</v>
      </c>
      <c r="M2733" s="262">
        <v>15.119517180000001</v>
      </c>
      <c r="N2733" s="262">
        <v>15.119517180000001</v>
      </c>
    </row>
    <row r="2734" spans="1:14" x14ac:dyDescent="0.25">
      <c r="A2734" s="262">
        <v>48485</v>
      </c>
      <c r="B2734" s="262" t="s">
        <v>1641</v>
      </c>
      <c r="C2734" s="262" t="s">
        <v>782</v>
      </c>
      <c r="D2734" s="262">
        <v>-98.699529999999996</v>
      </c>
      <c r="E2734" s="262">
        <v>33.989409999999999</v>
      </c>
      <c r="M2734" s="262">
        <v>16.2445016</v>
      </c>
      <c r="N2734" s="262">
        <v>16.2445016</v>
      </c>
    </row>
    <row r="2735" spans="1:14" x14ac:dyDescent="0.25">
      <c r="A2735" s="262">
        <v>48487</v>
      </c>
      <c r="B2735" s="262" t="s">
        <v>1641</v>
      </c>
      <c r="C2735" s="262" t="s">
        <v>1796</v>
      </c>
      <c r="D2735" s="262">
        <v>-99.237075399999995</v>
      </c>
      <c r="E2735" s="262">
        <v>34.080179999999999</v>
      </c>
      <c r="M2735" s="262">
        <v>16.108537900000002</v>
      </c>
      <c r="N2735" s="262">
        <v>16.108537900000002</v>
      </c>
    </row>
    <row r="2736" spans="1:14" x14ac:dyDescent="0.25">
      <c r="A2736" s="262">
        <v>48489</v>
      </c>
      <c r="B2736" s="262" t="s">
        <v>1641</v>
      </c>
      <c r="C2736" s="262" t="s">
        <v>1797</v>
      </c>
      <c r="D2736" s="262">
        <v>-97.695546199999995</v>
      </c>
      <c r="E2736" s="262">
        <v>26.481470000000002</v>
      </c>
      <c r="M2736" s="262">
        <v>18.54340131</v>
      </c>
      <c r="N2736" s="262">
        <v>18.54340131</v>
      </c>
    </row>
    <row r="2737" spans="1:14" x14ac:dyDescent="0.25">
      <c r="A2737" s="262">
        <v>48491</v>
      </c>
      <c r="B2737" s="262" t="s">
        <v>1641</v>
      </c>
      <c r="C2737" s="262" t="s">
        <v>627</v>
      </c>
      <c r="D2737" s="262">
        <v>-97.605384700000002</v>
      </c>
      <c r="E2737" s="262">
        <v>30.6493</v>
      </c>
      <c r="M2737" s="262">
        <v>17.727012370000001</v>
      </c>
      <c r="N2737" s="262">
        <v>17.727012370000001</v>
      </c>
    </row>
    <row r="2738" spans="1:14" x14ac:dyDescent="0.25">
      <c r="A2738" s="262">
        <v>48493</v>
      </c>
      <c r="B2738" s="262" t="s">
        <v>1641</v>
      </c>
      <c r="C2738" s="262" t="s">
        <v>783</v>
      </c>
      <c r="D2738" s="262">
        <v>-98.083596</v>
      </c>
      <c r="E2738" s="262">
        <v>29.178619999999999</v>
      </c>
      <c r="M2738" s="262">
        <v>18.300831670000001</v>
      </c>
      <c r="N2738" s="262">
        <v>18.300831670000001</v>
      </c>
    </row>
    <row r="2739" spans="1:14" x14ac:dyDescent="0.25">
      <c r="A2739" s="262">
        <v>48495</v>
      </c>
      <c r="B2739" s="262" t="s">
        <v>1641</v>
      </c>
      <c r="C2739" s="262" t="s">
        <v>1798</v>
      </c>
      <c r="D2739" s="262">
        <v>-103.07016299999999</v>
      </c>
      <c r="E2739" s="262">
        <v>31.845890000000001</v>
      </c>
      <c r="M2739" s="262">
        <v>16.938496059999999</v>
      </c>
      <c r="N2739" s="262">
        <v>16.938496059999999</v>
      </c>
    </row>
    <row r="2740" spans="1:14" x14ac:dyDescent="0.25">
      <c r="A2740" s="262">
        <v>48497</v>
      </c>
      <c r="B2740" s="262" t="s">
        <v>1641</v>
      </c>
      <c r="C2740" s="262" t="s">
        <v>1799</v>
      </c>
      <c r="D2740" s="262">
        <v>-97.657154199999994</v>
      </c>
      <c r="E2740" s="262">
        <v>33.212479999999999</v>
      </c>
      <c r="M2740" s="262">
        <v>16.659910750000002</v>
      </c>
      <c r="N2740" s="262">
        <v>16.659910750000002</v>
      </c>
    </row>
    <row r="2741" spans="1:14" x14ac:dyDescent="0.25">
      <c r="A2741" s="262">
        <v>48499</v>
      </c>
      <c r="B2741" s="262" t="s">
        <v>1641</v>
      </c>
      <c r="C2741" s="262" t="s">
        <v>1449</v>
      </c>
      <c r="D2741" s="262">
        <v>-95.382785499999997</v>
      </c>
      <c r="E2741" s="262">
        <v>32.80894</v>
      </c>
      <c r="M2741" s="262">
        <v>16.780797889999999</v>
      </c>
      <c r="N2741" s="262">
        <v>16.780797889999999</v>
      </c>
    </row>
    <row r="2742" spans="1:14" x14ac:dyDescent="0.25">
      <c r="A2742" s="262">
        <v>48501</v>
      </c>
      <c r="B2742" s="262" t="s">
        <v>1641</v>
      </c>
      <c r="C2742" s="262" t="s">
        <v>1800</v>
      </c>
      <c r="D2742" s="262">
        <v>-102.830647</v>
      </c>
      <c r="E2742" s="262">
        <v>33.168619999999997</v>
      </c>
      <c r="M2742" s="262">
        <v>16.271126330000001</v>
      </c>
      <c r="N2742" s="262">
        <v>16.271126330000001</v>
      </c>
    </row>
    <row r="2743" spans="1:14" x14ac:dyDescent="0.25">
      <c r="A2743" s="262">
        <v>48503</v>
      </c>
      <c r="B2743" s="262" t="s">
        <v>1641</v>
      </c>
      <c r="C2743" s="262" t="s">
        <v>1801</v>
      </c>
      <c r="D2743" s="262">
        <v>-98.684747400000006</v>
      </c>
      <c r="E2743" s="262">
        <v>33.17944</v>
      </c>
      <c r="M2743" s="262">
        <v>16.676331210000001</v>
      </c>
      <c r="N2743" s="262">
        <v>16.676331210000001</v>
      </c>
    </row>
    <row r="2744" spans="1:14" x14ac:dyDescent="0.25">
      <c r="A2744" s="262">
        <v>48505</v>
      </c>
      <c r="B2744" s="262" t="s">
        <v>1641</v>
      </c>
      <c r="C2744" s="262" t="s">
        <v>1802</v>
      </c>
      <c r="D2744" s="262">
        <v>-99.177587399999993</v>
      </c>
      <c r="E2744" s="262">
        <v>27.008289999999999</v>
      </c>
      <c r="M2744" s="262">
        <v>18.208736529999999</v>
      </c>
      <c r="N2744" s="262">
        <v>18.208736529999999</v>
      </c>
    </row>
    <row r="2745" spans="1:14" x14ac:dyDescent="0.25">
      <c r="A2745" s="262">
        <v>48507</v>
      </c>
      <c r="B2745" s="262" t="s">
        <v>1641</v>
      </c>
      <c r="C2745" s="262" t="s">
        <v>1803</v>
      </c>
      <c r="D2745" s="262">
        <v>-99.762638300000006</v>
      </c>
      <c r="E2745" s="262">
        <v>28.858460000000001</v>
      </c>
      <c r="M2745" s="262">
        <v>18.00053423</v>
      </c>
      <c r="N2745" s="262">
        <v>18.00053423</v>
      </c>
    </row>
    <row r="2746" spans="1:14" x14ac:dyDescent="0.25">
      <c r="A2746" s="262">
        <v>49001</v>
      </c>
      <c r="B2746" s="262" t="s">
        <v>1804</v>
      </c>
      <c r="C2746" s="262" t="s">
        <v>1454</v>
      </c>
      <c r="D2746" s="262">
        <v>-113.234195</v>
      </c>
      <c r="E2746" s="262">
        <v>38.36777</v>
      </c>
      <c r="M2746" s="262">
        <v>11.650027830000001</v>
      </c>
      <c r="N2746" s="262">
        <v>11.650027830000001</v>
      </c>
    </row>
    <row r="2747" spans="1:14" x14ac:dyDescent="0.25">
      <c r="A2747" s="262">
        <v>49003</v>
      </c>
      <c r="B2747" s="262" t="s">
        <v>1804</v>
      </c>
      <c r="C2747" s="262" t="s">
        <v>1805</v>
      </c>
      <c r="D2747" s="262">
        <v>-113.093853</v>
      </c>
      <c r="E2747" s="262">
        <v>41.525260000000003</v>
      </c>
      <c r="M2747" s="262">
        <v>8.9403747389999992</v>
      </c>
      <c r="N2747" s="262">
        <v>8.9403747389999992</v>
      </c>
    </row>
    <row r="2748" spans="1:14" x14ac:dyDescent="0.25">
      <c r="A2748" s="262">
        <v>49005</v>
      </c>
      <c r="B2748" s="262" t="s">
        <v>1804</v>
      </c>
      <c r="C2748" s="262" t="s">
        <v>1806</v>
      </c>
      <c r="D2748" s="262">
        <v>-111.753142</v>
      </c>
      <c r="E2748" s="262">
        <v>41.726880000000001</v>
      </c>
      <c r="M2748" s="262">
        <v>8.9506377540000006</v>
      </c>
      <c r="N2748" s="262">
        <v>8.9506377540000006</v>
      </c>
    </row>
    <row r="2749" spans="1:14" x14ac:dyDescent="0.25">
      <c r="A2749" s="262">
        <v>49007</v>
      </c>
      <c r="B2749" s="262" t="s">
        <v>1804</v>
      </c>
      <c r="C2749" s="262" t="s">
        <v>1155</v>
      </c>
      <c r="D2749" s="262">
        <v>-110.593289</v>
      </c>
      <c r="E2749" s="262">
        <v>39.650260000000003</v>
      </c>
      <c r="M2749" s="262">
        <v>9.8651288600000004</v>
      </c>
      <c r="N2749" s="262">
        <v>9.8651288600000004</v>
      </c>
    </row>
    <row r="2750" spans="1:14" x14ac:dyDescent="0.25">
      <c r="A2750" s="262">
        <v>49009</v>
      </c>
      <c r="B2750" s="262" t="s">
        <v>1804</v>
      </c>
      <c r="C2750" s="262" t="s">
        <v>1807</v>
      </c>
      <c r="D2750" s="262">
        <v>-109.512456</v>
      </c>
      <c r="E2750" s="262">
        <v>40.880839999999999</v>
      </c>
      <c r="M2750" s="262">
        <v>9.1465021649999994</v>
      </c>
      <c r="N2750" s="262">
        <v>9.1465021649999994</v>
      </c>
    </row>
    <row r="2751" spans="1:14" x14ac:dyDescent="0.25">
      <c r="A2751" s="262">
        <v>49011</v>
      </c>
      <c r="B2751" s="262" t="s">
        <v>1804</v>
      </c>
      <c r="C2751" s="262" t="s">
        <v>684</v>
      </c>
      <c r="D2751" s="262">
        <v>-112.118028</v>
      </c>
      <c r="E2751" s="262">
        <v>40.99427</v>
      </c>
      <c r="M2751" s="262">
        <v>8.9919783049999999</v>
      </c>
      <c r="N2751" s="262">
        <v>8.9919783049999999</v>
      </c>
    </row>
    <row r="2752" spans="1:14" x14ac:dyDescent="0.25">
      <c r="A2752" s="262">
        <v>49013</v>
      </c>
      <c r="B2752" s="262" t="s">
        <v>1804</v>
      </c>
      <c r="C2752" s="262" t="s">
        <v>1808</v>
      </c>
      <c r="D2752" s="262">
        <v>-110.435152</v>
      </c>
      <c r="E2752" s="262">
        <v>40.301380000000002</v>
      </c>
      <c r="M2752" s="262">
        <v>9.376184211</v>
      </c>
      <c r="N2752" s="262">
        <v>9.376184211</v>
      </c>
    </row>
    <row r="2753" spans="1:14" x14ac:dyDescent="0.25">
      <c r="A2753" s="262">
        <v>49015</v>
      </c>
      <c r="B2753" s="262" t="s">
        <v>1804</v>
      </c>
      <c r="C2753" s="262" t="s">
        <v>1809</v>
      </c>
      <c r="D2753" s="262">
        <v>-110.69973400000001</v>
      </c>
      <c r="E2753" s="262">
        <v>38.995539999999998</v>
      </c>
      <c r="M2753" s="262">
        <v>10.532095930000001</v>
      </c>
      <c r="N2753" s="262">
        <v>10.532095930000001</v>
      </c>
    </row>
    <row r="2754" spans="1:14" x14ac:dyDescent="0.25">
      <c r="A2754" s="262">
        <v>49017</v>
      </c>
      <c r="B2754" s="262" t="s">
        <v>1804</v>
      </c>
      <c r="C2754" s="262" t="s">
        <v>335</v>
      </c>
      <c r="D2754" s="262">
        <v>-111.43268</v>
      </c>
      <c r="E2754" s="262">
        <v>37.856760000000001</v>
      </c>
      <c r="M2754" s="262">
        <v>11.91455741</v>
      </c>
      <c r="N2754" s="262">
        <v>11.91455741</v>
      </c>
    </row>
    <row r="2755" spans="1:14" x14ac:dyDescent="0.25">
      <c r="A2755" s="262">
        <v>49019</v>
      </c>
      <c r="B2755" s="262" t="s">
        <v>1804</v>
      </c>
      <c r="C2755" s="262" t="s">
        <v>337</v>
      </c>
      <c r="D2755" s="262">
        <v>-109.573543</v>
      </c>
      <c r="E2755" s="262">
        <v>38.987670000000001</v>
      </c>
      <c r="M2755" s="262">
        <v>10.52723387</v>
      </c>
      <c r="N2755" s="262">
        <v>10.52723387</v>
      </c>
    </row>
    <row r="2756" spans="1:14" x14ac:dyDescent="0.25">
      <c r="A2756" s="262">
        <v>49021</v>
      </c>
      <c r="B2756" s="262" t="s">
        <v>1804</v>
      </c>
      <c r="C2756" s="262" t="s">
        <v>974</v>
      </c>
      <c r="D2756" s="262">
        <v>-113.290085</v>
      </c>
      <c r="E2756" s="262">
        <v>37.863939999999999</v>
      </c>
      <c r="M2756" s="262">
        <v>11.98909523</v>
      </c>
      <c r="N2756" s="262">
        <v>11.98909523</v>
      </c>
    </row>
    <row r="2757" spans="1:14" x14ac:dyDescent="0.25">
      <c r="A2757" s="262">
        <v>49023</v>
      </c>
      <c r="B2757" s="262" t="s">
        <v>1804</v>
      </c>
      <c r="C2757" s="262" t="s">
        <v>1810</v>
      </c>
      <c r="D2757" s="262">
        <v>-112.785314</v>
      </c>
      <c r="E2757" s="262">
        <v>39.702129999999997</v>
      </c>
      <c r="M2757" s="262">
        <v>10.08039833</v>
      </c>
      <c r="N2757" s="262">
        <v>10.08039833</v>
      </c>
    </row>
    <row r="2758" spans="1:14" x14ac:dyDescent="0.25">
      <c r="A2758" s="262">
        <v>49025</v>
      </c>
      <c r="B2758" s="262" t="s">
        <v>1804</v>
      </c>
      <c r="C2758" s="262" t="s">
        <v>598</v>
      </c>
      <c r="D2758" s="262">
        <v>-111.887112</v>
      </c>
      <c r="E2758" s="262">
        <v>37.283079999999998</v>
      </c>
      <c r="M2758" s="262">
        <v>12.614124690000001</v>
      </c>
      <c r="N2758" s="262">
        <v>12.614124690000001</v>
      </c>
    </row>
    <row r="2759" spans="1:14" x14ac:dyDescent="0.25">
      <c r="A2759" s="262">
        <v>49027</v>
      </c>
      <c r="B2759" s="262" t="s">
        <v>1804</v>
      </c>
      <c r="C2759" s="262" t="s">
        <v>1811</v>
      </c>
      <c r="D2759" s="262">
        <v>-113.099401</v>
      </c>
      <c r="E2759" s="262">
        <v>39.076140000000002</v>
      </c>
      <c r="M2759" s="262">
        <v>10.953264649999999</v>
      </c>
      <c r="N2759" s="262">
        <v>10.953264649999999</v>
      </c>
    </row>
    <row r="2760" spans="1:14" x14ac:dyDescent="0.25">
      <c r="A2760" s="262">
        <v>49029</v>
      </c>
      <c r="B2760" s="262" t="s">
        <v>1804</v>
      </c>
      <c r="C2760" s="262" t="s">
        <v>164</v>
      </c>
      <c r="D2760" s="262">
        <v>-111.587566</v>
      </c>
      <c r="E2760" s="262">
        <v>41.088880000000003</v>
      </c>
      <c r="M2760" s="262">
        <v>8.8873263090000005</v>
      </c>
      <c r="N2760" s="262">
        <v>8.8873263090000005</v>
      </c>
    </row>
    <row r="2761" spans="1:14" x14ac:dyDescent="0.25">
      <c r="A2761" s="262">
        <v>49031</v>
      </c>
      <c r="B2761" s="262" t="s">
        <v>1804</v>
      </c>
      <c r="C2761" s="262" t="s">
        <v>1812</v>
      </c>
      <c r="D2761" s="262">
        <v>-112.122506</v>
      </c>
      <c r="E2761" s="262">
        <v>38.339880000000001</v>
      </c>
      <c r="M2761" s="262">
        <v>11.4388507</v>
      </c>
      <c r="N2761" s="262">
        <v>11.4388507</v>
      </c>
    </row>
    <row r="2762" spans="1:14" x14ac:dyDescent="0.25">
      <c r="A2762" s="262">
        <v>49033</v>
      </c>
      <c r="B2762" s="262" t="s">
        <v>1804</v>
      </c>
      <c r="C2762" s="262" t="s">
        <v>1813</v>
      </c>
      <c r="D2762" s="262">
        <v>-111.25327299999999</v>
      </c>
      <c r="E2762" s="262">
        <v>41.633139999999997</v>
      </c>
      <c r="M2762" s="262">
        <v>8.8628735540000001</v>
      </c>
      <c r="N2762" s="262">
        <v>8.8628735540000001</v>
      </c>
    </row>
    <row r="2763" spans="1:14" x14ac:dyDescent="0.25">
      <c r="A2763" s="262">
        <v>49035</v>
      </c>
      <c r="B2763" s="262" t="s">
        <v>1804</v>
      </c>
      <c r="C2763" s="262" t="s">
        <v>1814</v>
      </c>
      <c r="D2763" s="262">
        <v>-111.927198</v>
      </c>
      <c r="E2763" s="262">
        <v>40.677410000000002</v>
      </c>
      <c r="M2763" s="262">
        <v>8.9947197219999993</v>
      </c>
      <c r="N2763" s="262">
        <v>8.9947197219999993</v>
      </c>
    </row>
    <row r="2764" spans="1:14" x14ac:dyDescent="0.25">
      <c r="A2764" s="262">
        <v>49037</v>
      </c>
      <c r="B2764" s="262" t="s">
        <v>1804</v>
      </c>
      <c r="C2764" s="262" t="s">
        <v>361</v>
      </c>
      <c r="D2764" s="262">
        <v>-109.79697400000001</v>
      </c>
      <c r="E2764" s="262">
        <v>37.625459999999997</v>
      </c>
      <c r="M2764" s="262">
        <v>11.93597085</v>
      </c>
      <c r="N2764" s="262">
        <v>11.93597085</v>
      </c>
    </row>
    <row r="2765" spans="1:14" x14ac:dyDescent="0.25">
      <c r="A2765" s="262">
        <v>49039</v>
      </c>
      <c r="B2765" s="262" t="s">
        <v>1804</v>
      </c>
      <c r="C2765" s="262" t="s">
        <v>1815</v>
      </c>
      <c r="D2765" s="262">
        <v>-111.57840400000001</v>
      </c>
      <c r="E2765" s="262">
        <v>39.38138</v>
      </c>
      <c r="M2765" s="262">
        <v>10.15013665</v>
      </c>
      <c r="N2765" s="262">
        <v>10.15013665</v>
      </c>
    </row>
    <row r="2766" spans="1:14" x14ac:dyDescent="0.25">
      <c r="A2766" s="262">
        <v>49041</v>
      </c>
      <c r="B2766" s="262" t="s">
        <v>1804</v>
      </c>
      <c r="C2766" s="262" t="s">
        <v>246</v>
      </c>
      <c r="D2766" s="262">
        <v>-111.80673</v>
      </c>
      <c r="E2766" s="262">
        <v>38.74868</v>
      </c>
      <c r="M2766" s="262">
        <v>10.92168837</v>
      </c>
      <c r="N2766" s="262">
        <v>10.92168837</v>
      </c>
    </row>
    <row r="2767" spans="1:14" x14ac:dyDescent="0.25">
      <c r="A2767" s="262">
        <v>49043</v>
      </c>
      <c r="B2767" s="262" t="s">
        <v>1804</v>
      </c>
      <c r="C2767" s="262" t="s">
        <v>364</v>
      </c>
      <c r="D2767" s="262">
        <v>-110.961371</v>
      </c>
      <c r="E2767" s="262">
        <v>40.871659999999999</v>
      </c>
      <c r="M2767" s="262">
        <v>8.9523137189999993</v>
      </c>
      <c r="N2767" s="262">
        <v>8.9523137189999993</v>
      </c>
    </row>
    <row r="2768" spans="1:14" x14ac:dyDescent="0.25">
      <c r="A2768" s="262">
        <v>49045</v>
      </c>
      <c r="B2768" s="262" t="s">
        <v>1804</v>
      </c>
      <c r="C2768" s="262" t="s">
        <v>1816</v>
      </c>
      <c r="D2768" s="262">
        <v>-113.128254</v>
      </c>
      <c r="E2768" s="262">
        <v>40.451799999999999</v>
      </c>
      <c r="M2768" s="262">
        <v>9.3509446480000005</v>
      </c>
      <c r="N2768" s="262">
        <v>9.3509446480000005</v>
      </c>
    </row>
    <row r="2769" spans="1:14" x14ac:dyDescent="0.25">
      <c r="A2769" s="262">
        <v>49047</v>
      </c>
      <c r="B2769" s="262" t="s">
        <v>1804</v>
      </c>
      <c r="C2769" s="262" t="s">
        <v>1817</v>
      </c>
      <c r="D2769" s="262">
        <v>-109.527039</v>
      </c>
      <c r="E2769" s="262">
        <v>40.12323</v>
      </c>
      <c r="M2769" s="262">
        <v>9.6299716560000004</v>
      </c>
      <c r="N2769" s="262">
        <v>9.6299716560000004</v>
      </c>
    </row>
    <row r="2770" spans="1:14" x14ac:dyDescent="0.25">
      <c r="A2770" s="262">
        <v>49049</v>
      </c>
      <c r="B2770" s="262" t="s">
        <v>1804</v>
      </c>
      <c r="C2770" s="262" t="s">
        <v>1818</v>
      </c>
      <c r="D2770" s="262">
        <v>-111.675982</v>
      </c>
      <c r="E2770" s="262">
        <v>40.125369999999997</v>
      </c>
      <c r="M2770" s="262">
        <v>9.3298354830000001</v>
      </c>
      <c r="N2770" s="262">
        <v>9.3298354830000001</v>
      </c>
    </row>
    <row r="2771" spans="1:14" x14ac:dyDescent="0.25">
      <c r="A2771" s="262">
        <v>49051</v>
      </c>
      <c r="B2771" s="262" t="s">
        <v>1804</v>
      </c>
      <c r="C2771" s="262" t="s">
        <v>1819</v>
      </c>
      <c r="D2771" s="262">
        <v>-111.180651</v>
      </c>
      <c r="E2771" s="262">
        <v>40.331339999999997</v>
      </c>
      <c r="M2771" s="262">
        <v>9.1436890599999998</v>
      </c>
      <c r="N2771" s="262">
        <v>9.1436890599999998</v>
      </c>
    </row>
    <row r="2772" spans="1:14" x14ac:dyDescent="0.25">
      <c r="A2772" s="262">
        <v>49053</v>
      </c>
      <c r="B2772" s="262" t="s">
        <v>1804</v>
      </c>
      <c r="C2772" s="262" t="s">
        <v>177</v>
      </c>
      <c r="D2772" s="262">
        <v>-113.501802</v>
      </c>
      <c r="E2772" s="262">
        <v>37.281849999999999</v>
      </c>
      <c r="M2772" s="262">
        <v>12.39832234</v>
      </c>
      <c r="N2772" s="262">
        <v>12.39832234</v>
      </c>
    </row>
    <row r="2773" spans="1:14" x14ac:dyDescent="0.25">
      <c r="A2773" s="262">
        <v>49055</v>
      </c>
      <c r="B2773" s="262" t="s">
        <v>1804</v>
      </c>
      <c r="C2773" s="262" t="s">
        <v>534</v>
      </c>
      <c r="D2773" s="262">
        <v>-110.902582</v>
      </c>
      <c r="E2773" s="262">
        <v>38.3247</v>
      </c>
      <c r="M2773" s="262">
        <v>11.317897820000001</v>
      </c>
      <c r="N2773" s="262">
        <v>11.317897820000001</v>
      </c>
    </row>
    <row r="2774" spans="1:14" x14ac:dyDescent="0.25">
      <c r="A2774" s="262">
        <v>49057</v>
      </c>
      <c r="B2774" s="262" t="s">
        <v>1804</v>
      </c>
      <c r="C2774" s="262" t="s">
        <v>1820</v>
      </c>
      <c r="D2774" s="262">
        <v>-111.94192200000001</v>
      </c>
      <c r="E2774" s="262">
        <v>41.269379999999998</v>
      </c>
      <c r="M2774" s="262">
        <v>8.9521677270000009</v>
      </c>
      <c r="N2774" s="262">
        <v>8.9521677270000009</v>
      </c>
    </row>
    <row r="2775" spans="1:14" x14ac:dyDescent="0.25">
      <c r="A2775" s="262">
        <v>50001</v>
      </c>
      <c r="B2775" s="262" t="s">
        <v>1821</v>
      </c>
      <c r="C2775" s="262" t="s">
        <v>1822</v>
      </c>
      <c r="D2775" s="262">
        <v>-73.146295100000003</v>
      </c>
      <c r="E2775" s="262">
        <v>44.032060000000001</v>
      </c>
      <c r="M2775" s="262">
        <v>7.7390860269999999</v>
      </c>
      <c r="N2775" s="262">
        <v>7.7390860269999999</v>
      </c>
    </row>
    <row r="2776" spans="1:14" x14ac:dyDescent="0.25">
      <c r="A2776" s="262">
        <v>50003</v>
      </c>
      <c r="B2776" s="262" t="s">
        <v>1821</v>
      </c>
      <c r="C2776" s="262" t="s">
        <v>1823</v>
      </c>
      <c r="D2776" s="262">
        <v>-73.097202499999995</v>
      </c>
      <c r="E2776" s="262">
        <v>43.03698</v>
      </c>
      <c r="M2776" s="262">
        <v>8.9231312559999996</v>
      </c>
      <c r="N2776" s="262">
        <v>8.9231312559999996</v>
      </c>
    </row>
    <row r="2777" spans="1:14" x14ac:dyDescent="0.25">
      <c r="A2777" s="262">
        <v>50005</v>
      </c>
      <c r="B2777" s="262" t="s">
        <v>1821</v>
      </c>
      <c r="C2777" s="262" t="s">
        <v>1824</v>
      </c>
      <c r="D2777" s="262">
        <v>-72.095002300000004</v>
      </c>
      <c r="E2777" s="262">
        <v>44.461069999999999</v>
      </c>
      <c r="M2777" s="262">
        <v>8.0849081819999995</v>
      </c>
      <c r="N2777" s="262">
        <v>8.0849081819999995</v>
      </c>
    </row>
    <row r="2778" spans="1:14" x14ac:dyDescent="0.25">
      <c r="A2778" s="262">
        <v>50007</v>
      </c>
      <c r="B2778" s="262" t="s">
        <v>1821</v>
      </c>
      <c r="C2778" s="262" t="s">
        <v>1825</v>
      </c>
      <c r="D2778" s="262">
        <v>-73.095156000000003</v>
      </c>
      <c r="E2778" s="262">
        <v>44.461730000000003</v>
      </c>
      <c r="M2778" s="262">
        <v>7.5163139990000003</v>
      </c>
      <c r="N2778" s="262">
        <v>7.5163139990000003</v>
      </c>
    </row>
    <row r="2779" spans="1:14" x14ac:dyDescent="0.25">
      <c r="A2779" s="262">
        <v>50009</v>
      </c>
      <c r="B2779" s="262" t="s">
        <v>1821</v>
      </c>
      <c r="C2779" s="262" t="s">
        <v>941</v>
      </c>
      <c r="D2779" s="262">
        <v>-71.7405112</v>
      </c>
      <c r="E2779" s="262">
        <v>44.722709999999999</v>
      </c>
      <c r="M2779" s="262">
        <v>8.0953757329999991</v>
      </c>
      <c r="N2779" s="262">
        <v>8.0953757329999991</v>
      </c>
    </row>
    <row r="2780" spans="1:14" x14ac:dyDescent="0.25">
      <c r="A2780" s="262">
        <v>50011</v>
      </c>
      <c r="B2780" s="262" t="s">
        <v>1821</v>
      </c>
      <c r="C2780" s="262" t="s">
        <v>142</v>
      </c>
      <c r="D2780" s="262">
        <v>-72.916203300000006</v>
      </c>
      <c r="E2780" s="262">
        <v>44.854669999999999</v>
      </c>
      <c r="M2780" s="262">
        <v>7.5258194139999999</v>
      </c>
      <c r="N2780" s="262">
        <v>7.5258194139999999</v>
      </c>
    </row>
    <row r="2781" spans="1:14" x14ac:dyDescent="0.25">
      <c r="A2781" s="262">
        <v>50013</v>
      </c>
      <c r="B2781" s="262" t="s">
        <v>1821</v>
      </c>
      <c r="C2781" s="262" t="s">
        <v>1826</v>
      </c>
      <c r="D2781" s="262">
        <v>-73.302884199999994</v>
      </c>
      <c r="E2781" s="262">
        <v>44.803629999999998</v>
      </c>
      <c r="M2781" s="262">
        <v>7.3574748230000004</v>
      </c>
      <c r="N2781" s="262">
        <v>7.3574748230000004</v>
      </c>
    </row>
    <row r="2782" spans="1:14" x14ac:dyDescent="0.25">
      <c r="A2782" s="262">
        <v>50015</v>
      </c>
      <c r="B2782" s="262" t="s">
        <v>1821</v>
      </c>
      <c r="C2782" s="262" t="s">
        <v>1827</v>
      </c>
      <c r="D2782" s="262">
        <v>-72.6414817</v>
      </c>
      <c r="E2782" s="262">
        <v>44.603999999999999</v>
      </c>
      <c r="M2782" s="262">
        <v>7.7318846969999999</v>
      </c>
      <c r="N2782" s="262">
        <v>7.7318846969999999</v>
      </c>
    </row>
    <row r="2783" spans="1:14" x14ac:dyDescent="0.25">
      <c r="A2783" s="262">
        <v>50017</v>
      </c>
      <c r="B2783" s="262" t="s">
        <v>1821</v>
      </c>
      <c r="C2783" s="262" t="s">
        <v>283</v>
      </c>
      <c r="D2783" s="262">
        <v>-72.378953100000004</v>
      </c>
      <c r="E2783" s="262">
        <v>44.009010000000004</v>
      </c>
      <c r="M2783" s="262">
        <v>8.2503445129999999</v>
      </c>
      <c r="N2783" s="262">
        <v>8.2503445129999999</v>
      </c>
    </row>
    <row r="2784" spans="1:14" x14ac:dyDescent="0.25">
      <c r="A2784" s="262">
        <v>50019</v>
      </c>
      <c r="B2784" s="262" t="s">
        <v>1821</v>
      </c>
      <c r="C2784" s="262" t="s">
        <v>1302</v>
      </c>
      <c r="D2784" s="262">
        <v>-72.238336099999998</v>
      </c>
      <c r="E2784" s="262">
        <v>44.837449999999997</v>
      </c>
      <c r="M2784" s="262">
        <v>7.8409029520000004</v>
      </c>
      <c r="N2784" s="262">
        <v>7.8409029520000004</v>
      </c>
    </row>
    <row r="2785" spans="1:14" x14ac:dyDescent="0.25">
      <c r="A2785" s="262">
        <v>50021</v>
      </c>
      <c r="B2785" s="262" t="s">
        <v>1821</v>
      </c>
      <c r="C2785" s="262" t="s">
        <v>1828</v>
      </c>
      <c r="D2785" s="262">
        <v>-73.041935699999996</v>
      </c>
      <c r="E2785" s="262">
        <v>43.579889999999999</v>
      </c>
      <c r="M2785" s="262">
        <v>8.2846744080000008</v>
      </c>
      <c r="N2785" s="262">
        <v>8.2846744080000008</v>
      </c>
    </row>
    <row r="2786" spans="1:14" x14ac:dyDescent="0.25">
      <c r="A2786" s="262">
        <v>50023</v>
      </c>
      <c r="B2786" s="262" t="s">
        <v>1821</v>
      </c>
      <c r="C2786" s="262" t="s">
        <v>177</v>
      </c>
      <c r="D2786" s="262">
        <v>-72.612173900000002</v>
      </c>
      <c r="E2786" s="262">
        <v>44.276739999999997</v>
      </c>
      <c r="M2786" s="262">
        <v>7.9167556960000001</v>
      </c>
      <c r="N2786" s="262">
        <v>7.9167556960000001</v>
      </c>
    </row>
    <row r="2787" spans="1:14" x14ac:dyDescent="0.25">
      <c r="A2787" s="262">
        <v>50025</v>
      </c>
      <c r="B2787" s="262" t="s">
        <v>1821</v>
      </c>
      <c r="C2787" s="262" t="s">
        <v>375</v>
      </c>
      <c r="D2787" s="262">
        <v>-72.717586699999998</v>
      </c>
      <c r="E2787" s="262">
        <v>42.990720000000003</v>
      </c>
      <c r="M2787" s="262">
        <v>9.1443647689999992</v>
      </c>
      <c r="N2787" s="262">
        <v>9.1443647689999992</v>
      </c>
    </row>
    <row r="2788" spans="1:14" x14ac:dyDescent="0.25">
      <c r="A2788" s="262">
        <v>50027</v>
      </c>
      <c r="B2788" s="262" t="s">
        <v>1821</v>
      </c>
      <c r="C2788" s="262" t="s">
        <v>1829</v>
      </c>
      <c r="D2788" s="262">
        <v>-72.584917000000004</v>
      </c>
      <c r="E2788" s="262">
        <v>43.584899999999998</v>
      </c>
      <c r="M2788" s="262">
        <v>8.5294468719999994</v>
      </c>
      <c r="N2788" s="262">
        <v>8.5294468719999994</v>
      </c>
    </row>
    <row r="2789" spans="1:14" x14ac:dyDescent="0.25">
      <c r="A2789" s="262">
        <v>51001</v>
      </c>
      <c r="B2789" s="262" t="s">
        <v>1830</v>
      </c>
      <c r="C2789" s="262" t="s">
        <v>1831</v>
      </c>
      <c r="D2789" s="262">
        <v>-75.308161699999999</v>
      </c>
      <c r="E2789" s="262">
        <v>37.952669999999998</v>
      </c>
      <c r="M2789" s="262">
        <v>14.93202207</v>
      </c>
      <c r="N2789" s="262">
        <v>14.93202207</v>
      </c>
    </row>
    <row r="2790" spans="1:14" x14ac:dyDescent="0.25">
      <c r="A2790" s="262">
        <v>51003</v>
      </c>
      <c r="B2790" s="262" t="s">
        <v>1830</v>
      </c>
      <c r="C2790" s="262" t="s">
        <v>1832</v>
      </c>
      <c r="D2790" s="262">
        <v>-78.556827900000002</v>
      </c>
      <c r="E2790" s="262">
        <v>38.023009999999999</v>
      </c>
      <c r="M2790" s="262">
        <v>12.79324866</v>
      </c>
      <c r="N2790" s="262">
        <v>12.79324866</v>
      </c>
    </row>
    <row r="2791" spans="1:14" x14ac:dyDescent="0.25">
      <c r="A2791" s="262">
        <v>51005</v>
      </c>
      <c r="B2791" s="262" t="s">
        <v>1830</v>
      </c>
      <c r="C2791" s="262" t="s">
        <v>1320</v>
      </c>
      <c r="D2791" s="262">
        <v>-80.010052999999999</v>
      </c>
      <c r="E2791" s="262">
        <v>37.779870000000003</v>
      </c>
      <c r="M2791" s="262">
        <v>12.46009321</v>
      </c>
      <c r="N2791" s="262">
        <v>12.46009321</v>
      </c>
    </row>
    <row r="2792" spans="1:14" x14ac:dyDescent="0.25">
      <c r="A2792" s="262">
        <v>51007</v>
      </c>
      <c r="B2792" s="262" t="s">
        <v>1830</v>
      </c>
      <c r="C2792" s="262" t="s">
        <v>1833</v>
      </c>
      <c r="D2792" s="262">
        <v>-77.9803316</v>
      </c>
      <c r="E2792" s="262">
        <v>37.334000000000003</v>
      </c>
      <c r="M2792" s="262">
        <v>14.50099391</v>
      </c>
      <c r="N2792" s="262">
        <v>14.50099391</v>
      </c>
    </row>
    <row r="2793" spans="1:14" x14ac:dyDescent="0.25">
      <c r="A2793" s="262">
        <v>51009</v>
      </c>
      <c r="B2793" s="262" t="s">
        <v>1830</v>
      </c>
      <c r="C2793" s="262" t="s">
        <v>1834</v>
      </c>
      <c r="D2793" s="262">
        <v>-79.145364299999997</v>
      </c>
      <c r="E2793" s="262">
        <v>37.599290000000003</v>
      </c>
      <c r="M2793" s="262">
        <v>13.117199019999999</v>
      </c>
      <c r="N2793" s="262">
        <v>13.117199019999999</v>
      </c>
    </row>
    <row r="2794" spans="1:14" x14ac:dyDescent="0.25">
      <c r="A2794" s="262">
        <v>51011</v>
      </c>
      <c r="B2794" s="262" t="s">
        <v>1830</v>
      </c>
      <c r="C2794" s="262" t="s">
        <v>1835</v>
      </c>
      <c r="D2794" s="262">
        <v>-78.812000600000005</v>
      </c>
      <c r="E2794" s="262">
        <v>37.36694</v>
      </c>
      <c r="M2794" s="262">
        <v>13.82238405</v>
      </c>
      <c r="N2794" s="262">
        <v>13.82238405</v>
      </c>
    </row>
    <row r="2795" spans="1:14" x14ac:dyDescent="0.25">
      <c r="A2795" s="262">
        <v>51013</v>
      </c>
      <c r="B2795" s="262" t="s">
        <v>1830</v>
      </c>
      <c r="C2795" s="262" t="s">
        <v>1836</v>
      </c>
      <c r="D2795" s="262">
        <v>-77.113579200000004</v>
      </c>
      <c r="E2795" s="262">
        <v>38.878540000000001</v>
      </c>
      <c r="M2795" s="262">
        <v>13.477302330000001</v>
      </c>
      <c r="N2795" s="262">
        <v>13.477302330000001</v>
      </c>
    </row>
    <row r="2796" spans="1:14" x14ac:dyDescent="0.25">
      <c r="A2796" s="262">
        <v>51015</v>
      </c>
      <c r="B2796" s="262" t="s">
        <v>1830</v>
      </c>
      <c r="C2796" s="262" t="s">
        <v>1837</v>
      </c>
      <c r="D2796" s="262">
        <v>-79.131934799999996</v>
      </c>
      <c r="E2796" s="262">
        <v>38.160690000000002</v>
      </c>
      <c r="M2796" s="262">
        <v>11.61360951</v>
      </c>
      <c r="N2796" s="262">
        <v>11.61360951</v>
      </c>
    </row>
    <row r="2797" spans="1:14" x14ac:dyDescent="0.25">
      <c r="A2797" s="262">
        <v>51017</v>
      </c>
      <c r="B2797" s="262" t="s">
        <v>1830</v>
      </c>
      <c r="C2797" s="262" t="s">
        <v>789</v>
      </c>
      <c r="D2797" s="262">
        <v>-79.744017299999996</v>
      </c>
      <c r="E2797" s="262">
        <v>38.057099999999998</v>
      </c>
      <c r="M2797" s="262">
        <v>11.611742339999999</v>
      </c>
      <c r="N2797" s="262">
        <v>11.611742339999999</v>
      </c>
    </row>
    <row r="2798" spans="1:14" x14ac:dyDescent="0.25">
      <c r="A2798" s="262">
        <v>51019</v>
      </c>
      <c r="B2798" s="262" t="s">
        <v>1830</v>
      </c>
      <c r="C2798" s="262" t="s">
        <v>1514</v>
      </c>
      <c r="D2798" s="262">
        <v>-79.523112600000005</v>
      </c>
      <c r="E2798" s="262">
        <v>37.317639999999997</v>
      </c>
      <c r="M2798" s="262">
        <v>13.697325899999999</v>
      </c>
      <c r="N2798" s="262">
        <v>13.697325899999999</v>
      </c>
    </row>
    <row r="2799" spans="1:14" x14ac:dyDescent="0.25">
      <c r="A2799" s="262">
        <v>51021</v>
      </c>
      <c r="B2799" s="262" t="s">
        <v>1830</v>
      </c>
      <c r="C2799" s="262" t="s">
        <v>1838</v>
      </c>
      <c r="D2799" s="262">
        <v>-81.129398300000005</v>
      </c>
      <c r="E2799" s="262">
        <v>37.127870000000001</v>
      </c>
      <c r="M2799" s="262">
        <v>13.64591321</v>
      </c>
      <c r="N2799" s="262">
        <v>13.64591321</v>
      </c>
    </row>
    <row r="2800" spans="1:14" x14ac:dyDescent="0.25">
      <c r="A2800" s="262">
        <v>51023</v>
      </c>
      <c r="B2800" s="262" t="s">
        <v>1830</v>
      </c>
      <c r="C2800" s="262" t="s">
        <v>1839</v>
      </c>
      <c r="D2800" s="262">
        <v>-79.810605800000005</v>
      </c>
      <c r="E2800" s="262">
        <v>37.552869999999999</v>
      </c>
      <c r="M2800" s="262">
        <v>13.00567957</v>
      </c>
      <c r="N2800" s="262">
        <v>13.00567957</v>
      </c>
    </row>
    <row r="2801" spans="1:14" x14ac:dyDescent="0.25">
      <c r="A2801" s="262">
        <v>51025</v>
      </c>
      <c r="B2801" s="262" t="s">
        <v>1830</v>
      </c>
      <c r="C2801" s="262" t="s">
        <v>1327</v>
      </c>
      <c r="D2801" s="262">
        <v>-77.858727299999998</v>
      </c>
      <c r="E2801" s="262">
        <v>36.765729999999998</v>
      </c>
      <c r="M2801" s="262">
        <v>15.14943315</v>
      </c>
      <c r="N2801" s="262">
        <v>15.14943315</v>
      </c>
    </row>
    <row r="2802" spans="1:14" x14ac:dyDescent="0.25">
      <c r="A2802" s="262">
        <v>51027</v>
      </c>
      <c r="B2802" s="262" t="s">
        <v>1830</v>
      </c>
      <c r="C2802" s="262" t="s">
        <v>679</v>
      </c>
      <c r="D2802" s="262">
        <v>-82.039856</v>
      </c>
      <c r="E2802" s="262">
        <v>37.261290000000002</v>
      </c>
      <c r="M2802" s="262">
        <v>13.4604169</v>
      </c>
      <c r="N2802" s="262">
        <v>13.4604169</v>
      </c>
    </row>
    <row r="2803" spans="1:14" x14ac:dyDescent="0.25">
      <c r="A2803" s="262">
        <v>51029</v>
      </c>
      <c r="B2803" s="262" t="s">
        <v>1830</v>
      </c>
      <c r="C2803" s="262" t="s">
        <v>1840</v>
      </c>
      <c r="D2803" s="262">
        <v>-78.529572299999998</v>
      </c>
      <c r="E2803" s="262">
        <v>37.56512</v>
      </c>
      <c r="M2803" s="262">
        <v>13.66995212</v>
      </c>
      <c r="N2803" s="262">
        <v>13.66995212</v>
      </c>
    </row>
    <row r="2804" spans="1:14" x14ac:dyDescent="0.25">
      <c r="A2804" s="262">
        <v>51031</v>
      </c>
      <c r="B2804" s="262" t="s">
        <v>1830</v>
      </c>
      <c r="C2804" s="262" t="s">
        <v>799</v>
      </c>
      <c r="D2804" s="262">
        <v>-79.102326000000005</v>
      </c>
      <c r="E2804" s="262">
        <v>37.219929999999998</v>
      </c>
      <c r="M2804" s="262">
        <v>14.027558730000001</v>
      </c>
      <c r="N2804" s="262">
        <v>14.027558730000001</v>
      </c>
    </row>
    <row r="2805" spans="1:14" x14ac:dyDescent="0.25">
      <c r="A2805" s="262">
        <v>51033</v>
      </c>
      <c r="B2805" s="262" t="s">
        <v>1830</v>
      </c>
      <c r="C2805" s="262" t="s">
        <v>923</v>
      </c>
      <c r="D2805" s="262">
        <v>-77.348933599999995</v>
      </c>
      <c r="E2805" s="262">
        <v>38.03107</v>
      </c>
      <c r="M2805" s="262">
        <v>14.470285840000001</v>
      </c>
      <c r="N2805" s="262">
        <v>14.470285840000001</v>
      </c>
    </row>
    <row r="2806" spans="1:14" x14ac:dyDescent="0.25">
      <c r="A2806" s="262">
        <v>51035</v>
      </c>
      <c r="B2806" s="262" t="s">
        <v>1830</v>
      </c>
      <c r="C2806" s="262" t="s">
        <v>203</v>
      </c>
      <c r="D2806" s="262">
        <v>-80.727516699999995</v>
      </c>
      <c r="E2806" s="262">
        <v>36.72457</v>
      </c>
      <c r="M2806" s="262">
        <v>14.11890165</v>
      </c>
      <c r="N2806" s="262">
        <v>14.11890165</v>
      </c>
    </row>
    <row r="2807" spans="1:14" x14ac:dyDescent="0.25">
      <c r="A2807" s="262">
        <v>51036</v>
      </c>
      <c r="B2807" s="262" t="s">
        <v>1830</v>
      </c>
      <c r="C2807" s="262" t="s">
        <v>1841</v>
      </c>
      <c r="D2807" s="262">
        <v>-77.075828200000004</v>
      </c>
      <c r="E2807" s="262">
        <v>37.360439999999997</v>
      </c>
      <c r="M2807" s="262">
        <v>15.16552465</v>
      </c>
      <c r="N2807" s="262">
        <v>15.16552465</v>
      </c>
    </row>
    <row r="2808" spans="1:14" x14ac:dyDescent="0.25">
      <c r="A2808" s="262">
        <v>51037</v>
      </c>
      <c r="B2808" s="262" t="s">
        <v>1830</v>
      </c>
      <c r="C2808" s="262" t="s">
        <v>389</v>
      </c>
      <c r="D2808" s="262">
        <v>-78.665271599999997</v>
      </c>
      <c r="E2808" s="262">
        <v>37.01267</v>
      </c>
      <c r="M2808" s="262">
        <v>14.46638903</v>
      </c>
      <c r="N2808" s="262">
        <v>14.46638903</v>
      </c>
    </row>
    <row r="2809" spans="1:14" x14ac:dyDescent="0.25">
      <c r="A2809" s="262">
        <v>51041</v>
      </c>
      <c r="B2809" s="262" t="s">
        <v>1830</v>
      </c>
      <c r="C2809" s="262" t="s">
        <v>1556</v>
      </c>
      <c r="D2809" s="262">
        <v>-77.576304199999996</v>
      </c>
      <c r="E2809" s="262">
        <v>37.388800000000003</v>
      </c>
      <c r="M2809" s="262">
        <v>14.81664396</v>
      </c>
      <c r="N2809" s="262">
        <v>14.81664396</v>
      </c>
    </row>
    <row r="2810" spans="1:14" x14ac:dyDescent="0.25">
      <c r="A2810" s="262">
        <v>51043</v>
      </c>
      <c r="B2810" s="262" t="s">
        <v>1830</v>
      </c>
      <c r="C2810" s="262" t="s">
        <v>125</v>
      </c>
      <c r="D2810" s="262">
        <v>-78.007383399999995</v>
      </c>
      <c r="E2810" s="262">
        <v>39.117019999999997</v>
      </c>
      <c r="M2810" s="262">
        <v>12.225246759999999</v>
      </c>
      <c r="N2810" s="262">
        <v>12.225246759999999</v>
      </c>
    </row>
    <row r="2811" spans="1:14" x14ac:dyDescent="0.25">
      <c r="A2811" s="262">
        <v>51045</v>
      </c>
      <c r="B2811" s="262" t="s">
        <v>1830</v>
      </c>
      <c r="C2811" s="262" t="s">
        <v>1461</v>
      </c>
      <c r="D2811" s="262">
        <v>-80.212563599999996</v>
      </c>
      <c r="E2811" s="262">
        <v>37.470210000000002</v>
      </c>
      <c r="M2811" s="262">
        <v>13.163418890000001</v>
      </c>
      <c r="N2811" s="262">
        <v>13.163418890000001</v>
      </c>
    </row>
    <row r="2812" spans="1:14" x14ac:dyDescent="0.25">
      <c r="A2812" s="262">
        <v>51047</v>
      </c>
      <c r="B2812" s="262" t="s">
        <v>1830</v>
      </c>
      <c r="C2812" s="262" t="s">
        <v>1842</v>
      </c>
      <c r="D2812" s="262">
        <v>-77.954718</v>
      </c>
      <c r="E2812" s="262">
        <v>38.490270000000002</v>
      </c>
      <c r="M2812" s="262">
        <v>13.023418550000001</v>
      </c>
      <c r="N2812" s="262">
        <v>13.023418550000001</v>
      </c>
    </row>
    <row r="2813" spans="1:14" x14ac:dyDescent="0.25">
      <c r="A2813" s="262">
        <v>51049</v>
      </c>
      <c r="B2813" s="262" t="s">
        <v>1830</v>
      </c>
      <c r="C2813" s="262" t="s">
        <v>585</v>
      </c>
      <c r="D2813" s="262">
        <v>-78.245261099999993</v>
      </c>
      <c r="E2813" s="262">
        <v>37.50844</v>
      </c>
      <c r="M2813" s="262">
        <v>14.035266050000001</v>
      </c>
      <c r="N2813" s="262">
        <v>14.035266050000001</v>
      </c>
    </row>
    <row r="2814" spans="1:14" x14ac:dyDescent="0.25">
      <c r="A2814" s="262">
        <v>51051</v>
      </c>
      <c r="B2814" s="262" t="s">
        <v>1830</v>
      </c>
      <c r="C2814" s="262" t="s">
        <v>1843</v>
      </c>
      <c r="D2814" s="262">
        <v>-82.356057300000003</v>
      </c>
      <c r="E2814" s="262">
        <v>37.119500000000002</v>
      </c>
      <c r="M2814" s="262">
        <v>13.403987000000001</v>
      </c>
      <c r="N2814" s="262">
        <v>13.403987000000001</v>
      </c>
    </row>
    <row r="2815" spans="1:14" x14ac:dyDescent="0.25">
      <c r="A2815" s="262">
        <v>51053</v>
      </c>
      <c r="B2815" s="262" t="s">
        <v>1830</v>
      </c>
      <c r="C2815" s="262" t="s">
        <v>1844</v>
      </c>
      <c r="D2815" s="262">
        <v>-77.627832799999993</v>
      </c>
      <c r="E2815" s="262">
        <v>37.081110000000002</v>
      </c>
      <c r="M2815" s="262">
        <v>15.02753044</v>
      </c>
      <c r="N2815" s="262">
        <v>15.02753044</v>
      </c>
    </row>
    <row r="2816" spans="1:14" x14ac:dyDescent="0.25">
      <c r="A2816" s="262">
        <v>51057</v>
      </c>
      <c r="B2816" s="262" t="s">
        <v>1830</v>
      </c>
      <c r="C2816" s="262" t="s">
        <v>941</v>
      </c>
      <c r="D2816" s="262">
        <v>-76.955728500000006</v>
      </c>
      <c r="E2816" s="262">
        <v>37.936279999999996</v>
      </c>
      <c r="M2816" s="262">
        <v>14.79522118</v>
      </c>
      <c r="N2816" s="262">
        <v>14.79522118</v>
      </c>
    </row>
    <row r="2817" spans="1:14" x14ac:dyDescent="0.25">
      <c r="A2817" s="262">
        <v>51059</v>
      </c>
      <c r="B2817" s="262" t="s">
        <v>1830</v>
      </c>
      <c r="C2817" s="262" t="s">
        <v>1845</v>
      </c>
      <c r="D2817" s="262">
        <v>-77.282962999999995</v>
      </c>
      <c r="E2817" s="262">
        <v>38.835889999999999</v>
      </c>
      <c r="M2817" s="262">
        <v>13.42535868</v>
      </c>
      <c r="N2817" s="262">
        <v>13.42535868</v>
      </c>
    </row>
    <row r="2818" spans="1:14" x14ac:dyDescent="0.25">
      <c r="A2818" s="262">
        <v>51061</v>
      </c>
      <c r="B2818" s="262" t="s">
        <v>1830</v>
      </c>
      <c r="C2818" s="262" t="s">
        <v>1846</v>
      </c>
      <c r="D2818" s="262">
        <v>-77.808977600000006</v>
      </c>
      <c r="E2818" s="262">
        <v>38.740229999999997</v>
      </c>
      <c r="M2818" s="262">
        <v>12.93892232</v>
      </c>
      <c r="N2818" s="262">
        <v>12.93892232</v>
      </c>
    </row>
    <row r="2819" spans="1:14" x14ac:dyDescent="0.25">
      <c r="A2819" s="262">
        <v>51063</v>
      </c>
      <c r="B2819" s="262" t="s">
        <v>1830</v>
      </c>
      <c r="C2819" s="262" t="s">
        <v>474</v>
      </c>
      <c r="D2819" s="262">
        <v>-80.366635400000007</v>
      </c>
      <c r="E2819" s="262">
        <v>36.928449999999998</v>
      </c>
      <c r="M2819" s="262">
        <v>13.967500129999999</v>
      </c>
      <c r="N2819" s="262">
        <v>13.967500129999999</v>
      </c>
    </row>
    <row r="2820" spans="1:14" x14ac:dyDescent="0.25">
      <c r="A2820" s="262">
        <v>51065</v>
      </c>
      <c r="B2820" s="262" t="s">
        <v>1830</v>
      </c>
      <c r="C2820" s="262" t="s">
        <v>1847</v>
      </c>
      <c r="D2820" s="262">
        <v>-78.279958800000003</v>
      </c>
      <c r="E2820" s="262">
        <v>37.834629999999997</v>
      </c>
      <c r="M2820" s="262">
        <v>13.50097225</v>
      </c>
      <c r="N2820" s="262">
        <v>13.50097225</v>
      </c>
    </row>
    <row r="2821" spans="1:14" x14ac:dyDescent="0.25">
      <c r="A2821" s="262">
        <v>51067</v>
      </c>
      <c r="B2821" s="262" t="s">
        <v>1830</v>
      </c>
      <c r="C2821" s="262" t="s">
        <v>142</v>
      </c>
      <c r="D2821" s="262">
        <v>-79.888431800000006</v>
      </c>
      <c r="E2821" s="262">
        <v>36.989420000000003</v>
      </c>
      <c r="M2821" s="262">
        <v>14.08876594</v>
      </c>
      <c r="N2821" s="262">
        <v>14.08876594</v>
      </c>
    </row>
    <row r="2822" spans="1:14" x14ac:dyDescent="0.25">
      <c r="A2822" s="262">
        <v>51069</v>
      </c>
      <c r="B2822" s="262" t="s">
        <v>1830</v>
      </c>
      <c r="C2822" s="262" t="s">
        <v>927</v>
      </c>
      <c r="D2822" s="262">
        <v>-78.275689700000001</v>
      </c>
      <c r="E2822" s="262">
        <v>39.212789999999998</v>
      </c>
      <c r="M2822" s="262">
        <v>11.77639871</v>
      </c>
      <c r="N2822" s="262">
        <v>11.77639871</v>
      </c>
    </row>
    <row r="2823" spans="1:14" x14ac:dyDescent="0.25">
      <c r="A2823" s="262">
        <v>51071</v>
      </c>
      <c r="B2823" s="262" t="s">
        <v>1830</v>
      </c>
      <c r="C2823" s="262" t="s">
        <v>1623</v>
      </c>
      <c r="D2823" s="262">
        <v>-80.704923699999995</v>
      </c>
      <c r="E2823" s="262">
        <v>37.308729999999997</v>
      </c>
      <c r="M2823" s="262">
        <v>13.453498980000001</v>
      </c>
      <c r="N2823" s="262">
        <v>13.453498980000001</v>
      </c>
    </row>
    <row r="2824" spans="1:14" x14ac:dyDescent="0.25">
      <c r="A2824" s="262">
        <v>51073</v>
      </c>
      <c r="B2824" s="262" t="s">
        <v>1830</v>
      </c>
      <c r="C2824" s="262" t="s">
        <v>1254</v>
      </c>
      <c r="D2824" s="262">
        <v>-76.546526499999999</v>
      </c>
      <c r="E2824" s="262">
        <v>37.421320000000001</v>
      </c>
      <c r="M2824" s="262">
        <v>15.24150597</v>
      </c>
      <c r="N2824" s="262">
        <v>15.24150597</v>
      </c>
    </row>
    <row r="2825" spans="1:14" x14ac:dyDescent="0.25">
      <c r="A2825" s="262">
        <v>51075</v>
      </c>
      <c r="B2825" s="262" t="s">
        <v>1830</v>
      </c>
      <c r="C2825" s="262" t="s">
        <v>1848</v>
      </c>
      <c r="D2825" s="262">
        <v>-77.920862400000004</v>
      </c>
      <c r="E2825" s="262">
        <v>37.721899999999998</v>
      </c>
      <c r="M2825" s="262">
        <v>14.104981990000001</v>
      </c>
      <c r="N2825" s="262">
        <v>14.104981990000001</v>
      </c>
    </row>
    <row r="2826" spans="1:14" x14ac:dyDescent="0.25">
      <c r="A2826" s="262">
        <v>51077</v>
      </c>
      <c r="B2826" s="262" t="s">
        <v>1830</v>
      </c>
      <c r="C2826" s="262" t="s">
        <v>809</v>
      </c>
      <c r="D2826" s="262">
        <v>-81.205989500000001</v>
      </c>
      <c r="E2826" s="262">
        <v>36.651859999999999</v>
      </c>
      <c r="M2826" s="262">
        <v>14.04914372</v>
      </c>
      <c r="N2826" s="262">
        <v>14.04914372</v>
      </c>
    </row>
    <row r="2827" spans="1:14" x14ac:dyDescent="0.25">
      <c r="A2827" s="262">
        <v>51079</v>
      </c>
      <c r="B2827" s="262" t="s">
        <v>1830</v>
      </c>
      <c r="C2827" s="262" t="s">
        <v>144</v>
      </c>
      <c r="D2827" s="262">
        <v>-78.467331200000004</v>
      </c>
      <c r="E2827" s="262">
        <v>38.298479999999998</v>
      </c>
      <c r="M2827" s="262">
        <v>12.45966132</v>
      </c>
      <c r="N2827" s="262">
        <v>12.45966132</v>
      </c>
    </row>
    <row r="2828" spans="1:14" x14ac:dyDescent="0.25">
      <c r="A2828" s="262">
        <v>51081</v>
      </c>
      <c r="B2828" s="262" t="s">
        <v>1830</v>
      </c>
      <c r="C2828" s="262" t="s">
        <v>1849</v>
      </c>
      <c r="D2828" s="262">
        <v>-77.558765100000002</v>
      </c>
      <c r="E2828" s="262">
        <v>36.678249999999998</v>
      </c>
      <c r="M2828" s="262">
        <v>15.374485010000001</v>
      </c>
      <c r="N2828" s="262">
        <v>15.374485010000001</v>
      </c>
    </row>
    <row r="2829" spans="1:14" x14ac:dyDescent="0.25">
      <c r="A2829" s="262">
        <v>51083</v>
      </c>
      <c r="B2829" s="262" t="s">
        <v>1830</v>
      </c>
      <c r="C2829" s="262" t="s">
        <v>1347</v>
      </c>
      <c r="D2829" s="262">
        <v>-78.929676900000004</v>
      </c>
      <c r="E2829" s="262">
        <v>36.76155</v>
      </c>
      <c r="M2829" s="262">
        <v>14.671462289999999</v>
      </c>
      <c r="N2829" s="262">
        <v>14.671462289999999</v>
      </c>
    </row>
    <row r="2830" spans="1:14" x14ac:dyDescent="0.25">
      <c r="A2830" s="262">
        <v>51085</v>
      </c>
      <c r="B2830" s="262" t="s">
        <v>1830</v>
      </c>
      <c r="C2830" s="262" t="s">
        <v>1850</v>
      </c>
      <c r="D2830" s="262">
        <v>-77.486904199999998</v>
      </c>
      <c r="E2830" s="262">
        <v>37.762250000000002</v>
      </c>
      <c r="M2830" s="262">
        <v>14.57725935</v>
      </c>
      <c r="N2830" s="262">
        <v>14.57725935</v>
      </c>
    </row>
    <row r="2831" spans="1:14" x14ac:dyDescent="0.25">
      <c r="A2831" s="262">
        <v>51087</v>
      </c>
      <c r="B2831" s="262" t="s">
        <v>1830</v>
      </c>
      <c r="C2831" s="262" t="s">
        <v>1851</v>
      </c>
      <c r="D2831" s="262">
        <v>-77.416209699999996</v>
      </c>
      <c r="E2831" s="262">
        <v>37.54289</v>
      </c>
      <c r="M2831" s="262">
        <v>14.830993060000001</v>
      </c>
      <c r="N2831" s="262">
        <v>14.830993060000001</v>
      </c>
    </row>
    <row r="2832" spans="1:14" x14ac:dyDescent="0.25">
      <c r="A2832" s="262">
        <v>51089</v>
      </c>
      <c r="B2832" s="262" t="s">
        <v>1830</v>
      </c>
      <c r="C2832" s="262" t="s">
        <v>146</v>
      </c>
      <c r="D2832" s="262">
        <v>-79.892111600000007</v>
      </c>
      <c r="E2832" s="262">
        <v>36.67933</v>
      </c>
      <c r="M2832" s="262">
        <v>14.422322380000001</v>
      </c>
      <c r="N2832" s="262">
        <v>14.422322380000001</v>
      </c>
    </row>
    <row r="2833" spans="1:14" x14ac:dyDescent="0.25">
      <c r="A2833" s="262">
        <v>51091</v>
      </c>
      <c r="B2833" s="262" t="s">
        <v>1830</v>
      </c>
      <c r="C2833" s="262" t="s">
        <v>1430</v>
      </c>
      <c r="D2833" s="262">
        <v>-79.577882299999999</v>
      </c>
      <c r="E2833" s="262">
        <v>38.365029999999997</v>
      </c>
      <c r="M2833" s="262">
        <v>10.633263100000001</v>
      </c>
      <c r="N2833" s="262">
        <v>10.633263100000001</v>
      </c>
    </row>
    <row r="2834" spans="1:14" x14ac:dyDescent="0.25">
      <c r="A2834" s="262">
        <v>51093</v>
      </c>
      <c r="B2834" s="262" t="s">
        <v>1830</v>
      </c>
      <c r="C2834" s="262" t="s">
        <v>1852</v>
      </c>
      <c r="D2834" s="262">
        <v>-76.728812700000006</v>
      </c>
      <c r="E2834" s="262">
        <v>36.889310000000002</v>
      </c>
      <c r="M2834" s="262">
        <v>15.544639999999999</v>
      </c>
      <c r="N2834" s="262">
        <v>15.544639999999999</v>
      </c>
    </row>
    <row r="2835" spans="1:14" x14ac:dyDescent="0.25">
      <c r="A2835" s="262">
        <v>51095</v>
      </c>
      <c r="B2835" s="262" t="s">
        <v>1830</v>
      </c>
      <c r="C2835" s="262" t="s">
        <v>1853</v>
      </c>
      <c r="D2835" s="262">
        <v>-76.776928900000001</v>
      </c>
      <c r="E2835" s="262">
        <v>37.312100000000001</v>
      </c>
      <c r="M2835" s="262">
        <v>15.291363199999999</v>
      </c>
      <c r="N2835" s="262">
        <v>15.291363199999999</v>
      </c>
    </row>
    <row r="2836" spans="1:14" x14ac:dyDescent="0.25">
      <c r="A2836" s="262">
        <v>51097</v>
      </c>
      <c r="B2836" s="262" t="s">
        <v>1830</v>
      </c>
      <c r="C2836" s="262" t="s">
        <v>1854</v>
      </c>
      <c r="D2836" s="262">
        <v>-76.900371899999996</v>
      </c>
      <c r="E2836" s="262">
        <v>37.722880000000004</v>
      </c>
      <c r="M2836" s="262">
        <v>14.99686273</v>
      </c>
      <c r="N2836" s="262">
        <v>14.99686273</v>
      </c>
    </row>
    <row r="2837" spans="1:14" x14ac:dyDescent="0.25">
      <c r="A2837" s="262">
        <v>51099</v>
      </c>
      <c r="B2837" s="262" t="s">
        <v>1830</v>
      </c>
      <c r="C2837" s="262" t="s">
        <v>1855</v>
      </c>
      <c r="D2837" s="262">
        <v>-77.166159300000004</v>
      </c>
      <c r="E2837" s="262">
        <v>38.271349999999998</v>
      </c>
      <c r="M2837" s="262">
        <v>14.30722542</v>
      </c>
      <c r="N2837" s="262">
        <v>14.30722542</v>
      </c>
    </row>
    <row r="2838" spans="1:14" x14ac:dyDescent="0.25">
      <c r="A2838" s="262">
        <v>51101</v>
      </c>
      <c r="B2838" s="262" t="s">
        <v>1830</v>
      </c>
      <c r="C2838" s="262" t="s">
        <v>1856</v>
      </c>
      <c r="D2838" s="262">
        <v>-77.087410000000006</v>
      </c>
      <c r="E2838" s="262">
        <v>37.705030000000001</v>
      </c>
      <c r="M2838" s="262">
        <v>14.95924866</v>
      </c>
      <c r="N2838" s="262">
        <v>14.95924866</v>
      </c>
    </row>
    <row r="2839" spans="1:14" x14ac:dyDescent="0.25">
      <c r="A2839" s="262">
        <v>51103</v>
      </c>
      <c r="B2839" s="262" t="s">
        <v>1830</v>
      </c>
      <c r="C2839" s="262" t="s">
        <v>1214</v>
      </c>
      <c r="D2839" s="262">
        <v>-76.471369300000006</v>
      </c>
      <c r="E2839" s="262">
        <v>37.738599999999998</v>
      </c>
      <c r="M2839" s="262">
        <v>15.00255095</v>
      </c>
      <c r="N2839" s="262">
        <v>15.00255095</v>
      </c>
    </row>
    <row r="2840" spans="1:14" x14ac:dyDescent="0.25">
      <c r="A2840" s="262">
        <v>51105</v>
      </c>
      <c r="B2840" s="262" t="s">
        <v>1830</v>
      </c>
      <c r="C2840" s="262" t="s">
        <v>153</v>
      </c>
      <c r="D2840" s="262">
        <v>-83.117500300000003</v>
      </c>
      <c r="E2840" s="262">
        <v>36.705750000000002</v>
      </c>
      <c r="M2840" s="262">
        <v>13.1542203</v>
      </c>
      <c r="N2840" s="262">
        <v>13.1542203</v>
      </c>
    </row>
    <row r="2841" spans="1:14" x14ac:dyDescent="0.25">
      <c r="A2841" s="262">
        <v>51107</v>
      </c>
      <c r="B2841" s="262" t="s">
        <v>1830</v>
      </c>
      <c r="C2841" s="262" t="s">
        <v>1857</v>
      </c>
      <c r="D2841" s="262">
        <v>-77.648812300000003</v>
      </c>
      <c r="E2841" s="262">
        <v>39.094180000000001</v>
      </c>
      <c r="M2841" s="262">
        <v>12.69760801</v>
      </c>
      <c r="N2841" s="262">
        <v>12.69760801</v>
      </c>
    </row>
    <row r="2842" spans="1:14" x14ac:dyDescent="0.25">
      <c r="A2842" s="262">
        <v>51109</v>
      </c>
      <c r="B2842" s="262" t="s">
        <v>1830</v>
      </c>
      <c r="C2842" s="262" t="s">
        <v>695</v>
      </c>
      <c r="D2842" s="262">
        <v>-77.957673600000007</v>
      </c>
      <c r="E2842" s="262">
        <v>37.977710000000002</v>
      </c>
      <c r="M2842" s="262">
        <v>13.720740859999999</v>
      </c>
      <c r="N2842" s="262">
        <v>13.720740859999999</v>
      </c>
    </row>
    <row r="2843" spans="1:14" x14ac:dyDescent="0.25">
      <c r="A2843" s="262">
        <v>51111</v>
      </c>
      <c r="B2843" s="262" t="s">
        <v>1830</v>
      </c>
      <c r="C2843" s="262" t="s">
        <v>1858</v>
      </c>
      <c r="D2843" s="262">
        <v>-78.241063499999996</v>
      </c>
      <c r="E2843" s="262">
        <v>36.948810000000002</v>
      </c>
      <c r="M2843" s="262">
        <v>14.75201626</v>
      </c>
      <c r="N2843" s="262">
        <v>14.75201626</v>
      </c>
    </row>
    <row r="2844" spans="1:14" x14ac:dyDescent="0.25">
      <c r="A2844" s="262">
        <v>51113</v>
      </c>
      <c r="B2844" s="262" t="s">
        <v>1830</v>
      </c>
      <c r="C2844" s="262" t="s">
        <v>157</v>
      </c>
      <c r="D2844" s="262">
        <v>-78.283551500000002</v>
      </c>
      <c r="E2844" s="262">
        <v>38.419379999999997</v>
      </c>
      <c r="M2844" s="262">
        <v>12.57633878</v>
      </c>
      <c r="N2844" s="262">
        <v>12.57633878</v>
      </c>
    </row>
    <row r="2845" spans="1:14" x14ac:dyDescent="0.25">
      <c r="A2845" s="262">
        <v>51115</v>
      </c>
      <c r="B2845" s="262" t="s">
        <v>1830</v>
      </c>
      <c r="C2845" s="262" t="s">
        <v>1859</v>
      </c>
      <c r="D2845" s="262">
        <v>-76.351394200000001</v>
      </c>
      <c r="E2845" s="262">
        <v>37.426110000000001</v>
      </c>
      <c r="M2845" s="262">
        <v>15.25183423</v>
      </c>
      <c r="N2845" s="262">
        <v>15.25183423</v>
      </c>
    </row>
    <row r="2846" spans="1:14" x14ac:dyDescent="0.25">
      <c r="A2846" s="262">
        <v>51117</v>
      </c>
      <c r="B2846" s="262" t="s">
        <v>1830</v>
      </c>
      <c r="C2846" s="262" t="s">
        <v>1357</v>
      </c>
      <c r="D2846" s="262">
        <v>-78.349528300000003</v>
      </c>
      <c r="E2846" s="262">
        <v>36.682259999999999</v>
      </c>
      <c r="M2846" s="262">
        <v>14.988879649999999</v>
      </c>
      <c r="N2846" s="262">
        <v>14.988879649999999</v>
      </c>
    </row>
    <row r="2847" spans="1:14" x14ac:dyDescent="0.25">
      <c r="A2847" s="262">
        <v>51119</v>
      </c>
      <c r="B2847" s="262" t="s">
        <v>1830</v>
      </c>
      <c r="C2847" s="262" t="s">
        <v>371</v>
      </c>
      <c r="D2847" s="262">
        <v>-76.572977199999997</v>
      </c>
      <c r="E2847" s="262">
        <v>37.62426</v>
      </c>
      <c r="M2847" s="262">
        <v>15.078711739999999</v>
      </c>
      <c r="N2847" s="262">
        <v>15.078711739999999</v>
      </c>
    </row>
    <row r="2848" spans="1:14" x14ac:dyDescent="0.25">
      <c r="A2848" s="262">
        <v>51121</v>
      </c>
      <c r="B2848" s="262" t="s">
        <v>1830</v>
      </c>
      <c r="C2848" s="262" t="s">
        <v>163</v>
      </c>
      <c r="D2848" s="262">
        <v>-80.387927700000006</v>
      </c>
      <c r="E2848" s="262">
        <v>37.167670000000001</v>
      </c>
      <c r="M2848" s="262">
        <v>13.643568289999999</v>
      </c>
      <c r="N2848" s="262">
        <v>13.643568289999999</v>
      </c>
    </row>
    <row r="2849" spans="1:14" x14ac:dyDescent="0.25">
      <c r="A2849" s="262">
        <v>51125</v>
      </c>
      <c r="B2849" s="262" t="s">
        <v>1830</v>
      </c>
      <c r="C2849" s="262" t="s">
        <v>828</v>
      </c>
      <c r="D2849" s="262">
        <v>-78.889763700000003</v>
      </c>
      <c r="E2849" s="262">
        <v>37.784799999999997</v>
      </c>
      <c r="M2849" s="262">
        <v>12.84914378</v>
      </c>
      <c r="N2849" s="262">
        <v>12.84914378</v>
      </c>
    </row>
    <row r="2850" spans="1:14" x14ac:dyDescent="0.25">
      <c r="A2850" s="262">
        <v>51127</v>
      </c>
      <c r="B2850" s="262" t="s">
        <v>1830</v>
      </c>
      <c r="C2850" s="262" t="s">
        <v>1860</v>
      </c>
      <c r="D2850" s="262">
        <v>-77.005419500000002</v>
      </c>
      <c r="E2850" s="262">
        <v>37.502630000000003</v>
      </c>
      <c r="M2850" s="262">
        <v>15.11478664</v>
      </c>
      <c r="N2850" s="262">
        <v>15.11478664</v>
      </c>
    </row>
    <row r="2851" spans="1:14" x14ac:dyDescent="0.25">
      <c r="A2851" s="262">
        <v>51131</v>
      </c>
      <c r="B2851" s="262" t="s">
        <v>1830</v>
      </c>
      <c r="C2851" s="262" t="s">
        <v>1361</v>
      </c>
      <c r="D2851" s="262">
        <v>-75.906353100000004</v>
      </c>
      <c r="E2851" s="262">
        <v>37.368270000000003</v>
      </c>
      <c r="M2851" s="262">
        <v>15.272103420000001</v>
      </c>
      <c r="N2851" s="262">
        <v>15.272103420000001</v>
      </c>
    </row>
    <row r="2852" spans="1:14" x14ac:dyDescent="0.25">
      <c r="A2852" s="262">
        <v>51133</v>
      </c>
      <c r="B2852" s="262" t="s">
        <v>1830</v>
      </c>
      <c r="C2852" s="262" t="s">
        <v>1537</v>
      </c>
      <c r="D2852" s="262">
        <v>-76.425094400000006</v>
      </c>
      <c r="E2852" s="262">
        <v>37.88899</v>
      </c>
      <c r="M2852" s="262">
        <v>14.87613966</v>
      </c>
      <c r="N2852" s="262">
        <v>14.87613966</v>
      </c>
    </row>
    <row r="2853" spans="1:14" x14ac:dyDescent="0.25">
      <c r="A2853" s="262">
        <v>51135</v>
      </c>
      <c r="B2853" s="262" t="s">
        <v>1830</v>
      </c>
      <c r="C2853" s="262" t="s">
        <v>1861</v>
      </c>
      <c r="D2853" s="262">
        <v>-78.054316900000003</v>
      </c>
      <c r="E2853" s="262">
        <v>37.140889999999999</v>
      </c>
      <c r="M2853" s="262">
        <v>14.6515208</v>
      </c>
      <c r="N2853" s="262">
        <v>14.6515208</v>
      </c>
    </row>
    <row r="2854" spans="1:14" x14ac:dyDescent="0.25">
      <c r="A2854" s="262">
        <v>51137</v>
      </c>
      <c r="B2854" s="262" t="s">
        <v>1830</v>
      </c>
      <c r="C2854" s="262" t="s">
        <v>283</v>
      </c>
      <c r="D2854" s="262">
        <v>-78.009286700000004</v>
      </c>
      <c r="E2854" s="262">
        <v>38.251510000000003</v>
      </c>
      <c r="M2854" s="262">
        <v>13.29414978</v>
      </c>
      <c r="N2854" s="262">
        <v>13.29414978</v>
      </c>
    </row>
    <row r="2855" spans="1:14" x14ac:dyDescent="0.25">
      <c r="A2855" s="262">
        <v>51139</v>
      </c>
      <c r="B2855" s="262" t="s">
        <v>1830</v>
      </c>
      <c r="C2855" s="262" t="s">
        <v>703</v>
      </c>
      <c r="D2855" s="262">
        <v>-78.488773899999998</v>
      </c>
      <c r="E2855" s="262">
        <v>38.623199999999997</v>
      </c>
      <c r="M2855" s="262">
        <v>11.97016522</v>
      </c>
      <c r="N2855" s="262">
        <v>11.97016522</v>
      </c>
    </row>
    <row r="2856" spans="1:14" x14ac:dyDescent="0.25">
      <c r="A2856" s="262">
        <v>51141</v>
      </c>
      <c r="B2856" s="262" t="s">
        <v>1830</v>
      </c>
      <c r="C2856" s="262" t="s">
        <v>1862</v>
      </c>
      <c r="D2856" s="262">
        <v>-80.301596099999998</v>
      </c>
      <c r="E2856" s="262">
        <v>36.684379999999997</v>
      </c>
      <c r="M2856" s="262">
        <v>14.271774300000001</v>
      </c>
      <c r="N2856" s="262">
        <v>14.271774300000001</v>
      </c>
    </row>
    <row r="2857" spans="1:14" x14ac:dyDescent="0.25">
      <c r="A2857" s="262">
        <v>51143</v>
      </c>
      <c r="B2857" s="262" t="s">
        <v>1830</v>
      </c>
      <c r="C2857" s="262" t="s">
        <v>1863</v>
      </c>
      <c r="D2857" s="262">
        <v>-79.397653599999998</v>
      </c>
      <c r="E2857" s="262">
        <v>36.817219999999999</v>
      </c>
      <c r="M2857" s="262">
        <v>14.473244830000001</v>
      </c>
      <c r="N2857" s="262">
        <v>14.473244830000001</v>
      </c>
    </row>
    <row r="2858" spans="1:14" x14ac:dyDescent="0.25">
      <c r="A2858" s="262">
        <v>51145</v>
      </c>
      <c r="B2858" s="262" t="s">
        <v>1830</v>
      </c>
      <c r="C2858" s="262" t="s">
        <v>1864</v>
      </c>
      <c r="D2858" s="262">
        <v>-77.910921200000004</v>
      </c>
      <c r="E2858" s="262">
        <v>37.551560000000002</v>
      </c>
      <c r="M2858" s="262">
        <v>14.317006149999999</v>
      </c>
      <c r="N2858" s="262">
        <v>14.317006149999999</v>
      </c>
    </row>
    <row r="2859" spans="1:14" x14ac:dyDescent="0.25">
      <c r="A2859" s="262">
        <v>51147</v>
      </c>
      <c r="B2859" s="262" t="s">
        <v>1830</v>
      </c>
      <c r="C2859" s="262" t="s">
        <v>1865</v>
      </c>
      <c r="D2859" s="262">
        <v>-78.442709300000004</v>
      </c>
      <c r="E2859" s="262">
        <v>37.222239999999999</v>
      </c>
      <c r="M2859" s="262">
        <v>14.276410650000001</v>
      </c>
      <c r="N2859" s="262">
        <v>14.276410650000001</v>
      </c>
    </row>
    <row r="2860" spans="1:14" x14ac:dyDescent="0.25">
      <c r="A2860" s="262">
        <v>51149</v>
      </c>
      <c r="B2860" s="262" t="s">
        <v>1830</v>
      </c>
      <c r="C2860" s="262" t="s">
        <v>1866</v>
      </c>
      <c r="D2860" s="262">
        <v>-77.2410079</v>
      </c>
      <c r="E2860" s="262">
        <v>37.190449999999998</v>
      </c>
      <c r="M2860" s="262">
        <v>15.19255901</v>
      </c>
      <c r="N2860" s="262">
        <v>15.19255901</v>
      </c>
    </row>
    <row r="2861" spans="1:14" x14ac:dyDescent="0.25">
      <c r="A2861" s="262">
        <v>51153</v>
      </c>
      <c r="B2861" s="262" t="s">
        <v>1830</v>
      </c>
      <c r="C2861" s="262" t="s">
        <v>1867</v>
      </c>
      <c r="D2861" s="262">
        <v>-77.483936799999995</v>
      </c>
      <c r="E2861" s="262">
        <v>38.708219999999997</v>
      </c>
      <c r="M2861" s="262">
        <v>13.392279009999999</v>
      </c>
      <c r="N2861" s="262">
        <v>13.392279009999999</v>
      </c>
    </row>
    <row r="2862" spans="1:14" x14ac:dyDescent="0.25">
      <c r="A2862" s="262">
        <v>51155</v>
      </c>
      <c r="B2862" s="262" t="s">
        <v>1830</v>
      </c>
      <c r="C2862" s="262" t="s">
        <v>240</v>
      </c>
      <c r="D2862" s="262">
        <v>-80.708758399999994</v>
      </c>
      <c r="E2862" s="262">
        <v>37.054560000000002</v>
      </c>
      <c r="M2862" s="262">
        <v>13.750751040000001</v>
      </c>
      <c r="N2862" s="262">
        <v>13.750751040000001</v>
      </c>
    </row>
    <row r="2863" spans="1:14" x14ac:dyDescent="0.25">
      <c r="A2863" s="262">
        <v>51157</v>
      </c>
      <c r="B2863" s="262" t="s">
        <v>1830</v>
      </c>
      <c r="C2863" s="262" t="s">
        <v>1868</v>
      </c>
      <c r="D2863" s="262">
        <v>-78.160150000000002</v>
      </c>
      <c r="E2863" s="262">
        <v>38.689459999999997</v>
      </c>
      <c r="M2863" s="262">
        <v>12.454867650000001</v>
      </c>
      <c r="N2863" s="262">
        <v>12.454867650000001</v>
      </c>
    </row>
    <row r="2864" spans="1:14" x14ac:dyDescent="0.25">
      <c r="A2864" s="262">
        <v>51159</v>
      </c>
      <c r="B2864" s="262" t="s">
        <v>1830</v>
      </c>
      <c r="C2864" s="262" t="s">
        <v>511</v>
      </c>
      <c r="D2864" s="262">
        <v>-76.728122299999995</v>
      </c>
      <c r="E2864" s="262">
        <v>37.941070000000003</v>
      </c>
      <c r="M2864" s="262">
        <v>14.816683340000001</v>
      </c>
      <c r="N2864" s="262">
        <v>14.816683340000001</v>
      </c>
    </row>
    <row r="2865" spans="1:14" x14ac:dyDescent="0.25">
      <c r="A2865" s="262">
        <v>51161</v>
      </c>
      <c r="B2865" s="262" t="s">
        <v>1830</v>
      </c>
      <c r="C2865" s="262" t="s">
        <v>1869</v>
      </c>
      <c r="D2865" s="262">
        <v>-80.0547301</v>
      </c>
      <c r="E2865" s="262">
        <v>37.264699999999998</v>
      </c>
      <c r="M2865" s="262">
        <v>13.57519928</v>
      </c>
      <c r="N2865" s="262">
        <v>13.57519928</v>
      </c>
    </row>
    <row r="2866" spans="1:14" x14ac:dyDescent="0.25">
      <c r="A2866" s="262">
        <v>51163</v>
      </c>
      <c r="B2866" s="262" t="s">
        <v>1830</v>
      </c>
      <c r="C2866" s="262" t="s">
        <v>1870</v>
      </c>
      <c r="D2866" s="262">
        <v>-79.450305099999994</v>
      </c>
      <c r="E2866" s="262">
        <v>37.809109999999997</v>
      </c>
      <c r="M2866" s="262">
        <v>12.35848822</v>
      </c>
      <c r="N2866" s="262">
        <v>12.35848822</v>
      </c>
    </row>
    <row r="2867" spans="1:14" x14ac:dyDescent="0.25">
      <c r="A2867" s="262">
        <v>51165</v>
      </c>
      <c r="B2867" s="262" t="s">
        <v>1830</v>
      </c>
      <c r="C2867" s="262" t="s">
        <v>1247</v>
      </c>
      <c r="D2867" s="262">
        <v>-78.884766099999993</v>
      </c>
      <c r="E2867" s="262">
        <v>38.516590000000001</v>
      </c>
      <c r="M2867" s="262">
        <v>11.38925978</v>
      </c>
      <c r="N2867" s="262">
        <v>11.38925978</v>
      </c>
    </row>
    <row r="2868" spans="1:14" x14ac:dyDescent="0.25">
      <c r="A2868" s="262">
        <v>51167</v>
      </c>
      <c r="B2868" s="262" t="s">
        <v>1830</v>
      </c>
      <c r="C2868" s="262" t="s">
        <v>169</v>
      </c>
      <c r="D2868" s="262">
        <v>-82.093137999999996</v>
      </c>
      <c r="E2868" s="262">
        <v>36.929389999999998</v>
      </c>
      <c r="M2868" s="262">
        <v>13.54051568</v>
      </c>
      <c r="N2868" s="262">
        <v>13.54051568</v>
      </c>
    </row>
    <row r="2869" spans="1:14" x14ac:dyDescent="0.25">
      <c r="A2869" s="262">
        <v>51169</v>
      </c>
      <c r="B2869" s="262" t="s">
        <v>1830</v>
      </c>
      <c r="C2869" s="262" t="s">
        <v>243</v>
      </c>
      <c r="D2869" s="262">
        <v>-82.609351200000006</v>
      </c>
      <c r="E2869" s="262">
        <v>36.70928</v>
      </c>
      <c r="M2869" s="262">
        <v>13.35475905</v>
      </c>
      <c r="N2869" s="262">
        <v>13.35475905</v>
      </c>
    </row>
    <row r="2870" spans="1:14" x14ac:dyDescent="0.25">
      <c r="A2870" s="262">
        <v>51171</v>
      </c>
      <c r="B2870" s="262" t="s">
        <v>1830</v>
      </c>
      <c r="C2870" s="262" t="s">
        <v>1871</v>
      </c>
      <c r="D2870" s="262">
        <v>-78.574132399999996</v>
      </c>
      <c r="E2870" s="262">
        <v>38.864809999999999</v>
      </c>
      <c r="M2870" s="262">
        <v>11.598687829999999</v>
      </c>
      <c r="N2870" s="262">
        <v>11.598687829999999</v>
      </c>
    </row>
    <row r="2871" spans="1:14" x14ac:dyDescent="0.25">
      <c r="A2871" s="262">
        <v>51173</v>
      </c>
      <c r="B2871" s="262" t="s">
        <v>1830</v>
      </c>
      <c r="C2871" s="262" t="s">
        <v>1872</v>
      </c>
      <c r="D2871" s="262">
        <v>-81.523480199999995</v>
      </c>
      <c r="E2871" s="262">
        <v>36.831479999999999</v>
      </c>
      <c r="M2871" s="262">
        <v>13.79719936</v>
      </c>
      <c r="N2871" s="262">
        <v>13.79719936</v>
      </c>
    </row>
    <row r="2872" spans="1:14" x14ac:dyDescent="0.25">
      <c r="A2872" s="262">
        <v>51175</v>
      </c>
      <c r="B2872" s="262" t="s">
        <v>1830</v>
      </c>
      <c r="C2872" s="262" t="s">
        <v>1873</v>
      </c>
      <c r="D2872" s="262">
        <v>-77.100639299999997</v>
      </c>
      <c r="E2872" s="262">
        <v>36.720509999999997</v>
      </c>
      <c r="M2872" s="262">
        <v>15.536681959999999</v>
      </c>
      <c r="N2872" s="262">
        <v>15.536681959999999</v>
      </c>
    </row>
    <row r="2873" spans="1:14" x14ac:dyDescent="0.25">
      <c r="A2873" s="262">
        <v>51177</v>
      </c>
      <c r="B2873" s="262" t="s">
        <v>1830</v>
      </c>
      <c r="C2873" s="262" t="s">
        <v>1874</v>
      </c>
      <c r="D2873" s="262">
        <v>-77.647332500000005</v>
      </c>
      <c r="E2873" s="262">
        <v>38.19426</v>
      </c>
      <c r="M2873" s="262">
        <v>13.88331518</v>
      </c>
      <c r="N2873" s="262">
        <v>13.88331518</v>
      </c>
    </row>
    <row r="2874" spans="1:14" x14ac:dyDescent="0.25">
      <c r="A2874" s="262">
        <v>51179</v>
      </c>
      <c r="B2874" s="262" t="s">
        <v>1830</v>
      </c>
      <c r="C2874" s="262" t="s">
        <v>775</v>
      </c>
      <c r="D2874" s="262">
        <v>-77.458487700000006</v>
      </c>
      <c r="E2874" s="262">
        <v>38.423540000000003</v>
      </c>
      <c r="M2874" s="262">
        <v>13.81525074</v>
      </c>
      <c r="N2874" s="262">
        <v>13.81525074</v>
      </c>
    </row>
    <row r="2875" spans="1:14" x14ac:dyDescent="0.25">
      <c r="A2875" s="262">
        <v>51181</v>
      </c>
      <c r="B2875" s="262" t="s">
        <v>1830</v>
      </c>
      <c r="C2875" s="262" t="s">
        <v>1374</v>
      </c>
      <c r="D2875" s="262">
        <v>-76.904490899999999</v>
      </c>
      <c r="E2875" s="262">
        <v>37.104529999999997</v>
      </c>
      <c r="M2875" s="262">
        <v>15.371553629999999</v>
      </c>
      <c r="N2875" s="262">
        <v>15.371553629999999</v>
      </c>
    </row>
    <row r="2876" spans="1:14" x14ac:dyDescent="0.25">
      <c r="A2876" s="262">
        <v>51183</v>
      </c>
      <c r="B2876" s="262" t="s">
        <v>1830</v>
      </c>
      <c r="C2876" s="262" t="s">
        <v>379</v>
      </c>
      <c r="D2876" s="262">
        <v>-77.260531200000003</v>
      </c>
      <c r="E2876" s="262">
        <v>36.92353</v>
      </c>
      <c r="M2876" s="262">
        <v>15.34521348</v>
      </c>
      <c r="N2876" s="262">
        <v>15.34521348</v>
      </c>
    </row>
    <row r="2877" spans="1:14" x14ac:dyDescent="0.25">
      <c r="A2877" s="262">
        <v>51185</v>
      </c>
      <c r="B2877" s="262" t="s">
        <v>1830</v>
      </c>
      <c r="C2877" s="262" t="s">
        <v>622</v>
      </c>
      <c r="D2877" s="262">
        <v>-81.562943500000003</v>
      </c>
      <c r="E2877" s="262">
        <v>37.119709999999998</v>
      </c>
      <c r="M2877" s="262">
        <v>13.606166269999999</v>
      </c>
      <c r="N2877" s="262">
        <v>13.606166269999999</v>
      </c>
    </row>
    <row r="2878" spans="1:14" x14ac:dyDescent="0.25">
      <c r="A2878" s="262">
        <v>51187</v>
      </c>
      <c r="B2878" s="262" t="s">
        <v>1830</v>
      </c>
      <c r="C2878" s="262" t="s">
        <v>533</v>
      </c>
      <c r="D2878" s="262">
        <v>-78.2130169</v>
      </c>
      <c r="E2878" s="262">
        <v>38.916289999999996</v>
      </c>
      <c r="M2878" s="262">
        <v>12.11977736</v>
      </c>
      <c r="N2878" s="262">
        <v>12.11977736</v>
      </c>
    </row>
    <row r="2879" spans="1:14" x14ac:dyDescent="0.25">
      <c r="A2879" s="262">
        <v>51191</v>
      </c>
      <c r="B2879" s="262" t="s">
        <v>1830</v>
      </c>
      <c r="C2879" s="262" t="s">
        <v>177</v>
      </c>
      <c r="D2879" s="262">
        <v>-81.963382600000003</v>
      </c>
      <c r="E2879" s="262">
        <v>36.723669999999998</v>
      </c>
      <c r="M2879" s="262">
        <v>13.68557528</v>
      </c>
      <c r="N2879" s="262">
        <v>13.68557528</v>
      </c>
    </row>
    <row r="2880" spans="1:14" x14ac:dyDescent="0.25">
      <c r="A2880" s="262">
        <v>51193</v>
      </c>
      <c r="B2880" s="262" t="s">
        <v>1830</v>
      </c>
      <c r="C2880" s="262" t="s">
        <v>1544</v>
      </c>
      <c r="D2880" s="262">
        <v>-76.833819300000002</v>
      </c>
      <c r="E2880" s="262">
        <v>38.110340000000001</v>
      </c>
      <c r="M2880" s="262">
        <v>14.63197626</v>
      </c>
      <c r="N2880" s="262">
        <v>14.63197626</v>
      </c>
    </row>
    <row r="2881" spans="1:14" x14ac:dyDescent="0.25">
      <c r="A2881" s="262">
        <v>51195</v>
      </c>
      <c r="B2881" s="262" t="s">
        <v>1830</v>
      </c>
      <c r="C2881" s="262" t="s">
        <v>1799</v>
      </c>
      <c r="D2881" s="262">
        <v>-82.621053599999996</v>
      </c>
      <c r="E2881" s="262">
        <v>36.969329999999999</v>
      </c>
      <c r="M2881" s="262">
        <v>13.329502290000001</v>
      </c>
      <c r="N2881" s="262">
        <v>13.329502290000001</v>
      </c>
    </row>
    <row r="2882" spans="1:14" x14ac:dyDescent="0.25">
      <c r="A2882" s="262">
        <v>51197</v>
      </c>
      <c r="B2882" s="262" t="s">
        <v>1830</v>
      </c>
      <c r="C2882" s="262" t="s">
        <v>1875</v>
      </c>
      <c r="D2882" s="262">
        <v>-81.068818399999998</v>
      </c>
      <c r="E2882" s="262">
        <v>36.905589999999997</v>
      </c>
      <c r="M2882" s="262">
        <v>13.85147179</v>
      </c>
      <c r="N2882" s="262">
        <v>13.85147179</v>
      </c>
    </row>
    <row r="2883" spans="1:14" x14ac:dyDescent="0.25">
      <c r="A2883" s="262">
        <v>51199</v>
      </c>
      <c r="B2883" s="262" t="s">
        <v>1830</v>
      </c>
      <c r="C2883" s="262" t="s">
        <v>917</v>
      </c>
      <c r="D2883" s="262">
        <v>-76.535366300000007</v>
      </c>
      <c r="E2883" s="262">
        <v>37.214289999999998</v>
      </c>
      <c r="M2883" s="262">
        <v>15.401216359999999</v>
      </c>
      <c r="N2883" s="262">
        <v>15.401216359999999</v>
      </c>
    </row>
    <row r="2884" spans="1:14" x14ac:dyDescent="0.25">
      <c r="A2884" s="262">
        <v>51650</v>
      </c>
      <c r="B2884" s="262" t="s">
        <v>1830</v>
      </c>
      <c r="C2884" s="262" t="s">
        <v>1876</v>
      </c>
      <c r="D2884" s="262">
        <v>-76.3603612</v>
      </c>
      <c r="E2884" s="262">
        <v>37.05003</v>
      </c>
      <c r="M2884" s="262">
        <v>15.50214063</v>
      </c>
      <c r="N2884" s="262">
        <v>15.50214063</v>
      </c>
    </row>
    <row r="2885" spans="1:14" x14ac:dyDescent="0.25">
      <c r="A2885" s="262">
        <v>51700</v>
      </c>
      <c r="B2885" s="262" t="s">
        <v>1830</v>
      </c>
      <c r="C2885" s="262" t="s">
        <v>1877</v>
      </c>
      <c r="D2885" s="262">
        <v>-76.520521700000003</v>
      </c>
      <c r="E2885" s="262">
        <v>37.107889999999998</v>
      </c>
      <c r="M2885" s="262">
        <v>15.448003679999999</v>
      </c>
      <c r="N2885" s="262">
        <v>15.448003679999999</v>
      </c>
    </row>
    <row r="2886" spans="1:14" x14ac:dyDescent="0.25">
      <c r="A2886" s="262">
        <v>51710</v>
      </c>
      <c r="B2886" s="262" t="s">
        <v>1830</v>
      </c>
      <c r="C2886" s="262" t="s">
        <v>1878</v>
      </c>
      <c r="D2886" s="262">
        <v>-76.302769999999995</v>
      </c>
      <c r="E2886" s="262">
        <v>36.71707</v>
      </c>
      <c r="M2886" s="262">
        <v>15.71269429</v>
      </c>
      <c r="N2886" s="262">
        <v>15.71269429</v>
      </c>
    </row>
    <row r="2887" spans="1:14" x14ac:dyDescent="0.25">
      <c r="A2887" s="262">
        <v>51800</v>
      </c>
      <c r="B2887" s="262" t="s">
        <v>1830</v>
      </c>
      <c r="C2887" s="262" t="s">
        <v>1879</v>
      </c>
      <c r="D2887" s="262">
        <v>-76.643286000000003</v>
      </c>
      <c r="E2887" s="262">
        <v>36.69547</v>
      </c>
      <c r="M2887" s="262">
        <v>15.676690880000001</v>
      </c>
      <c r="N2887" s="262">
        <v>15.676690880000001</v>
      </c>
    </row>
    <row r="2888" spans="1:14" x14ac:dyDescent="0.25">
      <c r="A2888" s="262">
        <v>51810</v>
      </c>
      <c r="B2888" s="262" t="s">
        <v>1830</v>
      </c>
      <c r="C2888" s="262" t="s">
        <v>1880</v>
      </c>
      <c r="D2888" s="262">
        <v>-76.049924899999993</v>
      </c>
      <c r="E2888" s="262">
        <v>36.746369999999999</v>
      </c>
      <c r="M2888" s="262">
        <v>15.69728527</v>
      </c>
      <c r="N2888" s="262">
        <v>15.69728527</v>
      </c>
    </row>
    <row r="2889" spans="1:14" x14ac:dyDescent="0.25">
      <c r="A2889" s="262">
        <v>53001</v>
      </c>
      <c r="B2889" s="262" t="s">
        <v>1881</v>
      </c>
      <c r="C2889" s="262" t="s">
        <v>312</v>
      </c>
      <c r="D2889" s="262">
        <v>-118.554495</v>
      </c>
      <c r="E2889" s="262">
        <v>46.981439999999999</v>
      </c>
      <c r="M2889" s="262">
        <v>10.22700955</v>
      </c>
      <c r="N2889" s="262">
        <v>10.22700955</v>
      </c>
    </row>
    <row r="2890" spans="1:14" x14ac:dyDescent="0.25">
      <c r="A2890" s="262">
        <v>53003</v>
      </c>
      <c r="B2890" s="262" t="s">
        <v>1881</v>
      </c>
      <c r="C2890" s="262" t="s">
        <v>1882</v>
      </c>
      <c r="D2890" s="262">
        <v>-117.198094</v>
      </c>
      <c r="E2890" s="262">
        <v>46.198590000000003</v>
      </c>
      <c r="M2890" s="262">
        <v>9.0385821079999999</v>
      </c>
      <c r="N2890" s="262">
        <v>9.0385821079999999</v>
      </c>
    </row>
    <row r="2891" spans="1:14" x14ac:dyDescent="0.25">
      <c r="A2891" s="262">
        <v>53005</v>
      </c>
      <c r="B2891" s="262" t="s">
        <v>1881</v>
      </c>
      <c r="C2891" s="262" t="s">
        <v>200</v>
      </c>
      <c r="D2891" s="262">
        <v>-119.51546999999999</v>
      </c>
      <c r="E2891" s="262">
        <v>46.23413</v>
      </c>
      <c r="M2891" s="262">
        <v>11.064418509999999</v>
      </c>
      <c r="N2891" s="262">
        <v>11.064418509999999</v>
      </c>
    </row>
    <row r="2892" spans="1:14" x14ac:dyDescent="0.25">
      <c r="A2892" s="262">
        <v>53007</v>
      </c>
      <c r="B2892" s="262" t="s">
        <v>1881</v>
      </c>
      <c r="C2892" s="262" t="s">
        <v>1883</v>
      </c>
      <c r="D2892" s="262">
        <v>-120.619016</v>
      </c>
      <c r="E2892" s="262">
        <v>47.871569999999998</v>
      </c>
      <c r="M2892" s="262">
        <v>10.778251060000001</v>
      </c>
      <c r="N2892" s="262">
        <v>10.778251060000001</v>
      </c>
    </row>
    <row r="2893" spans="1:14" x14ac:dyDescent="0.25">
      <c r="A2893" s="262">
        <v>53009</v>
      </c>
      <c r="B2893" s="262" t="s">
        <v>1881</v>
      </c>
      <c r="C2893" s="262" t="s">
        <v>1884</v>
      </c>
      <c r="D2893" s="262">
        <v>-123.918347</v>
      </c>
      <c r="E2893" s="262">
        <v>48.060580000000002</v>
      </c>
      <c r="M2893" s="262">
        <v>8.5878071879999993</v>
      </c>
      <c r="N2893" s="262">
        <v>8.5878071879999993</v>
      </c>
    </row>
    <row r="2894" spans="1:14" x14ac:dyDescent="0.25">
      <c r="A2894" s="262">
        <v>53011</v>
      </c>
      <c r="B2894" s="262" t="s">
        <v>1881</v>
      </c>
      <c r="C2894" s="262" t="s">
        <v>205</v>
      </c>
      <c r="D2894" s="262">
        <v>-122.488103</v>
      </c>
      <c r="E2894" s="262">
        <v>45.769309999999997</v>
      </c>
      <c r="M2894" s="262">
        <v>9.3603697910000001</v>
      </c>
      <c r="N2894" s="262">
        <v>9.3603697910000001</v>
      </c>
    </row>
    <row r="2895" spans="1:14" x14ac:dyDescent="0.25">
      <c r="A2895" s="262">
        <v>53013</v>
      </c>
      <c r="B2895" s="262" t="s">
        <v>1881</v>
      </c>
      <c r="C2895" s="262" t="s">
        <v>207</v>
      </c>
      <c r="D2895" s="262">
        <v>-117.91783599999999</v>
      </c>
      <c r="E2895" s="262">
        <v>46.30227</v>
      </c>
      <c r="M2895" s="262">
        <v>9.3211081250000003</v>
      </c>
      <c r="N2895" s="262">
        <v>9.3211081250000003</v>
      </c>
    </row>
    <row r="2896" spans="1:14" x14ac:dyDescent="0.25">
      <c r="A2896" s="262">
        <v>53015</v>
      </c>
      <c r="B2896" s="262" t="s">
        <v>1881</v>
      </c>
      <c r="C2896" s="262" t="s">
        <v>1885</v>
      </c>
      <c r="D2896" s="262">
        <v>-122.681372</v>
      </c>
      <c r="E2896" s="262">
        <v>46.185319999999997</v>
      </c>
      <c r="M2896" s="262">
        <v>8.8330397489999992</v>
      </c>
      <c r="N2896" s="262">
        <v>8.8330397489999992</v>
      </c>
    </row>
    <row r="2897" spans="1:14" x14ac:dyDescent="0.25">
      <c r="A2897" s="262">
        <v>53017</v>
      </c>
      <c r="B2897" s="262" t="s">
        <v>1881</v>
      </c>
      <c r="C2897" s="262" t="s">
        <v>330</v>
      </c>
      <c r="D2897" s="262">
        <v>-119.69903600000001</v>
      </c>
      <c r="E2897" s="262">
        <v>47.727510000000002</v>
      </c>
      <c r="M2897" s="262">
        <v>10.981574500000001</v>
      </c>
      <c r="N2897" s="262">
        <v>10.981574500000001</v>
      </c>
    </row>
    <row r="2898" spans="1:14" x14ac:dyDescent="0.25">
      <c r="A2898" s="262">
        <v>53019</v>
      </c>
      <c r="B2898" s="262" t="s">
        <v>1881</v>
      </c>
      <c r="C2898" s="262" t="s">
        <v>1886</v>
      </c>
      <c r="D2898" s="262">
        <v>-118.51739999999999</v>
      </c>
      <c r="E2898" s="262">
        <v>48.46902</v>
      </c>
      <c r="M2898" s="262">
        <v>10.350359879999999</v>
      </c>
      <c r="N2898" s="262">
        <v>10.350359879999999</v>
      </c>
    </row>
    <row r="2899" spans="1:14" x14ac:dyDescent="0.25">
      <c r="A2899" s="262">
        <v>53021</v>
      </c>
      <c r="B2899" s="262" t="s">
        <v>1881</v>
      </c>
      <c r="C2899" s="262" t="s">
        <v>142</v>
      </c>
      <c r="D2899" s="262">
        <v>-118.904419</v>
      </c>
      <c r="E2899" s="262">
        <v>46.535629999999998</v>
      </c>
      <c r="M2899" s="262">
        <v>10.35445092</v>
      </c>
      <c r="N2899" s="262">
        <v>10.35445092</v>
      </c>
    </row>
    <row r="2900" spans="1:14" x14ac:dyDescent="0.25">
      <c r="A2900" s="262">
        <v>53023</v>
      </c>
      <c r="B2900" s="262" t="s">
        <v>1881</v>
      </c>
      <c r="C2900" s="262" t="s">
        <v>335</v>
      </c>
      <c r="D2900" s="262">
        <v>-117.550006</v>
      </c>
      <c r="E2900" s="262">
        <v>46.429070000000003</v>
      </c>
      <c r="M2900" s="262">
        <v>9.2628941000000005</v>
      </c>
      <c r="N2900" s="262">
        <v>9.2628941000000005</v>
      </c>
    </row>
    <row r="2901" spans="1:14" x14ac:dyDescent="0.25">
      <c r="A2901" s="262">
        <v>53025</v>
      </c>
      <c r="B2901" s="262" t="s">
        <v>1881</v>
      </c>
      <c r="C2901" s="262" t="s">
        <v>218</v>
      </c>
      <c r="D2901" s="262">
        <v>-119.454679</v>
      </c>
      <c r="E2901" s="262">
        <v>47.200130000000001</v>
      </c>
      <c r="M2901" s="262">
        <v>11.093872709999999</v>
      </c>
      <c r="N2901" s="262">
        <v>11.093872709999999</v>
      </c>
    </row>
    <row r="2902" spans="1:14" x14ac:dyDescent="0.25">
      <c r="A2902" s="262">
        <v>53027</v>
      </c>
      <c r="B2902" s="262" t="s">
        <v>1881</v>
      </c>
      <c r="C2902" s="262" t="s">
        <v>1887</v>
      </c>
      <c r="D2902" s="262">
        <v>-123.74033300000001</v>
      </c>
      <c r="E2902" s="262">
        <v>47.15945</v>
      </c>
      <c r="M2902" s="262">
        <v>7.988758249</v>
      </c>
      <c r="N2902" s="262">
        <v>7.988758249</v>
      </c>
    </row>
    <row r="2903" spans="1:14" x14ac:dyDescent="0.25">
      <c r="A2903" s="262">
        <v>53029</v>
      </c>
      <c r="B2903" s="262" t="s">
        <v>1881</v>
      </c>
      <c r="C2903" s="262" t="s">
        <v>1888</v>
      </c>
      <c r="D2903" s="262">
        <v>-122.527682</v>
      </c>
      <c r="E2903" s="262">
        <v>48.147829999999999</v>
      </c>
      <c r="M2903" s="262">
        <v>9.0224676610000003</v>
      </c>
      <c r="N2903" s="262">
        <v>9.0224676610000003</v>
      </c>
    </row>
    <row r="2904" spans="1:14" x14ac:dyDescent="0.25">
      <c r="A2904" s="262">
        <v>53031</v>
      </c>
      <c r="B2904" s="262" t="s">
        <v>1881</v>
      </c>
      <c r="C2904" s="262" t="s">
        <v>149</v>
      </c>
      <c r="D2904" s="262">
        <v>-123.553619</v>
      </c>
      <c r="E2904" s="262">
        <v>47.761299999999999</v>
      </c>
      <c r="M2904" s="262">
        <v>8.4150203809999997</v>
      </c>
      <c r="N2904" s="262">
        <v>8.4150203809999997</v>
      </c>
    </row>
    <row r="2905" spans="1:14" x14ac:dyDescent="0.25">
      <c r="A2905" s="262">
        <v>53033</v>
      </c>
      <c r="B2905" s="262" t="s">
        <v>1881</v>
      </c>
      <c r="C2905" s="262" t="s">
        <v>1725</v>
      </c>
      <c r="D2905" s="262">
        <v>-121.77507900000001</v>
      </c>
      <c r="E2905" s="262">
        <v>47.479880000000001</v>
      </c>
      <c r="M2905" s="262">
        <v>9.6934132030000004</v>
      </c>
      <c r="N2905" s="262">
        <v>9.6934132030000004</v>
      </c>
    </row>
    <row r="2906" spans="1:14" x14ac:dyDescent="0.25">
      <c r="A2906" s="262">
        <v>53035</v>
      </c>
      <c r="B2906" s="262" t="s">
        <v>1881</v>
      </c>
      <c r="C2906" s="262" t="s">
        <v>1889</v>
      </c>
      <c r="D2906" s="262">
        <v>-122.653175</v>
      </c>
      <c r="E2906" s="262">
        <v>47.595419999999997</v>
      </c>
      <c r="M2906" s="262">
        <v>8.6382308349999999</v>
      </c>
      <c r="N2906" s="262">
        <v>8.6382308349999999</v>
      </c>
    </row>
    <row r="2907" spans="1:14" x14ac:dyDescent="0.25">
      <c r="A2907" s="262">
        <v>53037</v>
      </c>
      <c r="B2907" s="262" t="s">
        <v>1881</v>
      </c>
      <c r="C2907" s="262" t="s">
        <v>1890</v>
      </c>
      <c r="D2907" s="262">
        <v>-120.682789</v>
      </c>
      <c r="E2907" s="262">
        <v>47.115200000000002</v>
      </c>
      <c r="M2907" s="262">
        <v>11.22744327</v>
      </c>
      <c r="N2907" s="262">
        <v>11.22744327</v>
      </c>
    </row>
    <row r="2908" spans="1:14" x14ac:dyDescent="0.25">
      <c r="A2908" s="262">
        <v>53039</v>
      </c>
      <c r="B2908" s="262" t="s">
        <v>1881</v>
      </c>
      <c r="C2908" s="262" t="s">
        <v>1891</v>
      </c>
      <c r="D2908" s="262">
        <v>-120.790221</v>
      </c>
      <c r="E2908" s="262">
        <v>45.871079999999999</v>
      </c>
      <c r="M2908" s="262">
        <v>11.141287269999999</v>
      </c>
      <c r="N2908" s="262">
        <v>11.141287269999999</v>
      </c>
    </row>
    <row r="2909" spans="1:14" x14ac:dyDescent="0.25">
      <c r="A2909" s="262">
        <v>53041</v>
      </c>
      <c r="B2909" s="262" t="s">
        <v>1881</v>
      </c>
      <c r="C2909" s="262" t="s">
        <v>564</v>
      </c>
      <c r="D2909" s="262">
        <v>-122.397041</v>
      </c>
      <c r="E2909" s="262">
        <v>46.572760000000002</v>
      </c>
      <c r="M2909" s="262">
        <v>8.9678486270000004</v>
      </c>
      <c r="N2909" s="262">
        <v>8.9678486270000004</v>
      </c>
    </row>
    <row r="2910" spans="1:14" x14ac:dyDescent="0.25">
      <c r="A2910" s="262">
        <v>53043</v>
      </c>
      <c r="B2910" s="262" t="s">
        <v>1881</v>
      </c>
      <c r="C2910" s="262" t="s">
        <v>226</v>
      </c>
      <c r="D2910" s="262">
        <v>-118.415509</v>
      </c>
      <c r="E2910" s="262">
        <v>47.57282</v>
      </c>
      <c r="M2910" s="262">
        <v>10.279035009999999</v>
      </c>
      <c r="N2910" s="262">
        <v>10.279035009999999</v>
      </c>
    </row>
    <row r="2911" spans="1:14" x14ac:dyDescent="0.25">
      <c r="A2911" s="262">
        <v>53045</v>
      </c>
      <c r="B2911" s="262" t="s">
        <v>1881</v>
      </c>
      <c r="C2911" s="262" t="s">
        <v>608</v>
      </c>
      <c r="D2911" s="262">
        <v>-123.198047</v>
      </c>
      <c r="E2911" s="262">
        <v>47.346429999999998</v>
      </c>
      <c r="M2911" s="262">
        <v>8.1103471119999995</v>
      </c>
      <c r="N2911" s="262">
        <v>8.1103471119999995</v>
      </c>
    </row>
    <row r="2912" spans="1:14" x14ac:dyDescent="0.25">
      <c r="A2912" s="262">
        <v>53047</v>
      </c>
      <c r="B2912" s="262" t="s">
        <v>1881</v>
      </c>
      <c r="C2912" s="262" t="s">
        <v>1892</v>
      </c>
      <c r="D2912" s="262">
        <v>-119.742858</v>
      </c>
      <c r="E2912" s="262">
        <v>48.54562</v>
      </c>
      <c r="M2912" s="262">
        <v>10.588239720000001</v>
      </c>
      <c r="N2912" s="262">
        <v>10.588239720000001</v>
      </c>
    </row>
    <row r="2913" spans="1:14" x14ac:dyDescent="0.25">
      <c r="A2913" s="262">
        <v>53049</v>
      </c>
      <c r="B2913" s="262" t="s">
        <v>1881</v>
      </c>
      <c r="C2913" s="262" t="s">
        <v>1893</v>
      </c>
      <c r="D2913" s="262">
        <v>-123.675256</v>
      </c>
      <c r="E2913" s="262">
        <v>46.554830000000003</v>
      </c>
      <c r="M2913" s="262">
        <v>8.1255765760000003</v>
      </c>
      <c r="N2913" s="262">
        <v>8.1255765760000003</v>
      </c>
    </row>
    <row r="2914" spans="1:14" x14ac:dyDescent="0.25">
      <c r="A2914" s="262">
        <v>53051</v>
      </c>
      <c r="B2914" s="262" t="s">
        <v>1881</v>
      </c>
      <c r="C2914" s="262" t="s">
        <v>1894</v>
      </c>
      <c r="D2914" s="262">
        <v>-117.27281000000001</v>
      </c>
      <c r="E2914" s="262">
        <v>48.534289999999999</v>
      </c>
      <c r="M2914" s="262">
        <v>9.7847571270000007</v>
      </c>
      <c r="N2914" s="262">
        <v>9.7847571270000007</v>
      </c>
    </row>
    <row r="2915" spans="1:14" x14ac:dyDescent="0.25">
      <c r="A2915" s="262">
        <v>53053</v>
      </c>
      <c r="B2915" s="262" t="s">
        <v>1881</v>
      </c>
      <c r="C2915" s="262" t="s">
        <v>508</v>
      </c>
      <c r="D2915" s="262">
        <v>-122.04536899999999</v>
      </c>
      <c r="E2915" s="262">
        <v>46.986930000000001</v>
      </c>
      <c r="M2915" s="262">
        <v>9.2389978670000001</v>
      </c>
      <c r="N2915" s="262">
        <v>9.2389978670000001</v>
      </c>
    </row>
    <row r="2916" spans="1:14" x14ac:dyDescent="0.25">
      <c r="A2916" s="262">
        <v>53055</v>
      </c>
      <c r="B2916" s="262" t="s">
        <v>1881</v>
      </c>
      <c r="C2916" s="262" t="s">
        <v>361</v>
      </c>
      <c r="D2916" s="262">
        <v>-122.829054</v>
      </c>
      <c r="E2916" s="262">
        <v>48.461309999999997</v>
      </c>
      <c r="M2916" s="262">
        <v>8.9987410400000005</v>
      </c>
      <c r="N2916" s="262">
        <v>8.9987410400000005</v>
      </c>
    </row>
    <row r="2917" spans="1:14" x14ac:dyDescent="0.25">
      <c r="A2917" s="262">
        <v>53057</v>
      </c>
      <c r="B2917" s="262" t="s">
        <v>1881</v>
      </c>
      <c r="C2917" s="262" t="s">
        <v>1895</v>
      </c>
      <c r="D2917" s="262">
        <v>-121.713644</v>
      </c>
      <c r="E2917" s="262">
        <v>48.473730000000003</v>
      </c>
      <c r="M2917" s="262">
        <v>9.7652000559999994</v>
      </c>
      <c r="N2917" s="262">
        <v>9.7652000559999994</v>
      </c>
    </row>
    <row r="2918" spans="1:14" x14ac:dyDescent="0.25">
      <c r="A2918" s="262">
        <v>53059</v>
      </c>
      <c r="B2918" s="262" t="s">
        <v>1881</v>
      </c>
      <c r="C2918" s="262" t="s">
        <v>1896</v>
      </c>
      <c r="D2918" s="262">
        <v>-121.91531000000001</v>
      </c>
      <c r="E2918" s="262">
        <v>46.01614</v>
      </c>
      <c r="M2918" s="262">
        <v>9.7471992150000002</v>
      </c>
      <c r="N2918" s="262">
        <v>9.7471992150000002</v>
      </c>
    </row>
    <row r="2919" spans="1:14" x14ac:dyDescent="0.25">
      <c r="A2919" s="262">
        <v>53061</v>
      </c>
      <c r="B2919" s="262" t="s">
        <v>1881</v>
      </c>
      <c r="C2919" s="262" t="s">
        <v>1897</v>
      </c>
      <c r="D2919" s="262">
        <v>-121.67003699999999</v>
      </c>
      <c r="E2919" s="262">
        <v>48.041969999999999</v>
      </c>
      <c r="M2919" s="262">
        <v>9.7756090400000009</v>
      </c>
      <c r="N2919" s="262">
        <v>9.7756090400000009</v>
      </c>
    </row>
    <row r="2920" spans="1:14" x14ac:dyDescent="0.25">
      <c r="A2920" s="262">
        <v>53063</v>
      </c>
      <c r="B2920" s="262" t="s">
        <v>1881</v>
      </c>
      <c r="C2920" s="262" t="s">
        <v>1898</v>
      </c>
      <c r="D2920" s="262">
        <v>-117.396704</v>
      </c>
      <c r="E2920" s="262">
        <v>47.624879999999997</v>
      </c>
      <c r="M2920" s="262">
        <v>9.7356097439999996</v>
      </c>
      <c r="N2920" s="262">
        <v>9.7356097439999996</v>
      </c>
    </row>
    <row r="2921" spans="1:14" x14ac:dyDescent="0.25">
      <c r="A2921" s="262">
        <v>53065</v>
      </c>
      <c r="B2921" s="262" t="s">
        <v>1881</v>
      </c>
      <c r="C2921" s="262" t="s">
        <v>777</v>
      </c>
      <c r="D2921" s="262">
        <v>-117.85846100000001</v>
      </c>
      <c r="E2921" s="262">
        <v>48.40193</v>
      </c>
      <c r="M2921" s="262">
        <v>10.066507339999999</v>
      </c>
      <c r="N2921" s="262">
        <v>10.066507339999999</v>
      </c>
    </row>
    <row r="2922" spans="1:14" x14ac:dyDescent="0.25">
      <c r="A2922" s="262">
        <v>53067</v>
      </c>
      <c r="B2922" s="262" t="s">
        <v>1881</v>
      </c>
      <c r="C2922" s="262" t="s">
        <v>1228</v>
      </c>
      <c r="D2922" s="262">
        <v>-122.83546800000001</v>
      </c>
      <c r="E2922" s="262">
        <v>46.91404</v>
      </c>
      <c r="M2922" s="262">
        <v>8.2486411489999991</v>
      </c>
      <c r="N2922" s="262">
        <v>8.2486411489999991</v>
      </c>
    </row>
    <row r="2923" spans="1:14" x14ac:dyDescent="0.25">
      <c r="A2923" s="262">
        <v>53069</v>
      </c>
      <c r="B2923" s="262" t="s">
        <v>1881</v>
      </c>
      <c r="C2923" s="262" t="s">
        <v>1899</v>
      </c>
      <c r="D2923" s="262">
        <v>-123.409482</v>
      </c>
      <c r="E2923" s="262">
        <v>46.289560000000002</v>
      </c>
      <c r="M2923" s="262">
        <v>8.4198413900000002</v>
      </c>
      <c r="N2923" s="262">
        <v>8.4198413900000002</v>
      </c>
    </row>
    <row r="2924" spans="1:14" x14ac:dyDescent="0.25">
      <c r="A2924" s="262">
        <v>53071</v>
      </c>
      <c r="B2924" s="262" t="s">
        <v>1881</v>
      </c>
      <c r="C2924" s="262" t="s">
        <v>1900</v>
      </c>
      <c r="D2924" s="262">
        <v>-118.487866</v>
      </c>
      <c r="E2924" s="262">
        <v>46.230310000000003</v>
      </c>
      <c r="M2924" s="262">
        <v>9.6123835759999992</v>
      </c>
      <c r="N2924" s="262">
        <v>9.6123835759999992</v>
      </c>
    </row>
    <row r="2925" spans="1:14" x14ac:dyDescent="0.25">
      <c r="A2925" s="262">
        <v>53073</v>
      </c>
      <c r="B2925" s="262" t="s">
        <v>1881</v>
      </c>
      <c r="C2925" s="262" t="s">
        <v>1901</v>
      </c>
      <c r="D2925" s="262">
        <v>-121.689249</v>
      </c>
      <c r="E2925" s="262">
        <v>48.820529999999998</v>
      </c>
      <c r="M2925" s="262">
        <v>9.8048631890000006</v>
      </c>
      <c r="N2925" s="262">
        <v>9.8048631890000006</v>
      </c>
    </row>
    <row r="2926" spans="1:14" x14ac:dyDescent="0.25">
      <c r="A2926" s="262">
        <v>53075</v>
      </c>
      <c r="B2926" s="262" t="s">
        <v>1881</v>
      </c>
      <c r="C2926" s="262" t="s">
        <v>1902</v>
      </c>
      <c r="D2926" s="262">
        <v>-117.513893</v>
      </c>
      <c r="E2926" s="262">
        <v>46.898809999999997</v>
      </c>
      <c r="M2926" s="262">
        <v>9.4996447330000002</v>
      </c>
      <c r="N2926" s="262">
        <v>9.4996447330000002</v>
      </c>
    </row>
    <row r="2927" spans="1:14" x14ac:dyDescent="0.25">
      <c r="A2927" s="262">
        <v>53077</v>
      </c>
      <c r="B2927" s="262" t="s">
        <v>1881</v>
      </c>
      <c r="C2927" s="262" t="s">
        <v>1903</v>
      </c>
      <c r="D2927" s="262">
        <v>-120.740529</v>
      </c>
      <c r="E2927" s="262">
        <v>46.451770000000003</v>
      </c>
      <c r="M2927" s="262">
        <v>11.51032526</v>
      </c>
      <c r="N2927" s="262">
        <v>11.51032526</v>
      </c>
    </row>
    <row r="2928" spans="1:14" x14ac:dyDescent="0.25">
      <c r="A2928" s="262">
        <v>54001</v>
      </c>
      <c r="B2928" s="262" t="s">
        <v>1904</v>
      </c>
      <c r="C2928" s="262" t="s">
        <v>115</v>
      </c>
      <c r="D2928" s="262">
        <v>-79.997749900000002</v>
      </c>
      <c r="E2928" s="262">
        <v>39.132370000000002</v>
      </c>
      <c r="M2928" s="262">
        <v>10.88653229</v>
      </c>
      <c r="N2928" s="262">
        <v>10.88653229</v>
      </c>
    </row>
    <row r="2929" spans="1:14" x14ac:dyDescent="0.25">
      <c r="A2929" s="262">
        <v>54003</v>
      </c>
      <c r="B2929" s="262" t="s">
        <v>1904</v>
      </c>
      <c r="C2929" s="262" t="s">
        <v>1554</v>
      </c>
      <c r="D2929" s="262">
        <v>-78.027495000000002</v>
      </c>
      <c r="E2929" s="262">
        <v>39.464889999999997</v>
      </c>
      <c r="M2929" s="262">
        <v>11.873628589999999</v>
      </c>
      <c r="N2929" s="262">
        <v>11.873628589999999</v>
      </c>
    </row>
    <row r="2930" spans="1:14" x14ac:dyDescent="0.25">
      <c r="A2930" s="262">
        <v>54005</v>
      </c>
      <c r="B2930" s="262" t="s">
        <v>1904</v>
      </c>
      <c r="C2930" s="262" t="s">
        <v>201</v>
      </c>
      <c r="D2930" s="262">
        <v>-81.703618399999996</v>
      </c>
      <c r="E2930" s="262">
        <v>38.018479999999997</v>
      </c>
      <c r="M2930" s="262">
        <v>13.206275229999999</v>
      </c>
      <c r="N2930" s="262">
        <v>13.206275229999999</v>
      </c>
    </row>
    <row r="2931" spans="1:14" x14ac:dyDescent="0.25">
      <c r="A2931" s="262">
        <v>54007</v>
      </c>
      <c r="B2931" s="262" t="s">
        <v>1904</v>
      </c>
      <c r="C2931" s="262" t="s">
        <v>1905</v>
      </c>
      <c r="D2931" s="262">
        <v>-80.720850299999995</v>
      </c>
      <c r="E2931" s="262">
        <v>38.701189999999997</v>
      </c>
      <c r="M2931" s="262">
        <v>11.89414403</v>
      </c>
      <c r="N2931" s="262">
        <v>11.89414403</v>
      </c>
    </row>
    <row r="2932" spans="1:14" x14ac:dyDescent="0.25">
      <c r="A2932" s="262">
        <v>54009</v>
      </c>
      <c r="B2932" s="262" t="s">
        <v>1904</v>
      </c>
      <c r="C2932" s="262" t="s">
        <v>1906</v>
      </c>
      <c r="D2932" s="262">
        <v>-80.580620800000005</v>
      </c>
      <c r="E2932" s="262">
        <v>40.283580000000001</v>
      </c>
      <c r="M2932" s="262">
        <v>11.524697959999999</v>
      </c>
      <c r="N2932" s="262">
        <v>11.524697959999999</v>
      </c>
    </row>
    <row r="2933" spans="1:14" x14ac:dyDescent="0.25">
      <c r="A2933" s="262">
        <v>54011</v>
      </c>
      <c r="B2933" s="262" t="s">
        <v>1904</v>
      </c>
      <c r="C2933" s="262" t="s">
        <v>1907</v>
      </c>
      <c r="D2933" s="262">
        <v>-82.240295700000004</v>
      </c>
      <c r="E2933" s="262">
        <v>38.429760000000002</v>
      </c>
      <c r="M2933" s="262">
        <v>13.059833060000001</v>
      </c>
      <c r="N2933" s="262">
        <v>13.059833060000001</v>
      </c>
    </row>
    <row r="2934" spans="1:14" x14ac:dyDescent="0.25">
      <c r="A2934" s="262">
        <v>54013</v>
      </c>
      <c r="B2934" s="262" t="s">
        <v>1904</v>
      </c>
      <c r="C2934" s="262" t="s">
        <v>120</v>
      </c>
      <c r="D2934" s="262">
        <v>-81.117716900000005</v>
      </c>
      <c r="E2934" s="262">
        <v>38.845770000000002</v>
      </c>
      <c r="M2934" s="262">
        <v>12.21758591</v>
      </c>
      <c r="N2934" s="262">
        <v>12.21758591</v>
      </c>
    </row>
    <row r="2935" spans="1:14" x14ac:dyDescent="0.25">
      <c r="A2935" s="262">
        <v>54015</v>
      </c>
      <c r="B2935" s="262" t="s">
        <v>1904</v>
      </c>
      <c r="C2935" s="262" t="s">
        <v>126</v>
      </c>
      <c r="D2935" s="262">
        <v>-81.070552199999995</v>
      </c>
      <c r="E2935" s="262">
        <v>38.462649999999996</v>
      </c>
      <c r="M2935" s="262">
        <v>12.48523527</v>
      </c>
      <c r="N2935" s="262">
        <v>12.48523527</v>
      </c>
    </row>
    <row r="2936" spans="1:14" x14ac:dyDescent="0.25">
      <c r="A2936" s="262">
        <v>54017</v>
      </c>
      <c r="B2936" s="262" t="s">
        <v>1904</v>
      </c>
      <c r="C2936" s="262" t="s">
        <v>1908</v>
      </c>
      <c r="D2936" s="262">
        <v>-80.709221299999996</v>
      </c>
      <c r="E2936" s="262">
        <v>39.271369999999997</v>
      </c>
      <c r="M2936" s="262">
        <v>11.635932349999999</v>
      </c>
      <c r="N2936" s="262">
        <v>11.635932349999999</v>
      </c>
    </row>
    <row r="2937" spans="1:14" x14ac:dyDescent="0.25">
      <c r="A2937" s="262">
        <v>54019</v>
      </c>
      <c r="B2937" s="262" t="s">
        <v>1904</v>
      </c>
      <c r="C2937" s="262" t="s">
        <v>141</v>
      </c>
      <c r="D2937" s="262">
        <v>-81.072606800000003</v>
      </c>
      <c r="E2937" s="262">
        <v>38.02496</v>
      </c>
      <c r="M2937" s="262">
        <v>12.889045429999999</v>
      </c>
      <c r="N2937" s="262">
        <v>12.889045429999999</v>
      </c>
    </row>
    <row r="2938" spans="1:14" x14ac:dyDescent="0.25">
      <c r="A2938" s="262">
        <v>54021</v>
      </c>
      <c r="B2938" s="262" t="s">
        <v>1904</v>
      </c>
      <c r="C2938" s="262" t="s">
        <v>476</v>
      </c>
      <c r="D2938" s="262">
        <v>-80.862177200000005</v>
      </c>
      <c r="E2938" s="262">
        <v>38.922640000000001</v>
      </c>
      <c r="M2938" s="262">
        <v>11.905849399999999</v>
      </c>
      <c r="N2938" s="262">
        <v>11.905849399999999</v>
      </c>
    </row>
    <row r="2939" spans="1:14" x14ac:dyDescent="0.25">
      <c r="A2939" s="262">
        <v>54023</v>
      </c>
      <c r="B2939" s="262" t="s">
        <v>1904</v>
      </c>
      <c r="C2939" s="262" t="s">
        <v>218</v>
      </c>
      <c r="D2939" s="262">
        <v>-79.203435600000006</v>
      </c>
      <c r="E2939" s="262">
        <v>39.106059999999999</v>
      </c>
      <c r="M2939" s="262">
        <v>10.685529470000001</v>
      </c>
      <c r="N2939" s="262">
        <v>10.685529470000001</v>
      </c>
    </row>
    <row r="2940" spans="1:14" x14ac:dyDescent="0.25">
      <c r="A2940" s="262">
        <v>54025</v>
      </c>
      <c r="B2940" s="262" t="s">
        <v>1904</v>
      </c>
      <c r="C2940" s="262" t="s">
        <v>1909</v>
      </c>
      <c r="D2940" s="262">
        <v>-80.452502899999999</v>
      </c>
      <c r="E2940" s="262">
        <v>37.947380000000003</v>
      </c>
      <c r="M2940" s="262">
        <v>12.440848089999999</v>
      </c>
      <c r="N2940" s="262">
        <v>12.440848089999999</v>
      </c>
    </row>
    <row r="2941" spans="1:14" x14ac:dyDescent="0.25">
      <c r="A2941" s="262">
        <v>54027</v>
      </c>
      <c r="B2941" s="262" t="s">
        <v>1904</v>
      </c>
      <c r="C2941" s="262" t="s">
        <v>943</v>
      </c>
      <c r="D2941" s="262">
        <v>-78.622795699999998</v>
      </c>
      <c r="E2941" s="262">
        <v>39.318379999999998</v>
      </c>
      <c r="M2941" s="262">
        <v>11.29894636</v>
      </c>
      <c r="N2941" s="262">
        <v>11.29894636</v>
      </c>
    </row>
    <row r="2942" spans="1:14" x14ac:dyDescent="0.25">
      <c r="A2942" s="262">
        <v>54029</v>
      </c>
      <c r="B2942" s="262" t="s">
        <v>1904</v>
      </c>
      <c r="C2942" s="262" t="s">
        <v>484</v>
      </c>
      <c r="D2942" s="262">
        <v>-80.578928099999999</v>
      </c>
      <c r="E2942" s="262">
        <v>40.532170000000001</v>
      </c>
      <c r="M2942" s="262">
        <v>11.42624762</v>
      </c>
      <c r="N2942" s="262">
        <v>11.42624762</v>
      </c>
    </row>
    <row r="2943" spans="1:14" x14ac:dyDescent="0.25">
      <c r="A2943" s="262">
        <v>54031</v>
      </c>
      <c r="B2943" s="262" t="s">
        <v>1904</v>
      </c>
      <c r="C2943" s="262" t="s">
        <v>1910</v>
      </c>
      <c r="D2943" s="262">
        <v>-78.865639700000003</v>
      </c>
      <c r="E2943" s="262">
        <v>39.011670000000002</v>
      </c>
      <c r="M2943" s="262">
        <v>11.06965475</v>
      </c>
      <c r="N2943" s="262">
        <v>11.06965475</v>
      </c>
    </row>
    <row r="2944" spans="1:14" x14ac:dyDescent="0.25">
      <c r="A2944" s="262">
        <v>54033</v>
      </c>
      <c r="B2944" s="262" t="s">
        <v>1904</v>
      </c>
      <c r="C2944" s="262" t="s">
        <v>641</v>
      </c>
      <c r="D2944" s="262">
        <v>-80.384016700000004</v>
      </c>
      <c r="E2944" s="262">
        <v>39.286580000000001</v>
      </c>
      <c r="M2944" s="262">
        <v>11.329199279999999</v>
      </c>
      <c r="N2944" s="262">
        <v>11.329199279999999</v>
      </c>
    </row>
    <row r="2945" spans="1:14" x14ac:dyDescent="0.25">
      <c r="A2945" s="262">
        <v>54035</v>
      </c>
      <c r="B2945" s="262" t="s">
        <v>1904</v>
      </c>
      <c r="C2945" s="262" t="s">
        <v>148</v>
      </c>
      <c r="D2945" s="262">
        <v>-81.672879699999996</v>
      </c>
      <c r="E2945" s="262">
        <v>38.846580000000003</v>
      </c>
      <c r="M2945" s="262">
        <v>12.586128950000001</v>
      </c>
      <c r="N2945" s="262">
        <v>12.586128950000001</v>
      </c>
    </row>
    <row r="2946" spans="1:14" x14ac:dyDescent="0.25">
      <c r="A2946" s="262">
        <v>54037</v>
      </c>
      <c r="B2946" s="262" t="s">
        <v>1904</v>
      </c>
      <c r="C2946" s="262" t="s">
        <v>149</v>
      </c>
      <c r="D2946" s="262">
        <v>-77.864831600000002</v>
      </c>
      <c r="E2946" s="262">
        <v>39.310580000000002</v>
      </c>
      <c r="M2946" s="262">
        <v>12.19470695</v>
      </c>
      <c r="N2946" s="262">
        <v>12.19470695</v>
      </c>
    </row>
    <row r="2947" spans="1:14" x14ac:dyDescent="0.25">
      <c r="A2947" s="262">
        <v>54039</v>
      </c>
      <c r="B2947" s="262" t="s">
        <v>1904</v>
      </c>
      <c r="C2947" s="262" t="s">
        <v>1911</v>
      </c>
      <c r="D2947" s="262">
        <v>-81.516383599999998</v>
      </c>
      <c r="E2947" s="262">
        <v>38.33558</v>
      </c>
      <c r="M2947" s="262">
        <v>12.949624630000001</v>
      </c>
      <c r="N2947" s="262">
        <v>12.949624630000001</v>
      </c>
    </row>
    <row r="2948" spans="1:14" x14ac:dyDescent="0.25">
      <c r="A2948" s="262">
        <v>54041</v>
      </c>
      <c r="B2948" s="262" t="s">
        <v>1904</v>
      </c>
      <c r="C2948" s="262" t="s">
        <v>564</v>
      </c>
      <c r="D2948" s="262">
        <v>-80.5054734</v>
      </c>
      <c r="E2948" s="262">
        <v>38.997529999999998</v>
      </c>
      <c r="M2948" s="262">
        <v>11.47567926</v>
      </c>
      <c r="N2948" s="262">
        <v>11.47567926</v>
      </c>
    </row>
    <row r="2949" spans="1:14" x14ac:dyDescent="0.25">
      <c r="A2949" s="262">
        <v>54043</v>
      </c>
      <c r="B2949" s="262" t="s">
        <v>1904</v>
      </c>
      <c r="C2949" s="262" t="s">
        <v>226</v>
      </c>
      <c r="D2949" s="262">
        <v>-82.059406800000005</v>
      </c>
      <c r="E2949" s="262">
        <v>38.171930000000003</v>
      </c>
      <c r="M2949" s="262">
        <v>13.186441670000001</v>
      </c>
      <c r="N2949" s="262">
        <v>13.186441670000001</v>
      </c>
    </row>
    <row r="2950" spans="1:14" x14ac:dyDescent="0.25">
      <c r="A2950" s="262">
        <v>54045</v>
      </c>
      <c r="B2950" s="262" t="s">
        <v>1904</v>
      </c>
      <c r="C2950" s="262" t="s">
        <v>228</v>
      </c>
      <c r="D2950" s="262">
        <v>-81.936584100000005</v>
      </c>
      <c r="E2950" s="262">
        <v>37.825290000000003</v>
      </c>
      <c r="M2950" s="262">
        <v>13.308738180000001</v>
      </c>
      <c r="N2950" s="262">
        <v>13.308738180000001</v>
      </c>
    </row>
    <row r="2951" spans="1:14" x14ac:dyDescent="0.25">
      <c r="A2951" s="262">
        <v>54047</v>
      </c>
      <c r="B2951" s="262" t="s">
        <v>1904</v>
      </c>
      <c r="C2951" s="262" t="s">
        <v>1356</v>
      </c>
      <c r="D2951" s="262">
        <v>-81.655478700000003</v>
      </c>
      <c r="E2951" s="262">
        <v>37.378349999999998</v>
      </c>
      <c r="M2951" s="262">
        <v>13.468849179999999</v>
      </c>
      <c r="N2951" s="262">
        <v>13.468849179999999</v>
      </c>
    </row>
    <row r="2952" spans="1:14" x14ac:dyDescent="0.25">
      <c r="A2952" s="262">
        <v>54049</v>
      </c>
      <c r="B2952" s="262" t="s">
        <v>1904</v>
      </c>
      <c r="C2952" s="262" t="s">
        <v>159</v>
      </c>
      <c r="D2952" s="262">
        <v>-80.238133300000001</v>
      </c>
      <c r="E2952" s="262">
        <v>39.512340000000002</v>
      </c>
      <c r="M2952" s="262">
        <v>11.249554590000001</v>
      </c>
      <c r="N2952" s="262">
        <v>11.249554590000001</v>
      </c>
    </row>
    <row r="2953" spans="1:14" x14ac:dyDescent="0.25">
      <c r="A2953" s="262">
        <v>54051</v>
      </c>
      <c r="B2953" s="262" t="s">
        <v>1904</v>
      </c>
      <c r="C2953" s="262" t="s">
        <v>160</v>
      </c>
      <c r="D2953" s="262">
        <v>-80.665774299999995</v>
      </c>
      <c r="E2953" s="262">
        <v>39.869190000000003</v>
      </c>
      <c r="M2953" s="262">
        <v>11.57172314</v>
      </c>
      <c r="N2953" s="262">
        <v>11.57172314</v>
      </c>
    </row>
    <row r="2954" spans="1:14" x14ac:dyDescent="0.25">
      <c r="A2954" s="262">
        <v>54053</v>
      </c>
      <c r="B2954" s="262" t="s">
        <v>1904</v>
      </c>
      <c r="C2954" s="262" t="s">
        <v>608</v>
      </c>
      <c r="D2954" s="262">
        <v>-82.026401000000007</v>
      </c>
      <c r="E2954" s="262">
        <v>38.772669999999998</v>
      </c>
      <c r="M2954" s="262">
        <v>12.75955971</v>
      </c>
      <c r="N2954" s="262">
        <v>12.75955971</v>
      </c>
    </row>
    <row r="2955" spans="1:14" x14ac:dyDescent="0.25">
      <c r="A2955" s="262">
        <v>54055</v>
      </c>
      <c r="B2955" s="262" t="s">
        <v>1904</v>
      </c>
      <c r="C2955" s="262" t="s">
        <v>611</v>
      </c>
      <c r="D2955" s="262">
        <v>-81.109248899999997</v>
      </c>
      <c r="E2955" s="262">
        <v>37.402169999999998</v>
      </c>
      <c r="M2955" s="262">
        <v>13.41737711</v>
      </c>
      <c r="N2955" s="262">
        <v>13.41737711</v>
      </c>
    </row>
    <row r="2956" spans="1:14" x14ac:dyDescent="0.25">
      <c r="A2956" s="262">
        <v>54057</v>
      </c>
      <c r="B2956" s="262" t="s">
        <v>1904</v>
      </c>
      <c r="C2956" s="262" t="s">
        <v>347</v>
      </c>
      <c r="D2956" s="262">
        <v>-78.948545499999994</v>
      </c>
      <c r="E2956" s="262">
        <v>39.41122</v>
      </c>
      <c r="M2956" s="262">
        <v>10.96980108</v>
      </c>
      <c r="N2956" s="262">
        <v>10.96980108</v>
      </c>
    </row>
    <row r="2957" spans="1:14" x14ac:dyDescent="0.25">
      <c r="A2957" s="262">
        <v>54059</v>
      </c>
      <c r="B2957" s="262" t="s">
        <v>1904</v>
      </c>
      <c r="C2957" s="262" t="s">
        <v>1912</v>
      </c>
      <c r="D2957" s="262">
        <v>-82.133767399999996</v>
      </c>
      <c r="E2957" s="262">
        <v>37.721890000000002</v>
      </c>
      <c r="M2957" s="262">
        <v>13.33936834</v>
      </c>
      <c r="N2957" s="262">
        <v>13.33936834</v>
      </c>
    </row>
    <row r="2958" spans="1:14" x14ac:dyDescent="0.25">
      <c r="A2958" s="262">
        <v>54061</v>
      </c>
      <c r="B2958" s="262" t="s">
        <v>1904</v>
      </c>
      <c r="C2958" s="262" t="s">
        <v>1913</v>
      </c>
      <c r="D2958" s="262">
        <v>-80.035409700000002</v>
      </c>
      <c r="E2958" s="262">
        <v>39.632980000000003</v>
      </c>
      <c r="M2958" s="262">
        <v>11.18529579</v>
      </c>
      <c r="N2958" s="262">
        <v>11.18529579</v>
      </c>
    </row>
    <row r="2959" spans="1:14" x14ac:dyDescent="0.25">
      <c r="A2959" s="262">
        <v>54063</v>
      </c>
      <c r="B2959" s="262" t="s">
        <v>1904</v>
      </c>
      <c r="C2959" s="262" t="s">
        <v>162</v>
      </c>
      <c r="D2959" s="262">
        <v>-80.544836599999996</v>
      </c>
      <c r="E2959" s="262">
        <v>37.560659999999999</v>
      </c>
      <c r="M2959" s="262">
        <v>13.082234939999999</v>
      </c>
      <c r="N2959" s="262">
        <v>13.082234939999999</v>
      </c>
    </row>
    <row r="2960" spans="1:14" x14ac:dyDescent="0.25">
      <c r="A2960" s="262">
        <v>54065</v>
      </c>
      <c r="B2960" s="262" t="s">
        <v>1904</v>
      </c>
      <c r="C2960" s="262" t="s">
        <v>164</v>
      </c>
      <c r="D2960" s="262">
        <v>-78.271468100000007</v>
      </c>
      <c r="E2960" s="262">
        <v>39.557070000000003</v>
      </c>
      <c r="M2960" s="262">
        <v>11.54120056</v>
      </c>
      <c r="N2960" s="262">
        <v>11.54120056</v>
      </c>
    </row>
    <row r="2961" spans="1:14" x14ac:dyDescent="0.25">
      <c r="A2961" s="262">
        <v>54067</v>
      </c>
      <c r="B2961" s="262" t="s">
        <v>1904</v>
      </c>
      <c r="C2961" s="262" t="s">
        <v>829</v>
      </c>
      <c r="D2961" s="262">
        <v>-80.795513099999994</v>
      </c>
      <c r="E2961" s="262">
        <v>38.294580000000003</v>
      </c>
      <c r="M2961" s="262">
        <v>12.34241866</v>
      </c>
      <c r="N2961" s="262">
        <v>12.34241866</v>
      </c>
    </row>
    <row r="2962" spans="1:14" x14ac:dyDescent="0.25">
      <c r="A2962" s="262">
        <v>54069</v>
      </c>
      <c r="B2962" s="262" t="s">
        <v>1904</v>
      </c>
      <c r="C2962" s="262" t="s">
        <v>651</v>
      </c>
      <c r="D2962" s="262">
        <v>-80.6253782</v>
      </c>
      <c r="E2962" s="262">
        <v>40.10427</v>
      </c>
      <c r="M2962" s="262">
        <v>11.55515387</v>
      </c>
      <c r="N2962" s="262">
        <v>11.55515387</v>
      </c>
    </row>
    <row r="2963" spans="1:14" x14ac:dyDescent="0.25">
      <c r="A2963" s="262">
        <v>54071</v>
      </c>
      <c r="B2963" s="262" t="s">
        <v>1904</v>
      </c>
      <c r="C2963" s="262" t="s">
        <v>832</v>
      </c>
      <c r="D2963" s="262">
        <v>-79.360095200000004</v>
      </c>
      <c r="E2963" s="262">
        <v>38.680880000000002</v>
      </c>
      <c r="M2963" s="262">
        <v>10.36415264</v>
      </c>
      <c r="N2963" s="262">
        <v>10.36415264</v>
      </c>
    </row>
    <row r="2964" spans="1:14" x14ac:dyDescent="0.25">
      <c r="A2964" s="262">
        <v>54073</v>
      </c>
      <c r="B2964" s="262" t="s">
        <v>1904</v>
      </c>
      <c r="C2964" s="262" t="s">
        <v>1914</v>
      </c>
      <c r="D2964" s="262">
        <v>-81.1729007</v>
      </c>
      <c r="E2964" s="262">
        <v>39.373779999999996</v>
      </c>
      <c r="M2964" s="262">
        <v>11.941245690000001</v>
      </c>
      <c r="N2964" s="262">
        <v>11.941245690000001</v>
      </c>
    </row>
    <row r="2965" spans="1:14" x14ac:dyDescent="0.25">
      <c r="A2965" s="262">
        <v>54075</v>
      </c>
      <c r="B2965" s="262" t="s">
        <v>1904</v>
      </c>
      <c r="C2965" s="262" t="s">
        <v>706</v>
      </c>
      <c r="D2965" s="262">
        <v>-80.008739399999996</v>
      </c>
      <c r="E2965" s="262">
        <v>38.331629999999997</v>
      </c>
      <c r="M2965" s="262">
        <v>11.26721706</v>
      </c>
      <c r="N2965" s="262">
        <v>11.26721706</v>
      </c>
    </row>
    <row r="2966" spans="1:14" x14ac:dyDescent="0.25">
      <c r="A2966" s="262">
        <v>54077</v>
      </c>
      <c r="B2966" s="262" t="s">
        <v>1904</v>
      </c>
      <c r="C2966" s="262" t="s">
        <v>1915</v>
      </c>
      <c r="D2966" s="262">
        <v>-79.671528600000002</v>
      </c>
      <c r="E2966" s="262">
        <v>39.468829999999997</v>
      </c>
      <c r="M2966" s="262">
        <v>10.8621707</v>
      </c>
      <c r="N2966" s="262">
        <v>10.8621707</v>
      </c>
    </row>
    <row r="2967" spans="1:14" x14ac:dyDescent="0.25">
      <c r="A2967" s="262">
        <v>54079</v>
      </c>
      <c r="B2967" s="262" t="s">
        <v>1904</v>
      </c>
      <c r="C2967" s="262" t="s">
        <v>421</v>
      </c>
      <c r="D2967" s="262">
        <v>-81.901833300000007</v>
      </c>
      <c r="E2967" s="262">
        <v>38.508290000000002</v>
      </c>
      <c r="M2967" s="262">
        <v>12.93162596</v>
      </c>
      <c r="N2967" s="262">
        <v>12.93162596</v>
      </c>
    </row>
    <row r="2968" spans="1:14" x14ac:dyDescent="0.25">
      <c r="A2968" s="262">
        <v>54081</v>
      </c>
      <c r="B2968" s="262" t="s">
        <v>1904</v>
      </c>
      <c r="C2968" s="262" t="s">
        <v>1916</v>
      </c>
      <c r="D2968" s="262">
        <v>-81.246708900000002</v>
      </c>
      <c r="E2968" s="262">
        <v>37.769509999999997</v>
      </c>
      <c r="M2968" s="262">
        <v>13.18391203</v>
      </c>
      <c r="N2968" s="262">
        <v>13.18391203</v>
      </c>
    </row>
    <row r="2969" spans="1:14" x14ac:dyDescent="0.25">
      <c r="A2969" s="262">
        <v>54083</v>
      </c>
      <c r="B2969" s="262" t="s">
        <v>1904</v>
      </c>
      <c r="C2969" s="262" t="s">
        <v>168</v>
      </c>
      <c r="D2969" s="262">
        <v>-79.880436900000007</v>
      </c>
      <c r="E2969" s="262">
        <v>38.775219999999997</v>
      </c>
      <c r="M2969" s="262">
        <v>10.707286679999999</v>
      </c>
      <c r="N2969" s="262">
        <v>10.707286679999999</v>
      </c>
    </row>
    <row r="2970" spans="1:14" x14ac:dyDescent="0.25">
      <c r="A2970" s="262">
        <v>54085</v>
      </c>
      <c r="B2970" s="262" t="s">
        <v>1904</v>
      </c>
      <c r="C2970" s="262" t="s">
        <v>1917</v>
      </c>
      <c r="D2970" s="262">
        <v>-81.062518999999995</v>
      </c>
      <c r="E2970" s="262">
        <v>39.182569999999998</v>
      </c>
      <c r="M2970" s="262">
        <v>11.953009700000001</v>
      </c>
      <c r="N2970" s="262">
        <v>11.953009700000001</v>
      </c>
    </row>
    <row r="2971" spans="1:14" x14ac:dyDescent="0.25">
      <c r="A2971" s="262">
        <v>54087</v>
      </c>
      <c r="B2971" s="262" t="s">
        <v>1904</v>
      </c>
      <c r="C2971" s="262" t="s">
        <v>1636</v>
      </c>
      <c r="D2971" s="262">
        <v>-81.342110199999993</v>
      </c>
      <c r="E2971" s="262">
        <v>38.715719999999997</v>
      </c>
      <c r="M2971" s="262">
        <v>12.497075819999999</v>
      </c>
      <c r="N2971" s="262">
        <v>12.497075819999999</v>
      </c>
    </row>
    <row r="2972" spans="1:14" x14ac:dyDescent="0.25">
      <c r="A2972" s="262">
        <v>54089</v>
      </c>
      <c r="B2972" s="262" t="s">
        <v>1904</v>
      </c>
      <c r="C2972" s="262" t="s">
        <v>1918</v>
      </c>
      <c r="D2972" s="262">
        <v>-80.855569200000005</v>
      </c>
      <c r="E2972" s="262">
        <v>37.64743</v>
      </c>
      <c r="M2972" s="262">
        <v>13.08852237</v>
      </c>
      <c r="N2972" s="262">
        <v>13.08852237</v>
      </c>
    </row>
    <row r="2973" spans="1:14" x14ac:dyDescent="0.25">
      <c r="A2973" s="262">
        <v>54091</v>
      </c>
      <c r="B2973" s="262" t="s">
        <v>1904</v>
      </c>
      <c r="C2973" s="262" t="s">
        <v>428</v>
      </c>
      <c r="D2973" s="262">
        <v>-80.047956400000004</v>
      </c>
      <c r="E2973" s="262">
        <v>39.335920000000002</v>
      </c>
      <c r="M2973" s="262">
        <v>11.027824069999999</v>
      </c>
      <c r="N2973" s="262">
        <v>11.027824069999999</v>
      </c>
    </row>
    <row r="2974" spans="1:14" x14ac:dyDescent="0.25">
      <c r="A2974" s="262">
        <v>54093</v>
      </c>
      <c r="B2974" s="262" t="s">
        <v>1904</v>
      </c>
      <c r="C2974" s="262" t="s">
        <v>1919</v>
      </c>
      <c r="D2974" s="262">
        <v>-79.559967799999995</v>
      </c>
      <c r="E2974" s="262">
        <v>39.112839999999998</v>
      </c>
      <c r="M2974" s="262">
        <v>10.58176082</v>
      </c>
      <c r="N2974" s="262">
        <v>10.58176082</v>
      </c>
    </row>
    <row r="2975" spans="1:14" x14ac:dyDescent="0.25">
      <c r="A2975" s="262">
        <v>54095</v>
      </c>
      <c r="B2975" s="262" t="s">
        <v>1904</v>
      </c>
      <c r="C2975" s="262" t="s">
        <v>1786</v>
      </c>
      <c r="D2975" s="262">
        <v>-80.886331799999994</v>
      </c>
      <c r="E2975" s="262">
        <v>39.470849999999999</v>
      </c>
      <c r="M2975" s="262">
        <v>11.72505378</v>
      </c>
      <c r="N2975" s="262">
        <v>11.72505378</v>
      </c>
    </row>
    <row r="2976" spans="1:14" x14ac:dyDescent="0.25">
      <c r="A2976" s="262">
        <v>54097</v>
      </c>
      <c r="B2976" s="262" t="s">
        <v>1904</v>
      </c>
      <c r="C2976" s="262" t="s">
        <v>1787</v>
      </c>
      <c r="D2976" s="262">
        <v>-80.234939900000001</v>
      </c>
      <c r="E2976" s="262">
        <v>38.903199999999998</v>
      </c>
      <c r="M2976" s="262">
        <v>11.16324882</v>
      </c>
      <c r="N2976" s="262">
        <v>11.16324882</v>
      </c>
    </row>
    <row r="2977" spans="1:14" x14ac:dyDescent="0.25">
      <c r="A2977" s="262">
        <v>54099</v>
      </c>
      <c r="B2977" s="262" t="s">
        <v>1904</v>
      </c>
      <c r="C2977" s="262" t="s">
        <v>534</v>
      </c>
      <c r="D2977" s="262">
        <v>-82.419984299999996</v>
      </c>
      <c r="E2977" s="262">
        <v>38.15222</v>
      </c>
      <c r="M2977" s="262">
        <v>13.215154350000001</v>
      </c>
      <c r="N2977" s="262">
        <v>13.215154350000001</v>
      </c>
    </row>
    <row r="2978" spans="1:14" x14ac:dyDescent="0.25">
      <c r="A2978" s="262">
        <v>54101</v>
      </c>
      <c r="B2978" s="262" t="s">
        <v>1904</v>
      </c>
      <c r="C2978" s="262" t="s">
        <v>535</v>
      </c>
      <c r="D2978" s="262">
        <v>-80.417929400000006</v>
      </c>
      <c r="E2978" s="262">
        <v>38.495809999999999</v>
      </c>
      <c r="M2978" s="262">
        <v>11.66218707</v>
      </c>
      <c r="N2978" s="262">
        <v>11.66218707</v>
      </c>
    </row>
    <row r="2979" spans="1:14" x14ac:dyDescent="0.25">
      <c r="A2979" s="262">
        <v>54103</v>
      </c>
      <c r="B2979" s="262" t="s">
        <v>1904</v>
      </c>
      <c r="C2979" s="262" t="s">
        <v>1920</v>
      </c>
      <c r="D2979" s="262">
        <v>-80.635670099999999</v>
      </c>
      <c r="E2979" s="262">
        <v>39.612180000000002</v>
      </c>
      <c r="M2979" s="262">
        <v>11.55074866</v>
      </c>
      <c r="N2979" s="262">
        <v>11.55074866</v>
      </c>
    </row>
    <row r="2980" spans="1:14" x14ac:dyDescent="0.25">
      <c r="A2980" s="262">
        <v>54105</v>
      </c>
      <c r="B2980" s="262" t="s">
        <v>1904</v>
      </c>
      <c r="C2980" s="262" t="s">
        <v>1921</v>
      </c>
      <c r="D2980" s="262">
        <v>-81.374131800000001</v>
      </c>
      <c r="E2980" s="262">
        <v>39.024410000000003</v>
      </c>
      <c r="M2980" s="262">
        <v>12.27529339</v>
      </c>
      <c r="N2980" s="262">
        <v>12.27529339</v>
      </c>
    </row>
    <row r="2981" spans="1:14" x14ac:dyDescent="0.25">
      <c r="A2981" s="262">
        <v>54107</v>
      </c>
      <c r="B2981" s="262" t="s">
        <v>1904</v>
      </c>
      <c r="C2981" s="262" t="s">
        <v>1449</v>
      </c>
      <c r="D2981" s="262">
        <v>-81.51679</v>
      </c>
      <c r="E2981" s="262">
        <v>39.218040000000002</v>
      </c>
      <c r="M2981" s="262">
        <v>12.22301081</v>
      </c>
      <c r="N2981" s="262">
        <v>12.22301081</v>
      </c>
    </row>
    <row r="2982" spans="1:14" x14ac:dyDescent="0.25">
      <c r="A2982" s="262">
        <v>54109</v>
      </c>
      <c r="B2982" s="262" t="s">
        <v>1904</v>
      </c>
      <c r="C2982" s="262" t="s">
        <v>1316</v>
      </c>
      <c r="D2982" s="262">
        <v>-81.544357899999994</v>
      </c>
      <c r="E2982" s="262">
        <v>37.608310000000003</v>
      </c>
      <c r="M2982" s="262">
        <v>13.35803196</v>
      </c>
      <c r="N2982" s="262">
        <v>13.35803196</v>
      </c>
    </row>
    <row r="2983" spans="1:14" x14ac:dyDescent="0.25">
      <c r="A2983" s="262">
        <v>55001</v>
      </c>
      <c r="B2983" s="262" t="s">
        <v>1922</v>
      </c>
      <c r="C2983" s="262" t="s">
        <v>312</v>
      </c>
      <c r="D2983" s="262">
        <v>-89.760774100000006</v>
      </c>
      <c r="E2983" s="262">
        <v>43.972410000000004</v>
      </c>
      <c r="M2983" s="262">
        <v>9.9611991389999996</v>
      </c>
      <c r="N2983" s="262">
        <v>9.9611991389999996</v>
      </c>
    </row>
    <row r="2984" spans="1:14" x14ac:dyDescent="0.25">
      <c r="A2984" s="262">
        <v>55003</v>
      </c>
      <c r="B2984" s="262" t="s">
        <v>1922</v>
      </c>
      <c r="C2984" s="262" t="s">
        <v>1416</v>
      </c>
      <c r="D2984" s="262">
        <v>-90.675394999999995</v>
      </c>
      <c r="E2984" s="262">
        <v>46.267310000000002</v>
      </c>
      <c r="M2984" s="262">
        <v>8.6653031770000002</v>
      </c>
      <c r="N2984" s="262">
        <v>8.6653031770000002</v>
      </c>
    </row>
    <row r="2985" spans="1:14" x14ac:dyDescent="0.25">
      <c r="A2985" s="262">
        <v>55005</v>
      </c>
      <c r="B2985" s="262" t="s">
        <v>1922</v>
      </c>
      <c r="C2985" s="262" t="s">
        <v>1923</v>
      </c>
      <c r="D2985" s="262">
        <v>-91.851044400000006</v>
      </c>
      <c r="E2985" s="262">
        <v>45.432720000000003</v>
      </c>
      <c r="M2985" s="262">
        <v>8.9535795080000007</v>
      </c>
      <c r="N2985" s="262">
        <v>8.9535795080000007</v>
      </c>
    </row>
    <row r="2986" spans="1:14" x14ac:dyDescent="0.25">
      <c r="A2986" s="262">
        <v>55007</v>
      </c>
      <c r="B2986" s="262" t="s">
        <v>1922</v>
      </c>
      <c r="C2986" s="262" t="s">
        <v>1924</v>
      </c>
      <c r="D2986" s="262">
        <v>-91.191352499999994</v>
      </c>
      <c r="E2986" s="262">
        <v>46.511339999999997</v>
      </c>
      <c r="M2986" s="262">
        <v>8.4492150059999993</v>
      </c>
      <c r="N2986" s="262">
        <v>8.4492150059999993</v>
      </c>
    </row>
    <row r="2987" spans="1:14" x14ac:dyDescent="0.25">
      <c r="A2987" s="262">
        <v>55009</v>
      </c>
      <c r="B2987" s="262" t="s">
        <v>1922</v>
      </c>
      <c r="C2987" s="262" t="s">
        <v>578</v>
      </c>
      <c r="D2987" s="262">
        <v>-88.000097699999998</v>
      </c>
      <c r="E2987" s="262">
        <v>44.449910000000003</v>
      </c>
      <c r="M2987" s="262">
        <v>9.7478598499999993</v>
      </c>
      <c r="N2987" s="262">
        <v>9.7478598499999993</v>
      </c>
    </row>
    <row r="2988" spans="1:14" x14ac:dyDescent="0.25">
      <c r="A2988" s="262">
        <v>55011</v>
      </c>
      <c r="B2988" s="262" t="s">
        <v>1922</v>
      </c>
      <c r="C2988" s="262" t="s">
        <v>1193</v>
      </c>
      <c r="D2988" s="262">
        <v>-91.754848899999999</v>
      </c>
      <c r="E2988" s="262">
        <v>44.389510000000001</v>
      </c>
      <c r="M2988" s="262">
        <v>9.5723644130000007</v>
      </c>
      <c r="N2988" s="262">
        <v>9.5723644130000007</v>
      </c>
    </row>
    <row r="2989" spans="1:14" x14ac:dyDescent="0.25">
      <c r="A2989" s="262">
        <v>55013</v>
      </c>
      <c r="B2989" s="262" t="s">
        <v>1922</v>
      </c>
      <c r="C2989" s="262" t="s">
        <v>1925</v>
      </c>
      <c r="D2989" s="262">
        <v>-92.382920600000006</v>
      </c>
      <c r="E2989" s="262">
        <v>45.85886</v>
      </c>
      <c r="M2989" s="262">
        <v>8.702792466</v>
      </c>
      <c r="N2989" s="262">
        <v>8.702792466</v>
      </c>
    </row>
    <row r="2990" spans="1:14" x14ac:dyDescent="0.25">
      <c r="A2990" s="262">
        <v>55015</v>
      </c>
      <c r="B2990" s="262" t="s">
        <v>1922</v>
      </c>
      <c r="C2990" s="262" t="s">
        <v>1926</v>
      </c>
      <c r="D2990" s="262">
        <v>-88.2162644</v>
      </c>
      <c r="E2990" s="262">
        <v>44.080629999999999</v>
      </c>
      <c r="M2990" s="262">
        <v>9.9331923969999991</v>
      </c>
      <c r="N2990" s="262">
        <v>9.9331923969999991</v>
      </c>
    </row>
    <row r="2991" spans="1:14" x14ac:dyDescent="0.25">
      <c r="A2991" s="262">
        <v>55017</v>
      </c>
      <c r="B2991" s="262" t="s">
        <v>1922</v>
      </c>
      <c r="C2991" s="262" t="s">
        <v>960</v>
      </c>
      <c r="D2991" s="262">
        <v>-91.277097900000001</v>
      </c>
      <c r="E2991" s="262">
        <v>45.075060000000001</v>
      </c>
      <c r="M2991" s="262">
        <v>9.1773521389999999</v>
      </c>
      <c r="N2991" s="262">
        <v>9.1773521389999999</v>
      </c>
    </row>
    <row r="2992" spans="1:14" x14ac:dyDescent="0.25">
      <c r="A2992" s="262">
        <v>55019</v>
      </c>
      <c r="B2992" s="262" t="s">
        <v>1922</v>
      </c>
      <c r="C2992" s="262" t="s">
        <v>205</v>
      </c>
      <c r="D2992" s="262">
        <v>-90.608039000000005</v>
      </c>
      <c r="E2992" s="262">
        <v>44.737459999999999</v>
      </c>
      <c r="M2992" s="262">
        <v>9.4345377290000005</v>
      </c>
      <c r="N2992" s="262">
        <v>9.4345377290000005</v>
      </c>
    </row>
    <row r="2993" spans="1:14" x14ac:dyDescent="0.25">
      <c r="A2993" s="262">
        <v>55021</v>
      </c>
      <c r="B2993" s="262" t="s">
        <v>1922</v>
      </c>
      <c r="C2993" s="262" t="s">
        <v>207</v>
      </c>
      <c r="D2993" s="262">
        <v>-89.332666799999998</v>
      </c>
      <c r="E2993" s="262">
        <v>43.467919999999999</v>
      </c>
      <c r="M2993" s="262">
        <v>10.252723899999999</v>
      </c>
      <c r="N2993" s="262">
        <v>10.252723899999999</v>
      </c>
    </row>
    <row r="2994" spans="1:14" x14ac:dyDescent="0.25">
      <c r="A2994" s="262">
        <v>55023</v>
      </c>
      <c r="B2994" s="262" t="s">
        <v>1922</v>
      </c>
      <c r="C2994" s="262" t="s">
        <v>210</v>
      </c>
      <c r="D2994" s="262">
        <v>-90.922066200000003</v>
      </c>
      <c r="E2994" s="262">
        <v>43.239870000000003</v>
      </c>
      <c r="M2994" s="262">
        <v>10.444721960000001</v>
      </c>
      <c r="N2994" s="262">
        <v>10.444721960000001</v>
      </c>
    </row>
    <row r="2995" spans="1:14" x14ac:dyDescent="0.25">
      <c r="A2995" s="262">
        <v>55025</v>
      </c>
      <c r="B2995" s="262" t="s">
        <v>1922</v>
      </c>
      <c r="C2995" s="262" t="s">
        <v>1927</v>
      </c>
      <c r="D2995" s="262">
        <v>-89.420503800000006</v>
      </c>
      <c r="E2995" s="262">
        <v>43.068159999999999</v>
      </c>
      <c r="M2995" s="262">
        <v>10.48907496</v>
      </c>
      <c r="N2995" s="262">
        <v>10.48907496</v>
      </c>
    </row>
    <row r="2996" spans="1:14" x14ac:dyDescent="0.25">
      <c r="A2996" s="262">
        <v>55027</v>
      </c>
      <c r="B2996" s="262" t="s">
        <v>1922</v>
      </c>
      <c r="C2996" s="262" t="s">
        <v>465</v>
      </c>
      <c r="D2996" s="262">
        <v>-88.707062699999994</v>
      </c>
      <c r="E2996" s="262">
        <v>43.419879999999999</v>
      </c>
      <c r="M2996" s="262">
        <v>10.282472139999999</v>
      </c>
      <c r="N2996" s="262">
        <v>10.282472139999999</v>
      </c>
    </row>
    <row r="2997" spans="1:14" x14ac:dyDescent="0.25">
      <c r="A2997" s="262">
        <v>55029</v>
      </c>
      <c r="B2997" s="262" t="s">
        <v>1922</v>
      </c>
      <c r="C2997" s="262" t="s">
        <v>1928</v>
      </c>
      <c r="D2997" s="262">
        <v>-87.344391799999997</v>
      </c>
      <c r="E2997" s="262">
        <v>44.910519999999998</v>
      </c>
      <c r="M2997" s="262">
        <v>9.4959417070000001</v>
      </c>
      <c r="N2997" s="262">
        <v>9.4959417070000001</v>
      </c>
    </row>
    <row r="2998" spans="1:14" x14ac:dyDescent="0.25">
      <c r="A2998" s="262">
        <v>55031</v>
      </c>
      <c r="B2998" s="262" t="s">
        <v>1922</v>
      </c>
      <c r="C2998" s="262" t="s">
        <v>330</v>
      </c>
      <c r="D2998" s="262">
        <v>-91.919770200000002</v>
      </c>
      <c r="E2998" s="262">
        <v>46.426310000000001</v>
      </c>
      <c r="M2998" s="262">
        <v>8.3044583830000001</v>
      </c>
      <c r="N2998" s="262">
        <v>8.3044583830000001</v>
      </c>
    </row>
    <row r="2999" spans="1:14" x14ac:dyDescent="0.25">
      <c r="A2999" s="262">
        <v>55033</v>
      </c>
      <c r="B2999" s="262" t="s">
        <v>1922</v>
      </c>
      <c r="C2999" s="262" t="s">
        <v>1393</v>
      </c>
      <c r="D2999" s="262">
        <v>-91.901977200000005</v>
      </c>
      <c r="E2999" s="262">
        <v>44.952500000000001</v>
      </c>
      <c r="M2999" s="262">
        <v>9.2620746829999998</v>
      </c>
      <c r="N2999" s="262">
        <v>9.2620746829999998</v>
      </c>
    </row>
    <row r="3000" spans="1:14" x14ac:dyDescent="0.25">
      <c r="A3000" s="262">
        <v>55035</v>
      </c>
      <c r="B3000" s="262" t="s">
        <v>1922</v>
      </c>
      <c r="C3000" s="262" t="s">
        <v>1929</v>
      </c>
      <c r="D3000" s="262">
        <v>-91.284588499999998</v>
      </c>
      <c r="E3000" s="262">
        <v>44.727910000000001</v>
      </c>
      <c r="M3000" s="262">
        <v>9.3749298949999993</v>
      </c>
      <c r="N3000" s="262">
        <v>9.3749298949999993</v>
      </c>
    </row>
    <row r="3001" spans="1:14" x14ac:dyDescent="0.25">
      <c r="A3001" s="262">
        <v>55037</v>
      </c>
      <c r="B3001" s="262" t="s">
        <v>1922</v>
      </c>
      <c r="C3001" s="262" t="s">
        <v>1562</v>
      </c>
      <c r="D3001" s="262">
        <v>-88.406662400000002</v>
      </c>
      <c r="E3001" s="262">
        <v>45.848170000000003</v>
      </c>
      <c r="M3001" s="262">
        <v>9.1770343919999995</v>
      </c>
      <c r="N3001" s="262">
        <v>9.1770343919999995</v>
      </c>
    </row>
    <row r="3002" spans="1:14" x14ac:dyDescent="0.25">
      <c r="A3002" s="262">
        <v>55039</v>
      </c>
      <c r="B3002" s="262" t="s">
        <v>1922</v>
      </c>
      <c r="C3002" s="262" t="s">
        <v>1930</v>
      </c>
      <c r="D3002" s="262">
        <v>-88.493086099999999</v>
      </c>
      <c r="E3002" s="262">
        <v>43.754359999999998</v>
      </c>
      <c r="M3002" s="262">
        <v>10.10401882</v>
      </c>
      <c r="N3002" s="262">
        <v>10.10401882</v>
      </c>
    </row>
    <row r="3003" spans="1:14" x14ac:dyDescent="0.25">
      <c r="A3003" s="262">
        <v>55041</v>
      </c>
      <c r="B3003" s="262" t="s">
        <v>1922</v>
      </c>
      <c r="C3003" s="262" t="s">
        <v>1525</v>
      </c>
      <c r="D3003" s="262">
        <v>-88.770321199999998</v>
      </c>
      <c r="E3003" s="262">
        <v>45.663960000000003</v>
      </c>
      <c r="M3003" s="262">
        <v>9.2114301639999994</v>
      </c>
      <c r="N3003" s="262">
        <v>9.2114301639999994</v>
      </c>
    </row>
    <row r="3004" spans="1:14" x14ac:dyDescent="0.25">
      <c r="A3004" s="262">
        <v>55043</v>
      </c>
      <c r="B3004" s="262" t="s">
        <v>1922</v>
      </c>
      <c r="C3004" s="262" t="s">
        <v>218</v>
      </c>
      <c r="D3004" s="262">
        <v>-90.698277399999995</v>
      </c>
      <c r="E3004" s="262">
        <v>42.86965</v>
      </c>
      <c r="M3004" s="262">
        <v>10.683313480000001</v>
      </c>
      <c r="N3004" s="262">
        <v>10.683313480000001</v>
      </c>
    </row>
    <row r="3005" spans="1:14" x14ac:dyDescent="0.25">
      <c r="A3005" s="262">
        <v>55045</v>
      </c>
      <c r="B3005" s="262" t="s">
        <v>1922</v>
      </c>
      <c r="C3005" s="262" t="s">
        <v>810</v>
      </c>
      <c r="D3005" s="262">
        <v>-89.608333999999999</v>
      </c>
      <c r="E3005" s="262">
        <v>42.680610000000001</v>
      </c>
      <c r="M3005" s="262">
        <v>10.73296749</v>
      </c>
      <c r="N3005" s="262">
        <v>10.73296749</v>
      </c>
    </row>
    <row r="3006" spans="1:14" x14ac:dyDescent="0.25">
      <c r="A3006" s="262">
        <v>55047</v>
      </c>
      <c r="B3006" s="262" t="s">
        <v>1922</v>
      </c>
      <c r="C3006" s="262" t="s">
        <v>1931</v>
      </c>
      <c r="D3006" s="262">
        <v>-89.042942999999994</v>
      </c>
      <c r="E3006" s="262">
        <v>43.800640000000001</v>
      </c>
      <c r="M3006" s="262">
        <v>10.07251799</v>
      </c>
      <c r="N3006" s="262">
        <v>10.07251799</v>
      </c>
    </row>
    <row r="3007" spans="1:14" x14ac:dyDescent="0.25">
      <c r="A3007" s="262">
        <v>55049</v>
      </c>
      <c r="B3007" s="262" t="s">
        <v>1922</v>
      </c>
      <c r="C3007" s="262" t="s">
        <v>691</v>
      </c>
      <c r="D3007" s="262">
        <v>-90.133562400000002</v>
      </c>
      <c r="E3007" s="262">
        <v>43.001660000000001</v>
      </c>
      <c r="M3007" s="262">
        <v>10.57343841</v>
      </c>
      <c r="N3007" s="262">
        <v>10.57343841</v>
      </c>
    </row>
    <row r="3008" spans="1:14" x14ac:dyDescent="0.25">
      <c r="A3008" s="262">
        <v>55051</v>
      </c>
      <c r="B3008" s="262" t="s">
        <v>1922</v>
      </c>
      <c r="C3008" s="262" t="s">
        <v>974</v>
      </c>
      <c r="D3008" s="262">
        <v>-90.243150700000001</v>
      </c>
      <c r="E3008" s="262">
        <v>46.261139999999997</v>
      </c>
      <c r="M3008" s="262">
        <v>8.7691476640000001</v>
      </c>
      <c r="N3008" s="262">
        <v>8.7691476640000001</v>
      </c>
    </row>
    <row r="3009" spans="1:14" x14ac:dyDescent="0.25">
      <c r="A3009" s="262">
        <v>55053</v>
      </c>
      <c r="B3009" s="262" t="s">
        <v>1922</v>
      </c>
      <c r="C3009" s="262" t="s">
        <v>148</v>
      </c>
      <c r="D3009" s="262">
        <v>-90.804660699999999</v>
      </c>
      <c r="E3009" s="262">
        <v>44.319749999999999</v>
      </c>
      <c r="M3009" s="262">
        <v>9.6851381910000001</v>
      </c>
      <c r="N3009" s="262">
        <v>9.6851381910000001</v>
      </c>
    </row>
    <row r="3010" spans="1:14" x14ac:dyDescent="0.25">
      <c r="A3010" s="262">
        <v>55055</v>
      </c>
      <c r="B3010" s="262" t="s">
        <v>1922</v>
      </c>
      <c r="C3010" s="262" t="s">
        <v>149</v>
      </c>
      <c r="D3010" s="262">
        <v>-88.772649000000001</v>
      </c>
      <c r="E3010" s="262">
        <v>43.023029999999999</v>
      </c>
      <c r="M3010" s="262">
        <v>10.50229867</v>
      </c>
      <c r="N3010" s="262">
        <v>10.50229867</v>
      </c>
    </row>
    <row r="3011" spans="1:14" x14ac:dyDescent="0.25">
      <c r="A3011" s="262">
        <v>55057</v>
      </c>
      <c r="B3011" s="262" t="s">
        <v>1922</v>
      </c>
      <c r="C3011" s="262" t="s">
        <v>1932</v>
      </c>
      <c r="D3011" s="262">
        <v>-90.105434000000002</v>
      </c>
      <c r="E3011" s="262">
        <v>43.923319999999997</v>
      </c>
      <c r="M3011" s="262">
        <v>9.9900803170000003</v>
      </c>
      <c r="N3011" s="262">
        <v>9.9900803170000003</v>
      </c>
    </row>
    <row r="3012" spans="1:14" x14ac:dyDescent="0.25">
      <c r="A3012" s="262">
        <v>55059</v>
      </c>
      <c r="B3012" s="262" t="s">
        <v>1922</v>
      </c>
      <c r="C3012" s="262" t="s">
        <v>1933</v>
      </c>
      <c r="D3012" s="262">
        <v>-88.041440899999998</v>
      </c>
      <c r="E3012" s="262">
        <v>42.584000000000003</v>
      </c>
      <c r="M3012" s="262">
        <v>10.75309431</v>
      </c>
      <c r="N3012" s="262">
        <v>10.75309431</v>
      </c>
    </row>
    <row r="3013" spans="1:14" x14ac:dyDescent="0.25">
      <c r="A3013" s="262">
        <v>55061</v>
      </c>
      <c r="B3013" s="262" t="s">
        <v>1922</v>
      </c>
      <c r="C3013" s="262" t="s">
        <v>1934</v>
      </c>
      <c r="D3013" s="262">
        <v>-87.615382600000004</v>
      </c>
      <c r="E3013" s="262">
        <v>44.505710000000001</v>
      </c>
      <c r="M3013" s="262">
        <v>9.7006018659999995</v>
      </c>
      <c r="N3013" s="262">
        <v>9.7006018659999995</v>
      </c>
    </row>
    <row r="3014" spans="1:14" x14ac:dyDescent="0.25">
      <c r="A3014" s="262">
        <v>55063</v>
      </c>
      <c r="B3014" s="262" t="s">
        <v>1922</v>
      </c>
      <c r="C3014" s="262" t="s">
        <v>1935</v>
      </c>
      <c r="D3014" s="262">
        <v>-91.115193099999999</v>
      </c>
      <c r="E3014" s="262">
        <v>43.9116</v>
      </c>
      <c r="M3014" s="262">
        <v>9.9516187209999991</v>
      </c>
      <c r="N3014" s="262">
        <v>9.9516187209999991</v>
      </c>
    </row>
    <row r="3015" spans="1:14" x14ac:dyDescent="0.25">
      <c r="A3015" s="262">
        <v>55065</v>
      </c>
      <c r="B3015" s="262" t="s">
        <v>1922</v>
      </c>
      <c r="C3015" s="262" t="s">
        <v>225</v>
      </c>
      <c r="D3015" s="262">
        <v>-90.131318800000003</v>
      </c>
      <c r="E3015" s="262">
        <v>42.658650000000002</v>
      </c>
      <c r="M3015" s="262">
        <v>10.789624359999999</v>
      </c>
      <c r="N3015" s="262">
        <v>10.789624359999999</v>
      </c>
    </row>
    <row r="3016" spans="1:14" x14ac:dyDescent="0.25">
      <c r="A3016" s="262">
        <v>55067</v>
      </c>
      <c r="B3016" s="262" t="s">
        <v>1922</v>
      </c>
      <c r="C3016" s="262" t="s">
        <v>1936</v>
      </c>
      <c r="D3016" s="262">
        <v>-89.069039200000006</v>
      </c>
      <c r="E3016" s="262">
        <v>45.263399999999997</v>
      </c>
      <c r="M3016" s="262">
        <v>9.3523262569999996</v>
      </c>
      <c r="N3016" s="262">
        <v>9.3523262569999996</v>
      </c>
    </row>
    <row r="3017" spans="1:14" x14ac:dyDescent="0.25">
      <c r="A3017" s="262">
        <v>55069</v>
      </c>
      <c r="B3017" s="262" t="s">
        <v>1922</v>
      </c>
      <c r="C3017" s="262" t="s">
        <v>226</v>
      </c>
      <c r="D3017" s="262">
        <v>-89.729050400000006</v>
      </c>
      <c r="E3017" s="262">
        <v>45.342410000000001</v>
      </c>
      <c r="M3017" s="262">
        <v>9.2377804280000007</v>
      </c>
      <c r="N3017" s="262">
        <v>9.2377804280000007</v>
      </c>
    </row>
    <row r="3018" spans="1:14" x14ac:dyDescent="0.25">
      <c r="A3018" s="262">
        <v>55071</v>
      </c>
      <c r="B3018" s="262" t="s">
        <v>1922</v>
      </c>
      <c r="C3018" s="262" t="s">
        <v>1937</v>
      </c>
      <c r="D3018" s="262">
        <v>-87.810298599999996</v>
      </c>
      <c r="E3018" s="262">
        <v>44.114179999999998</v>
      </c>
      <c r="M3018" s="262">
        <v>9.9006933799999999</v>
      </c>
      <c r="N3018" s="262">
        <v>9.9006933799999999</v>
      </c>
    </row>
    <row r="3019" spans="1:14" x14ac:dyDescent="0.25">
      <c r="A3019" s="262">
        <v>55073</v>
      </c>
      <c r="B3019" s="262" t="s">
        <v>1922</v>
      </c>
      <c r="C3019" s="262" t="s">
        <v>1938</v>
      </c>
      <c r="D3019" s="262">
        <v>-89.753656399999997</v>
      </c>
      <c r="E3019" s="262">
        <v>44.899729999999998</v>
      </c>
      <c r="M3019" s="262">
        <v>9.4466346639999994</v>
      </c>
      <c r="N3019" s="262">
        <v>9.4466346639999994</v>
      </c>
    </row>
    <row r="3020" spans="1:14" x14ac:dyDescent="0.25">
      <c r="A3020" s="262">
        <v>55075</v>
      </c>
      <c r="B3020" s="262" t="s">
        <v>1922</v>
      </c>
      <c r="C3020" s="262" t="s">
        <v>1939</v>
      </c>
      <c r="D3020" s="262">
        <v>-88.039904800000002</v>
      </c>
      <c r="E3020" s="262">
        <v>45.380200000000002</v>
      </c>
      <c r="M3020" s="262">
        <v>9.3442116570000007</v>
      </c>
      <c r="N3020" s="262">
        <v>9.3442116570000007</v>
      </c>
    </row>
    <row r="3021" spans="1:14" x14ac:dyDescent="0.25">
      <c r="A3021" s="262">
        <v>55077</v>
      </c>
      <c r="B3021" s="262" t="s">
        <v>1922</v>
      </c>
      <c r="C3021" s="262" t="s">
        <v>986</v>
      </c>
      <c r="D3021" s="262">
        <v>-89.393152400000005</v>
      </c>
      <c r="E3021" s="262">
        <v>43.820039999999999</v>
      </c>
      <c r="M3021" s="262">
        <v>10.05661933</v>
      </c>
      <c r="N3021" s="262">
        <v>10.05661933</v>
      </c>
    </row>
    <row r="3022" spans="1:14" x14ac:dyDescent="0.25">
      <c r="A3022" s="262">
        <v>55078</v>
      </c>
      <c r="B3022" s="262" t="s">
        <v>1922</v>
      </c>
      <c r="C3022" s="262" t="s">
        <v>988</v>
      </c>
      <c r="D3022" s="262">
        <v>-88.706517300000002</v>
      </c>
      <c r="E3022" s="262">
        <v>45.005809999999997</v>
      </c>
      <c r="M3022" s="262">
        <v>9.4890102370000005</v>
      </c>
      <c r="N3022" s="262">
        <v>9.4890102370000005</v>
      </c>
    </row>
    <row r="3023" spans="1:14" x14ac:dyDescent="0.25">
      <c r="A3023" s="262">
        <v>55079</v>
      </c>
      <c r="B3023" s="262" t="s">
        <v>1922</v>
      </c>
      <c r="C3023" s="262" t="s">
        <v>1940</v>
      </c>
      <c r="D3023" s="262">
        <v>-87.964163400000004</v>
      </c>
      <c r="E3023" s="262">
        <v>43.007739999999998</v>
      </c>
      <c r="M3023" s="262">
        <v>10.504055320000001</v>
      </c>
      <c r="N3023" s="262">
        <v>10.504055320000001</v>
      </c>
    </row>
    <row r="3024" spans="1:14" x14ac:dyDescent="0.25">
      <c r="A3024" s="262">
        <v>55081</v>
      </c>
      <c r="B3024" s="262" t="s">
        <v>1922</v>
      </c>
      <c r="C3024" s="262" t="s">
        <v>162</v>
      </c>
      <c r="D3024" s="262">
        <v>-90.614183499999996</v>
      </c>
      <c r="E3024" s="262">
        <v>43.94594</v>
      </c>
      <c r="M3024" s="262">
        <v>9.9619858909999994</v>
      </c>
      <c r="N3024" s="262">
        <v>9.9619858909999994</v>
      </c>
    </row>
    <row r="3025" spans="1:14" x14ac:dyDescent="0.25">
      <c r="A3025" s="262">
        <v>55083</v>
      </c>
      <c r="B3025" s="262" t="s">
        <v>1922</v>
      </c>
      <c r="C3025" s="262" t="s">
        <v>1941</v>
      </c>
      <c r="D3025" s="262">
        <v>-88.261568100000005</v>
      </c>
      <c r="E3025" s="262">
        <v>45.02017</v>
      </c>
      <c r="M3025" s="262">
        <v>9.4947094480000001</v>
      </c>
      <c r="N3025" s="262">
        <v>9.4947094480000001</v>
      </c>
    </row>
    <row r="3026" spans="1:14" x14ac:dyDescent="0.25">
      <c r="A3026" s="262">
        <v>55085</v>
      </c>
      <c r="B3026" s="262" t="s">
        <v>1922</v>
      </c>
      <c r="C3026" s="262" t="s">
        <v>567</v>
      </c>
      <c r="D3026" s="262">
        <v>-89.520262000000002</v>
      </c>
      <c r="E3026" s="262">
        <v>45.70288</v>
      </c>
      <c r="M3026" s="262">
        <v>9.1143676429999996</v>
      </c>
      <c r="N3026" s="262">
        <v>9.1143676429999996</v>
      </c>
    </row>
    <row r="3027" spans="1:14" x14ac:dyDescent="0.25">
      <c r="A3027" s="262">
        <v>55087</v>
      </c>
      <c r="B3027" s="262" t="s">
        <v>1922</v>
      </c>
      <c r="C3027" s="262" t="s">
        <v>1942</v>
      </c>
      <c r="D3027" s="262">
        <v>-88.463587899999993</v>
      </c>
      <c r="E3027" s="262">
        <v>44.416649999999997</v>
      </c>
      <c r="M3027" s="262">
        <v>9.7767784839999994</v>
      </c>
      <c r="N3027" s="262">
        <v>9.7767784839999994</v>
      </c>
    </row>
    <row r="3028" spans="1:14" x14ac:dyDescent="0.25">
      <c r="A3028" s="262">
        <v>55089</v>
      </c>
      <c r="B3028" s="262" t="s">
        <v>1922</v>
      </c>
      <c r="C3028" s="262" t="s">
        <v>1943</v>
      </c>
      <c r="D3028" s="262">
        <v>-87.9448376</v>
      </c>
      <c r="E3028" s="262">
        <v>43.384770000000003</v>
      </c>
      <c r="M3028" s="262">
        <v>10.28342964</v>
      </c>
      <c r="N3028" s="262">
        <v>10.28342964</v>
      </c>
    </row>
    <row r="3029" spans="1:14" x14ac:dyDescent="0.25">
      <c r="A3029" s="262">
        <v>55091</v>
      </c>
      <c r="B3029" s="262" t="s">
        <v>1922</v>
      </c>
      <c r="C3029" s="262" t="s">
        <v>1944</v>
      </c>
      <c r="D3029" s="262">
        <v>-92.000624200000004</v>
      </c>
      <c r="E3029" s="262">
        <v>44.59216</v>
      </c>
      <c r="M3029" s="262">
        <v>9.4786651150000001</v>
      </c>
      <c r="N3029" s="262">
        <v>9.4786651150000001</v>
      </c>
    </row>
    <row r="3030" spans="1:14" x14ac:dyDescent="0.25">
      <c r="A3030" s="262">
        <v>55093</v>
      </c>
      <c r="B3030" s="262" t="s">
        <v>1922</v>
      </c>
      <c r="C3030" s="262" t="s">
        <v>508</v>
      </c>
      <c r="D3030" s="262">
        <v>-92.429129000000003</v>
      </c>
      <c r="E3030" s="262">
        <v>44.724699999999999</v>
      </c>
      <c r="M3030" s="262">
        <v>9.5195643519999997</v>
      </c>
      <c r="N3030" s="262">
        <v>9.5195643519999997</v>
      </c>
    </row>
    <row r="3031" spans="1:14" x14ac:dyDescent="0.25">
      <c r="A3031" s="262">
        <v>55095</v>
      </c>
      <c r="B3031" s="262" t="s">
        <v>1922</v>
      </c>
      <c r="C3031" s="262" t="s">
        <v>237</v>
      </c>
      <c r="D3031" s="262">
        <v>-92.456688400000004</v>
      </c>
      <c r="E3031" s="262">
        <v>45.46011</v>
      </c>
      <c r="M3031" s="262">
        <v>9.0238246009999994</v>
      </c>
      <c r="N3031" s="262">
        <v>9.0238246009999994</v>
      </c>
    </row>
    <row r="3032" spans="1:14" x14ac:dyDescent="0.25">
      <c r="A3032" s="262">
        <v>55097</v>
      </c>
      <c r="B3032" s="262" t="s">
        <v>1922</v>
      </c>
      <c r="C3032" s="262" t="s">
        <v>1440</v>
      </c>
      <c r="D3032" s="262">
        <v>-89.491738999999995</v>
      </c>
      <c r="E3032" s="262">
        <v>44.4741</v>
      </c>
      <c r="M3032" s="262">
        <v>9.7030027079999996</v>
      </c>
      <c r="N3032" s="262">
        <v>9.7030027079999996</v>
      </c>
    </row>
    <row r="3033" spans="1:14" x14ac:dyDescent="0.25">
      <c r="A3033" s="262">
        <v>55099</v>
      </c>
      <c r="B3033" s="262" t="s">
        <v>1922</v>
      </c>
      <c r="C3033" s="262" t="s">
        <v>1945</v>
      </c>
      <c r="D3033" s="262">
        <v>-90.355260700000002</v>
      </c>
      <c r="E3033" s="262">
        <v>45.685130000000001</v>
      </c>
      <c r="M3033" s="262">
        <v>8.9764264130000004</v>
      </c>
      <c r="N3033" s="262">
        <v>8.9764264130000004</v>
      </c>
    </row>
    <row r="3034" spans="1:14" x14ac:dyDescent="0.25">
      <c r="A3034" s="262">
        <v>55101</v>
      </c>
      <c r="B3034" s="262" t="s">
        <v>1922</v>
      </c>
      <c r="C3034" s="262" t="s">
        <v>1946</v>
      </c>
      <c r="D3034" s="262">
        <v>-88.056428499999996</v>
      </c>
      <c r="E3034" s="262">
        <v>42.748890000000003</v>
      </c>
      <c r="M3034" s="262">
        <v>10.65561108</v>
      </c>
      <c r="N3034" s="262">
        <v>10.65561108</v>
      </c>
    </row>
    <row r="3035" spans="1:14" x14ac:dyDescent="0.25">
      <c r="A3035" s="262">
        <v>55103</v>
      </c>
      <c r="B3035" s="262" t="s">
        <v>1922</v>
      </c>
      <c r="C3035" s="262" t="s">
        <v>616</v>
      </c>
      <c r="D3035" s="262">
        <v>-90.426805700000003</v>
      </c>
      <c r="E3035" s="262">
        <v>43.381860000000003</v>
      </c>
      <c r="M3035" s="262">
        <v>10.348809749999999</v>
      </c>
      <c r="N3035" s="262">
        <v>10.348809749999999</v>
      </c>
    </row>
    <row r="3036" spans="1:14" x14ac:dyDescent="0.25">
      <c r="A3036" s="262">
        <v>55105</v>
      </c>
      <c r="B3036" s="262" t="s">
        <v>1922</v>
      </c>
      <c r="C3036" s="262" t="s">
        <v>1056</v>
      </c>
      <c r="D3036" s="262">
        <v>-89.0766603</v>
      </c>
      <c r="E3036" s="262">
        <v>42.671619999999997</v>
      </c>
      <c r="M3036" s="262">
        <v>10.70543355</v>
      </c>
      <c r="N3036" s="262">
        <v>10.70543355</v>
      </c>
    </row>
    <row r="3037" spans="1:14" x14ac:dyDescent="0.25">
      <c r="A3037" s="262">
        <v>55107</v>
      </c>
      <c r="B3037" s="262" t="s">
        <v>1922</v>
      </c>
      <c r="C3037" s="262" t="s">
        <v>1765</v>
      </c>
      <c r="D3037" s="262">
        <v>-91.126525400000006</v>
      </c>
      <c r="E3037" s="262">
        <v>45.482559999999999</v>
      </c>
      <c r="M3037" s="262">
        <v>8.9569554969999992</v>
      </c>
      <c r="N3037" s="262">
        <v>8.9569554969999992</v>
      </c>
    </row>
    <row r="3038" spans="1:14" x14ac:dyDescent="0.25">
      <c r="A3038" s="262">
        <v>55109</v>
      </c>
      <c r="B3038" s="262" t="s">
        <v>1922</v>
      </c>
      <c r="C3038" s="262" t="s">
        <v>1947</v>
      </c>
      <c r="D3038" s="262">
        <v>-92.4653572</v>
      </c>
      <c r="E3038" s="262">
        <v>45.041620000000002</v>
      </c>
      <c r="M3038" s="262">
        <v>9.3334306550000008</v>
      </c>
      <c r="N3038" s="262">
        <v>9.3334306550000008</v>
      </c>
    </row>
    <row r="3039" spans="1:14" x14ac:dyDescent="0.25">
      <c r="A3039" s="262">
        <v>55111</v>
      </c>
      <c r="B3039" s="262" t="s">
        <v>1922</v>
      </c>
      <c r="C3039" s="262" t="s">
        <v>1948</v>
      </c>
      <c r="D3039" s="262">
        <v>-89.945737800000003</v>
      </c>
      <c r="E3039" s="262">
        <v>43.427669999999999</v>
      </c>
      <c r="M3039" s="262">
        <v>10.29890651</v>
      </c>
      <c r="N3039" s="262">
        <v>10.29890651</v>
      </c>
    </row>
    <row r="3040" spans="1:14" x14ac:dyDescent="0.25">
      <c r="A3040" s="262">
        <v>55113</v>
      </c>
      <c r="B3040" s="262" t="s">
        <v>1922</v>
      </c>
      <c r="C3040" s="262" t="s">
        <v>1949</v>
      </c>
      <c r="D3040" s="262">
        <v>-91.138081700000001</v>
      </c>
      <c r="E3040" s="262">
        <v>45.88505</v>
      </c>
      <c r="M3040" s="262">
        <v>8.7381892610000005</v>
      </c>
      <c r="N3040" s="262">
        <v>8.7381892610000005</v>
      </c>
    </row>
    <row r="3041" spans="1:14" x14ac:dyDescent="0.25">
      <c r="A3041" s="262">
        <v>55115</v>
      </c>
      <c r="B3041" s="262" t="s">
        <v>1922</v>
      </c>
      <c r="C3041" s="262" t="s">
        <v>1950</v>
      </c>
      <c r="D3041" s="262">
        <v>-88.762234300000003</v>
      </c>
      <c r="E3041" s="262">
        <v>44.788170000000001</v>
      </c>
      <c r="M3041" s="262">
        <v>9.5864651149999993</v>
      </c>
      <c r="N3041" s="262">
        <v>9.5864651149999993</v>
      </c>
    </row>
    <row r="3042" spans="1:14" x14ac:dyDescent="0.25">
      <c r="A3042" s="262">
        <v>55117</v>
      </c>
      <c r="B3042" s="262" t="s">
        <v>1922</v>
      </c>
      <c r="C3042" s="262" t="s">
        <v>1951</v>
      </c>
      <c r="D3042" s="262">
        <v>-87.940396000000007</v>
      </c>
      <c r="E3042" s="262">
        <v>43.719679999999997</v>
      </c>
      <c r="M3042" s="262">
        <v>10.105160010000001</v>
      </c>
      <c r="N3042" s="262">
        <v>10.105160010000001</v>
      </c>
    </row>
    <row r="3043" spans="1:14" x14ac:dyDescent="0.25">
      <c r="A3043" s="262">
        <v>55119</v>
      </c>
      <c r="B3043" s="262" t="s">
        <v>1922</v>
      </c>
      <c r="C3043" s="262" t="s">
        <v>428</v>
      </c>
      <c r="D3043" s="262">
        <v>-90.492780699999997</v>
      </c>
      <c r="E3043" s="262">
        <v>45.215240000000001</v>
      </c>
      <c r="M3043" s="262">
        <v>9.1835668399999992</v>
      </c>
      <c r="N3043" s="262">
        <v>9.1835668399999992</v>
      </c>
    </row>
    <row r="3044" spans="1:14" x14ac:dyDescent="0.25">
      <c r="A3044" s="262">
        <v>55121</v>
      </c>
      <c r="B3044" s="262" t="s">
        <v>1922</v>
      </c>
      <c r="C3044" s="262" t="s">
        <v>1952</v>
      </c>
      <c r="D3044" s="262">
        <v>-91.360230400000006</v>
      </c>
      <c r="E3044" s="262">
        <v>44.308860000000003</v>
      </c>
      <c r="M3044" s="262">
        <v>9.638834331</v>
      </c>
      <c r="N3044" s="262">
        <v>9.638834331</v>
      </c>
    </row>
    <row r="3045" spans="1:14" x14ac:dyDescent="0.25">
      <c r="A3045" s="262">
        <v>55123</v>
      </c>
      <c r="B3045" s="262" t="s">
        <v>1922</v>
      </c>
      <c r="C3045" s="262" t="s">
        <v>1149</v>
      </c>
      <c r="D3045" s="262">
        <v>-90.835040800000002</v>
      </c>
      <c r="E3045" s="262">
        <v>43.595199999999998</v>
      </c>
      <c r="M3045" s="262">
        <v>10.20275389</v>
      </c>
      <c r="N3045" s="262">
        <v>10.20275389</v>
      </c>
    </row>
    <row r="3046" spans="1:14" x14ac:dyDescent="0.25">
      <c r="A3046" s="262">
        <v>55125</v>
      </c>
      <c r="B3046" s="262" t="s">
        <v>1922</v>
      </c>
      <c r="C3046" s="262" t="s">
        <v>1953</v>
      </c>
      <c r="D3046" s="262">
        <v>-89.505603899999997</v>
      </c>
      <c r="E3046" s="262">
        <v>46.043939999999999</v>
      </c>
      <c r="M3046" s="262">
        <v>8.9860975070000002</v>
      </c>
      <c r="N3046" s="262">
        <v>8.9860975070000002</v>
      </c>
    </row>
    <row r="3047" spans="1:14" x14ac:dyDescent="0.25">
      <c r="A3047" s="262">
        <v>55127</v>
      </c>
      <c r="B3047" s="262" t="s">
        <v>1922</v>
      </c>
      <c r="C3047" s="262" t="s">
        <v>1611</v>
      </c>
      <c r="D3047" s="262">
        <v>-88.542481600000002</v>
      </c>
      <c r="E3047" s="262">
        <v>42.670610000000003</v>
      </c>
      <c r="M3047" s="262">
        <v>10.69959957</v>
      </c>
      <c r="N3047" s="262">
        <v>10.69959957</v>
      </c>
    </row>
    <row r="3048" spans="1:14" x14ac:dyDescent="0.25">
      <c r="A3048" s="262">
        <v>55129</v>
      </c>
      <c r="B3048" s="262" t="s">
        <v>1922</v>
      </c>
      <c r="C3048" s="262" t="s">
        <v>1954</v>
      </c>
      <c r="D3048" s="262">
        <v>-91.794165500000005</v>
      </c>
      <c r="E3048" s="262">
        <v>45.902349999999998</v>
      </c>
      <c r="M3048" s="262">
        <v>8.6361242090000001</v>
      </c>
      <c r="N3048" s="262">
        <v>8.6361242090000001</v>
      </c>
    </row>
    <row r="3049" spans="1:14" x14ac:dyDescent="0.25">
      <c r="A3049" s="262">
        <v>55131</v>
      </c>
      <c r="B3049" s="262" t="s">
        <v>1922</v>
      </c>
      <c r="C3049" s="262" t="s">
        <v>177</v>
      </c>
      <c r="D3049" s="262">
        <v>-88.228027999999995</v>
      </c>
      <c r="E3049" s="262">
        <v>43.372399999999999</v>
      </c>
      <c r="M3049" s="262">
        <v>10.30487216</v>
      </c>
      <c r="N3049" s="262">
        <v>10.30487216</v>
      </c>
    </row>
    <row r="3050" spans="1:14" x14ac:dyDescent="0.25">
      <c r="A3050" s="262">
        <v>55133</v>
      </c>
      <c r="B3050" s="262" t="s">
        <v>1922</v>
      </c>
      <c r="C3050" s="262" t="s">
        <v>1955</v>
      </c>
      <c r="D3050" s="262">
        <v>-88.300652999999997</v>
      </c>
      <c r="E3050" s="262">
        <v>43.019100000000002</v>
      </c>
      <c r="M3050" s="262">
        <v>10.49935623</v>
      </c>
      <c r="N3050" s="262">
        <v>10.49935623</v>
      </c>
    </row>
    <row r="3051" spans="1:14" x14ac:dyDescent="0.25">
      <c r="A3051" s="262">
        <v>55135</v>
      </c>
      <c r="B3051" s="262" t="s">
        <v>1922</v>
      </c>
      <c r="C3051" s="262" t="s">
        <v>1956</v>
      </c>
      <c r="D3051" s="262">
        <v>-88.961964600000002</v>
      </c>
      <c r="E3051" s="262">
        <v>44.466369999999998</v>
      </c>
      <c r="M3051" s="262">
        <v>9.7483925090000003</v>
      </c>
      <c r="N3051" s="262">
        <v>9.7483925090000003</v>
      </c>
    </row>
    <row r="3052" spans="1:14" x14ac:dyDescent="0.25">
      <c r="A3052" s="262">
        <v>55137</v>
      </c>
      <c r="B3052" s="262" t="s">
        <v>1922</v>
      </c>
      <c r="C3052" s="262" t="s">
        <v>1957</v>
      </c>
      <c r="D3052" s="262">
        <v>-89.228754600000002</v>
      </c>
      <c r="E3052" s="262">
        <v>44.111739999999998</v>
      </c>
      <c r="M3052" s="262">
        <v>9.9102770689999993</v>
      </c>
      <c r="N3052" s="262">
        <v>9.9102770689999993</v>
      </c>
    </row>
    <row r="3053" spans="1:14" x14ac:dyDescent="0.25">
      <c r="A3053" s="262">
        <v>55139</v>
      </c>
      <c r="B3053" s="262" t="s">
        <v>1922</v>
      </c>
      <c r="C3053" s="262" t="s">
        <v>628</v>
      </c>
      <c r="D3053" s="262">
        <v>-88.637341899999996</v>
      </c>
      <c r="E3053" s="262">
        <v>44.070659999999997</v>
      </c>
      <c r="M3053" s="262">
        <v>9.9549521100000007</v>
      </c>
      <c r="N3053" s="262">
        <v>9.9549521100000007</v>
      </c>
    </row>
    <row r="3054" spans="1:14" x14ac:dyDescent="0.25">
      <c r="A3054" s="262">
        <v>55141</v>
      </c>
      <c r="B3054" s="262" t="s">
        <v>1922</v>
      </c>
      <c r="C3054" s="262" t="s">
        <v>1449</v>
      </c>
      <c r="D3054" s="262">
        <v>-90.033119799999994</v>
      </c>
      <c r="E3054" s="262">
        <v>44.456290000000003</v>
      </c>
      <c r="M3054" s="262">
        <v>9.6684436359999992</v>
      </c>
      <c r="N3054" s="262">
        <v>9.6684436359999992</v>
      </c>
    </row>
    <row r="3055" spans="1:14" x14ac:dyDescent="0.25">
      <c r="A3055" s="262">
        <v>56001</v>
      </c>
      <c r="B3055" s="262" t="s">
        <v>1958</v>
      </c>
      <c r="C3055" s="262" t="s">
        <v>1287</v>
      </c>
      <c r="D3055" s="262">
        <v>-105.722486</v>
      </c>
      <c r="E3055" s="262">
        <v>41.657499999999999</v>
      </c>
      <c r="M3055" s="262">
        <v>9.3909592120000003</v>
      </c>
      <c r="N3055" s="262">
        <v>9.3909592120000003</v>
      </c>
    </row>
    <row r="3056" spans="1:14" x14ac:dyDescent="0.25">
      <c r="A3056" s="262">
        <v>56003</v>
      </c>
      <c r="B3056" s="262" t="s">
        <v>1958</v>
      </c>
      <c r="C3056" s="262" t="s">
        <v>1153</v>
      </c>
      <c r="D3056" s="262">
        <v>-107.990095</v>
      </c>
      <c r="E3056" s="262">
        <v>44.527200000000001</v>
      </c>
      <c r="M3056" s="262">
        <v>9.0856608110000003</v>
      </c>
      <c r="N3056" s="262">
        <v>9.0856608110000003</v>
      </c>
    </row>
    <row r="3057" spans="1:14" x14ac:dyDescent="0.25">
      <c r="A3057" s="262">
        <v>56005</v>
      </c>
      <c r="B3057" s="262" t="s">
        <v>1958</v>
      </c>
      <c r="C3057" s="262" t="s">
        <v>799</v>
      </c>
      <c r="D3057" s="262">
        <v>-105.539236</v>
      </c>
      <c r="E3057" s="262">
        <v>44.249139999999997</v>
      </c>
      <c r="M3057" s="262">
        <v>9.8936217160000002</v>
      </c>
      <c r="N3057" s="262">
        <v>9.8936217160000002</v>
      </c>
    </row>
    <row r="3058" spans="1:14" x14ac:dyDescent="0.25">
      <c r="A3058" s="262">
        <v>56007</v>
      </c>
      <c r="B3058" s="262" t="s">
        <v>1958</v>
      </c>
      <c r="C3058" s="262" t="s">
        <v>1155</v>
      </c>
      <c r="D3058" s="262">
        <v>-106.92263199999999</v>
      </c>
      <c r="E3058" s="262">
        <v>41.704650000000001</v>
      </c>
      <c r="M3058" s="262">
        <v>8.7218570270000004</v>
      </c>
      <c r="N3058" s="262">
        <v>8.7218570270000004</v>
      </c>
    </row>
    <row r="3059" spans="1:14" x14ac:dyDescent="0.25">
      <c r="A3059" s="262">
        <v>56009</v>
      </c>
      <c r="B3059" s="262" t="s">
        <v>1958</v>
      </c>
      <c r="C3059" s="262" t="s">
        <v>1959</v>
      </c>
      <c r="D3059" s="262">
        <v>-105.50049300000001</v>
      </c>
      <c r="E3059" s="262">
        <v>42.96998</v>
      </c>
      <c r="M3059" s="262">
        <v>9.4267407179999996</v>
      </c>
      <c r="N3059" s="262">
        <v>9.4267407179999996</v>
      </c>
    </row>
    <row r="3060" spans="1:14" x14ac:dyDescent="0.25">
      <c r="A3060" s="262">
        <v>56011</v>
      </c>
      <c r="B3060" s="262" t="s">
        <v>1958</v>
      </c>
      <c r="C3060" s="262" t="s">
        <v>1497</v>
      </c>
      <c r="D3060" s="262">
        <v>-104.566681</v>
      </c>
      <c r="E3060" s="262">
        <v>44.593890000000002</v>
      </c>
      <c r="M3060" s="262">
        <v>10.08137024</v>
      </c>
      <c r="N3060" s="262">
        <v>10.08137024</v>
      </c>
    </row>
    <row r="3061" spans="1:14" x14ac:dyDescent="0.25">
      <c r="A3061" s="262">
        <v>56013</v>
      </c>
      <c r="B3061" s="262" t="s">
        <v>1958</v>
      </c>
      <c r="C3061" s="262" t="s">
        <v>334</v>
      </c>
      <c r="D3061" s="262">
        <v>-108.62473</v>
      </c>
      <c r="E3061" s="262">
        <v>43.037260000000003</v>
      </c>
      <c r="M3061" s="262">
        <v>8.4878465989999992</v>
      </c>
      <c r="N3061" s="262">
        <v>8.4878465989999992</v>
      </c>
    </row>
    <row r="3062" spans="1:14" x14ac:dyDescent="0.25">
      <c r="A3062" s="262">
        <v>56015</v>
      </c>
      <c r="B3062" s="262" t="s">
        <v>1958</v>
      </c>
      <c r="C3062" s="262" t="s">
        <v>1960</v>
      </c>
      <c r="D3062" s="262">
        <v>-104.35542</v>
      </c>
      <c r="E3062" s="262">
        <v>42.088639999999998</v>
      </c>
      <c r="M3062" s="262">
        <v>10.77889294</v>
      </c>
      <c r="N3062" s="262">
        <v>10.77889294</v>
      </c>
    </row>
    <row r="3063" spans="1:14" x14ac:dyDescent="0.25">
      <c r="A3063" s="262">
        <v>56017</v>
      </c>
      <c r="B3063" s="262" t="s">
        <v>1958</v>
      </c>
      <c r="C3063" s="262" t="s">
        <v>1961</v>
      </c>
      <c r="D3063" s="262">
        <v>-108.428162</v>
      </c>
      <c r="E3063" s="262">
        <v>43.715479999999999</v>
      </c>
      <c r="M3063" s="262">
        <v>8.6712897140000003</v>
      </c>
      <c r="N3063" s="262">
        <v>8.6712897140000003</v>
      </c>
    </row>
    <row r="3064" spans="1:14" x14ac:dyDescent="0.25">
      <c r="A3064" s="262">
        <v>56019</v>
      </c>
      <c r="B3064" s="262" t="s">
        <v>1958</v>
      </c>
      <c r="C3064" s="262" t="s">
        <v>224</v>
      </c>
      <c r="D3064" s="262">
        <v>-106.575418</v>
      </c>
      <c r="E3064" s="262">
        <v>44.036189999999998</v>
      </c>
      <c r="M3064" s="262">
        <v>9.6318408380000005</v>
      </c>
      <c r="N3064" s="262">
        <v>9.6318408380000005</v>
      </c>
    </row>
    <row r="3065" spans="1:14" x14ac:dyDescent="0.25">
      <c r="A3065" s="262">
        <v>56021</v>
      </c>
      <c r="B3065" s="262" t="s">
        <v>1958</v>
      </c>
      <c r="C3065" s="262" t="s">
        <v>1962</v>
      </c>
      <c r="D3065" s="262">
        <v>-104.693106</v>
      </c>
      <c r="E3065" s="262">
        <v>41.311239999999998</v>
      </c>
      <c r="M3065" s="262">
        <v>10.476184549999999</v>
      </c>
      <c r="N3065" s="262">
        <v>10.476184549999999</v>
      </c>
    </row>
    <row r="3066" spans="1:14" x14ac:dyDescent="0.25">
      <c r="A3066" s="262">
        <v>56023</v>
      </c>
      <c r="B3066" s="262" t="s">
        <v>1958</v>
      </c>
      <c r="C3066" s="262" t="s">
        <v>226</v>
      </c>
      <c r="D3066" s="262">
        <v>-110.65476700000001</v>
      </c>
      <c r="E3066" s="262">
        <v>42.252960000000002</v>
      </c>
      <c r="M3066" s="262">
        <v>8.7206828430000005</v>
      </c>
      <c r="N3066" s="262">
        <v>8.7206828430000005</v>
      </c>
    </row>
    <row r="3067" spans="1:14" x14ac:dyDescent="0.25">
      <c r="A3067" s="262">
        <v>56025</v>
      </c>
      <c r="B3067" s="262" t="s">
        <v>1958</v>
      </c>
      <c r="C3067" s="262" t="s">
        <v>1963</v>
      </c>
      <c r="D3067" s="262">
        <v>-106.78657</v>
      </c>
      <c r="E3067" s="262">
        <v>42.967179999999999</v>
      </c>
      <c r="M3067" s="262">
        <v>8.6308650250000003</v>
      </c>
      <c r="N3067" s="262">
        <v>8.6308650250000003</v>
      </c>
    </row>
    <row r="3068" spans="1:14" x14ac:dyDescent="0.25">
      <c r="A3068" s="262">
        <v>56027</v>
      </c>
      <c r="B3068" s="262" t="s">
        <v>1958</v>
      </c>
      <c r="C3068" s="262" t="s">
        <v>1964</v>
      </c>
      <c r="D3068" s="262">
        <v>-104.48256499999999</v>
      </c>
      <c r="E3068" s="262">
        <v>43.056609999999999</v>
      </c>
      <c r="M3068" s="262">
        <v>10.305349359999999</v>
      </c>
      <c r="N3068" s="262">
        <v>10.305349359999999</v>
      </c>
    </row>
    <row r="3069" spans="1:14" x14ac:dyDescent="0.25">
      <c r="A3069" s="262">
        <v>56029</v>
      </c>
      <c r="B3069" s="262" t="s">
        <v>1958</v>
      </c>
      <c r="C3069" s="262" t="s">
        <v>353</v>
      </c>
      <c r="D3069" s="262">
        <v>-109.75835499999999</v>
      </c>
      <c r="E3069" s="262">
        <v>44.492719999999998</v>
      </c>
      <c r="M3069" s="262">
        <v>8.3847556730000008</v>
      </c>
      <c r="N3069" s="262">
        <v>8.3847556730000008</v>
      </c>
    </row>
    <row r="3070" spans="1:14" x14ac:dyDescent="0.25">
      <c r="A3070" s="262">
        <v>56031</v>
      </c>
      <c r="B3070" s="262" t="s">
        <v>1958</v>
      </c>
      <c r="C3070" s="262" t="s">
        <v>1137</v>
      </c>
      <c r="D3070" s="262">
        <v>-104.963624</v>
      </c>
      <c r="E3070" s="262">
        <v>42.1325</v>
      </c>
      <c r="M3070" s="262">
        <v>10.176518850000001</v>
      </c>
      <c r="N3070" s="262">
        <v>10.176518850000001</v>
      </c>
    </row>
    <row r="3071" spans="1:14" x14ac:dyDescent="0.25">
      <c r="A3071" s="262">
        <v>56033</v>
      </c>
      <c r="B3071" s="262" t="s">
        <v>1958</v>
      </c>
      <c r="C3071" s="262" t="s">
        <v>772</v>
      </c>
      <c r="D3071" s="262">
        <v>-106.87679900000001</v>
      </c>
      <c r="E3071" s="262">
        <v>44.791969999999999</v>
      </c>
      <c r="M3071" s="262">
        <v>9.7976743200000005</v>
      </c>
      <c r="N3071" s="262">
        <v>9.7976743200000005</v>
      </c>
    </row>
    <row r="3072" spans="1:14" x14ac:dyDescent="0.25">
      <c r="A3072" s="262">
        <v>56035</v>
      </c>
      <c r="B3072" s="262" t="s">
        <v>1958</v>
      </c>
      <c r="C3072" s="262" t="s">
        <v>1965</v>
      </c>
      <c r="D3072" s="262">
        <v>-109.90922999999999</v>
      </c>
      <c r="E3072" s="262">
        <v>42.766869999999997</v>
      </c>
      <c r="M3072" s="262">
        <v>8.5448197480000001</v>
      </c>
      <c r="N3072" s="262">
        <v>8.5448197480000001</v>
      </c>
    </row>
    <row r="3073" spans="1:14" x14ac:dyDescent="0.25">
      <c r="A3073" s="262">
        <v>56037</v>
      </c>
      <c r="B3073" s="262" t="s">
        <v>1958</v>
      </c>
      <c r="C3073" s="262" t="s">
        <v>1966</v>
      </c>
      <c r="D3073" s="262">
        <v>-108.87899899999999</v>
      </c>
      <c r="E3073" s="262">
        <v>41.656509999999997</v>
      </c>
      <c r="M3073" s="262">
        <v>8.7648233490000003</v>
      </c>
      <c r="N3073" s="262">
        <v>8.7648233490000003</v>
      </c>
    </row>
    <row r="3074" spans="1:14" x14ac:dyDescent="0.25">
      <c r="A3074" s="262">
        <v>56039</v>
      </c>
      <c r="B3074" s="262" t="s">
        <v>1958</v>
      </c>
      <c r="C3074" s="262" t="s">
        <v>572</v>
      </c>
      <c r="D3074" s="262">
        <v>-110.57097400000001</v>
      </c>
      <c r="E3074" s="262">
        <v>43.713560000000001</v>
      </c>
      <c r="M3074" s="262">
        <v>8.4013225229999993</v>
      </c>
      <c r="N3074" s="262">
        <v>8.4013225229999993</v>
      </c>
    </row>
    <row r="3075" spans="1:14" x14ac:dyDescent="0.25">
      <c r="A3075" s="262">
        <v>56041</v>
      </c>
      <c r="B3075" s="262" t="s">
        <v>1958</v>
      </c>
      <c r="C3075" s="262" t="s">
        <v>1967</v>
      </c>
      <c r="D3075" s="262">
        <v>-110.55303600000001</v>
      </c>
      <c r="E3075" s="262">
        <v>41.289319999999996</v>
      </c>
      <c r="M3075" s="262">
        <v>8.8968331979999995</v>
      </c>
      <c r="N3075" s="262">
        <v>8.8968331979999995</v>
      </c>
    </row>
    <row r="3076" spans="1:14" x14ac:dyDescent="0.25">
      <c r="A3076" s="262">
        <v>56043</v>
      </c>
      <c r="B3076" s="262" t="s">
        <v>1958</v>
      </c>
      <c r="C3076" s="262" t="s">
        <v>1968</v>
      </c>
      <c r="D3076" s="262">
        <v>-107.679282</v>
      </c>
      <c r="E3076" s="262">
        <v>43.909059999999997</v>
      </c>
      <c r="M3076" s="262">
        <v>9.0107790249999997</v>
      </c>
      <c r="N3076" s="262">
        <v>9.0107790249999997</v>
      </c>
    </row>
    <row r="3077" spans="1:14" x14ac:dyDescent="0.25">
      <c r="A3077" s="262">
        <v>56045</v>
      </c>
      <c r="B3077" s="262" t="s">
        <v>1958</v>
      </c>
      <c r="C3077" s="262" t="s">
        <v>1969</v>
      </c>
      <c r="D3077" s="262">
        <v>-104.556904</v>
      </c>
      <c r="E3077" s="262">
        <v>43.84346</v>
      </c>
      <c r="M3077" s="262">
        <v>10.14110762</v>
      </c>
      <c r="N3077" s="262">
        <v>10.14110762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9C42-AB39-464D-A785-C33A16E0A6DD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1970</v>
      </c>
      <c r="B1" s="33" t="s">
        <v>1971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1972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1973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1974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1975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1976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1977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1978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1979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1980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1981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2" si="2">B3+DH4</f>
        <v>-968891.22312710551</v>
      </c>
      <c r="C4" s="21">
        <f t="shared" ref="C4:C33" si="3">C3+DI4</f>
        <v>-959759.43839224731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-16592656.309101025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TEA!B$47-TEA!B$43-M4-AI4</f>
        <v>57086.333285758083</v>
      </c>
      <c r="BF4" s="21">
        <f>TEA!C$47-TEA!C$43-N4-AJ4</f>
        <v>58871.409193518746</v>
      </c>
      <c r="BG4" s="21" t="e">
        <f>TEA!D$47-TEA!D$43-O4-AK4</f>
        <v>#VALUE!</v>
      </c>
      <c r="BH4" s="21" t="e">
        <f>TEA!E$47-TEA!E$43-P4-AL4</f>
        <v>#VALUE!</v>
      </c>
      <c r="BI4" s="21"/>
      <c r="BJ4" s="21">
        <f>TEA!G$47-TEA!G$43-R4-AN4</f>
        <v>0</v>
      </c>
      <c r="BK4" s="21">
        <f>TEA!H$47-TEA!H$43-S4-AO4</f>
        <v>0</v>
      </c>
      <c r="BL4" s="21">
        <f>TEA!I$47-TEA!I$43-T4-AP4</f>
        <v>-2559492.3887954364</v>
      </c>
      <c r="BM4" s="21">
        <f>TEA!J$47-TEA!J$43-U4-AQ4</f>
        <v>0</v>
      </c>
      <c r="BN4" s="21">
        <f>TEA!K$47-TEA!K$43-V4-AR4</f>
        <v>0</v>
      </c>
      <c r="BO4" s="21">
        <f>TEA!L$47-TEA!L$43-W4-AS4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U33" si="16">IF(CF3&lt;0,CF3,0)</f>
        <v>0</v>
      </c>
      <c r="BV4" s="21">
        <f t="shared" ref="BV4:BV33" si="17">IF(CG3&lt;0,CG3,0)</f>
        <v>0</v>
      </c>
      <c r="BW4" s="21">
        <f t="shared" ref="BW4:BW33" si="18">IF(CH3&lt;0,CH3,0)</f>
        <v>0</v>
      </c>
      <c r="BX4" s="21">
        <f t="shared" ref="BX4:BX33" si="19">IF(CI3&lt;0,CI3,0)</f>
        <v>0</v>
      </c>
      <c r="BY4" s="21">
        <f t="shared" ref="BY4:BY33" si="20">IF(CJ3&lt;0,CJ3,0)</f>
        <v>0</v>
      </c>
      <c r="BZ4" s="21">
        <f t="shared" ref="BZ4:BZ33" si="21">IF(CK3&lt;0,CK3,0)</f>
        <v>0</v>
      </c>
      <c r="CA4" s="21">
        <f t="shared" ref="CA4:CA33" si="22">BE4+BP4</f>
        <v>57086.333285758083</v>
      </c>
      <c r="CB4" s="21">
        <f t="shared" ref="CB4:CB33" si="23">BF4+BQ4</f>
        <v>58871.409193518746</v>
      </c>
      <c r="CC4" s="21" t="e">
        <f t="shared" ref="CC4:CC33" si="24">BG4+BR4</f>
        <v>#VALUE!</v>
      </c>
      <c r="CD4" s="21" t="e">
        <f t="shared" ref="CD4:CD33" si="25">BH4+BS4</f>
        <v>#VALUE!</v>
      </c>
      <c r="CE4" s="21"/>
      <c r="CF4" s="21">
        <f t="shared" ref="CF4:CF33" si="26">BJ4+BU4</f>
        <v>0</v>
      </c>
      <c r="CG4" s="21">
        <f t="shared" ref="CG4:CG33" si="27">BK4+BV4</f>
        <v>0</v>
      </c>
      <c r="CH4" s="21">
        <f t="shared" ref="CH4:CH33" si="28">BL4+BW4</f>
        <v>-2559492.3887954364</v>
      </c>
      <c r="CI4" s="21">
        <f t="shared" ref="CI4:CI33" si="29">BM4+BX4</f>
        <v>0</v>
      </c>
      <c r="CJ4" s="21">
        <f t="shared" ref="CJ4:CJ33" si="30">BN4+BY4</f>
        <v>0</v>
      </c>
      <c r="CK4" s="21">
        <f t="shared" ref="CK4:CK33" si="31">BO4+BZ4</f>
        <v>0</v>
      </c>
      <c r="CL4" s="21">
        <f>IF(CA4&gt;0,CA4*TEA!B$17-TEA!B$24,0)</f>
        <v>11417.266657151617</v>
      </c>
      <c r="CM4" s="21">
        <f>IF(CB4&gt;0,CB4*TEA!C$17-TEA!C$24,0)</f>
        <v>11774.28183870375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TEA!B$47-TEA!B$43-X4-CL4</f>
        <v>55014.192829909574</v>
      </c>
      <c r="CX4" s="21">
        <f>TEA!C$47-TEA!C$43-Y4-CM4</f>
        <v>54309.944515729621</v>
      </c>
      <c r="CY4" s="21" t="e">
        <f>TEA!D$47-TEA!D$43-Z4-CN4</f>
        <v>#VALUE!</v>
      </c>
      <c r="CZ4" s="21" t="e">
        <f>TEA!E$47-TEA!E$43-AA4-CO4</f>
        <v>#VALUE!</v>
      </c>
      <c r="DA4" s="21"/>
      <c r="DB4" s="21">
        <f>TEA!G$47-TEA!G$43-AC4-CQ4</f>
        <v>0</v>
      </c>
      <c r="DC4" s="21">
        <f>TEA!H$47-TEA!H$43-AD4-CR4</f>
        <v>0</v>
      </c>
      <c r="DD4" s="21">
        <f>TEA!I$47-TEA!I$43-AE4-CS4</f>
        <v>1242131.3414850724</v>
      </c>
      <c r="DE4" s="21">
        <f>TEA!J$47-TEA!J$43-AF4-CT4</f>
        <v>0</v>
      </c>
      <c r="DF4" s="21">
        <f>TEA!K$47-TEA!K$43-AG4-CU4</f>
        <v>0</v>
      </c>
      <c r="DG4" s="21">
        <f>TEA!L$47-TEA!L$43-AH4-CV4</f>
        <v>0</v>
      </c>
      <c r="DH4" s="21">
        <f>CW4/(1+TEA!B$16)^$A4</f>
        <v>50012.902572645064</v>
      </c>
      <c r="DI4" s="21">
        <f>CX4/(1+TEA!C$16)^$A4</f>
        <v>49372.676832481469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1129210.3104409748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-913989.19049317064</v>
      </c>
      <c r="C5" s="21">
        <f t="shared" si="3"/>
        <v>-905144.37528940977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-15566101.481427411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TEA!B$47-TEA!B$43-M5-AI5</f>
        <v>-16392.211862927346</v>
      </c>
      <c r="BF5" s="21">
        <f>TEA!C$47-TEA!C$43-N5-AJ5</f>
        <v>-12445.40637754515</v>
      </c>
      <c r="BG5" s="21" t="e">
        <f>TEA!D$47-TEA!D$43-O5-AK5</f>
        <v>#VALUE!</v>
      </c>
      <c r="BH5" s="21" t="e">
        <f>TEA!E$47-TEA!E$43-P5-AL5</f>
        <v>#VALUE!</v>
      </c>
      <c r="BI5" s="21"/>
      <c r="BJ5" s="21">
        <f>TEA!G$47-TEA!G$43-R5-AN5</f>
        <v>0</v>
      </c>
      <c r="BK5" s="21">
        <f>TEA!H$47-TEA!H$43-S5-AO5</f>
        <v>0</v>
      </c>
      <c r="BL5" s="21">
        <f>TEA!I$47-TEA!I$43-T5-AP5</f>
        <v>-6433219.3587997556</v>
      </c>
      <c r="BM5" s="21">
        <f>TEA!J$47-TEA!J$43-U5-AQ5</f>
        <v>0</v>
      </c>
      <c r="BN5" s="21">
        <f>TEA!K$47-TEA!K$43-V5-AR5</f>
        <v>0</v>
      </c>
      <c r="BO5" s="21">
        <f>TEA!L$47-TEA!L$43-W5-AS5</f>
        <v>0</v>
      </c>
      <c r="BP5" s="21">
        <f t="shared" si="12"/>
        <v>0</v>
      </c>
      <c r="BQ5" s="21">
        <f t="shared" si="13"/>
        <v>0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7"/>
        <v>0</v>
      </c>
      <c r="BW5" s="21">
        <f t="shared" si="18"/>
        <v>-2559492.3887954364</v>
      </c>
      <c r="BX5" s="21">
        <f t="shared" si="19"/>
        <v>0</v>
      </c>
      <c r="BY5" s="21">
        <f t="shared" si="20"/>
        <v>0</v>
      </c>
      <c r="BZ5" s="21">
        <f t="shared" si="21"/>
        <v>0</v>
      </c>
      <c r="CA5" s="21">
        <f t="shared" si="22"/>
        <v>-16392.211862927346</v>
      </c>
      <c r="CB5" s="21">
        <f t="shared" si="23"/>
        <v>-12445.40637754515</v>
      </c>
      <c r="CC5" s="21" t="e">
        <f t="shared" si="24"/>
        <v>#VALUE!</v>
      </c>
      <c r="CD5" s="21" t="e">
        <f t="shared" si="25"/>
        <v>#VALUE!</v>
      </c>
      <c r="CE5" s="21"/>
      <c r="CF5" s="21">
        <f t="shared" si="26"/>
        <v>0</v>
      </c>
      <c r="CG5" s="21">
        <f t="shared" si="27"/>
        <v>0</v>
      </c>
      <c r="CH5" s="21">
        <f t="shared" si="28"/>
        <v>-8992711.747595191</v>
      </c>
      <c r="CI5" s="21">
        <f t="shared" si="29"/>
        <v>0</v>
      </c>
      <c r="CJ5" s="21">
        <f t="shared" si="30"/>
        <v>0</v>
      </c>
      <c r="CK5" s="21">
        <f t="shared" si="31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TEA!B$47-TEA!B$43-X5-CL5</f>
        <v>66431.459487061191</v>
      </c>
      <c r="CX5" s="21">
        <f>TEA!C$47-TEA!C$43-Y5-CM5</f>
        <v>66084.226354433369</v>
      </c>
      <c r="CY5" s="21" t="e">
        <f>TEA!D$47-TEA!D$43-Z5-CN5</f>
        <v>#VALUE!</v>
      </c>
      <c r="CZ5" s="21" t="e">
        <f>TEA!E$47-TEA!E$43-AA5-CO5</f>
        <v>#VALUE!</v>
      </c>
      <c r="DA5" s="21"/>
      <c r="DB5" s="21">
        <f>TEA!G$47-TEA!G$43-AC5-CQ5</f>
        <v>0</v>
      </c>
      <c r="DC5" s="21">
        <f>TEA!H$47-TEA!H$43-AD5-CR5</f>
        <v>0</v>
      </c>
      <c r="DD5" s="21">
        <f>TEA!I$47-TEA!I$43-AE5-CS5</f>
        <v>1242131.3414850724</v>
      </c>
      <c r="DE5" s="21">
        <f>TEA!J$47-TEA!J$43-AF5-CT5</f>
        <v>0</v>
      </c>
      <c r="DF5" s="21">
        <f>TEA!K$47-TEA!K$43-AG5-CU5</f>
        <v>0</v>
      </c>
      <c r="DG5" s="21">
        <f>TEA!L$47-TEA!L$43-AH5-CV5</f>
        <v>0</v>
      </c>
      <c r="DH5" s="21">
        <f>CW5/(1+TEA!B$16)^$A5</f>
        <v>54902.032633934861</v>
      </c>
      <c r="DI5" s="21">
        <f>CX5/(1+TEA!C$16)^$A5</f>
        <v>54615.063102837485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1026554.8276736134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-868969.25373462972</v>
      </c>
      <c r="C6" s="21">
        <f t="shared" si="3"/>
        <v>-861327.03243193263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-14632869.819905944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TEA!B$47-TEA!B$43-M6-AI6</f>
        <v>48941.830170143279</v>
      </c>
      <c r="BF6" s="21">
        <f>TEA!C$47-TEA!C$43-N6-AJ6</f>
        <v>51262.121433201857</v>
      </c>
      <c r="BG6" s="21" t="e">
        <f>TEA!D$47-TEA!D$43-O6-AK6</f>
        <v>#VALUE!</v>
      </c>
      <c r="BH6" s="21" t="e">
        <f>TEA!E$47-TEA!E$43-P6-AL6</f>
        <v>#VALUE!</v>
      </c>
      <c r="BI6" s="21"/>
      <c r="BJ6" s="21">
        <f>TEA!G$47-TEA!G$43-R6-AN6</f>
        <v>0</v>
      </c>
      <c r="BK6" s="21">
        <f>TEA!H$47-TEA!H$43-S6-AO6</f>
        <v>0</v>
      </c>
      <c r="BL6" s="21">
        <f>TEA!I$47-TEA!I$43-T6-AP6</f>
        <v>-3515490.5948828747</v>
      </c>
      <c r="BM6" s="21">
        <f>TEA!J$47-TEA!J$43-U6-AQ6</f>
        <v>0</v>
      </c>
      <c r="BN6" s="21">
        <f>TEA!K$47-TEA!K$43-V6-AR6</f>
        <v>0</v>
      </c>
      <c r="BO6" s="21">
        <f>TEA!L$47-TEA!L$43-W6-AS6</f>
        <v>0</v>
      </c>
      <c r="BP6" s="21">
        <f t="shared" si="12"/>
        <v>-16392.211862927346</v>
      </c>
      <c r="BQ6" s="21">
        <f t="shared" si="13"/>
        <v>-12445.40637754515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7"/>
        <v>0</v>
      </c>
      <c r="BW6" s="21">
        <f t="shared" si="18"/>
        <v>-8992711.747595191</v>
      </c>
      <c r="BX6" s="21">
        <f t="shared" si="19"/>
        <v>0</v>
      </c>
      <c r="BY6" s="21">
        <f t="shared" si="20"/>
        <v>0</v>
      </c>
      <c r="BZ6" s="21">
        <f t="shared" si="21"/>
        <v>0</v>
      </c>
      <c r="CA6" s="21">
        <f t="shared" si="22"/>
        <v>32549.618307215933</v>
      </c>
      <c r="CB6" s="21">
        <f t="shared" si="23"/>
        <v>38816.715055656707</v>
      </c>
      <c r="CC6" s="21" t="e">
        <f t="shared" si="24"/>
        <v>#VALUE!</v>
      </c>
      <c r="CD6" s="21" t="e">
        <f t="shared" si="25"/>
        <v>#VALUE!</v>
      </c>
      <c r="CE6" s="21"/>
      <c r="CF6" s="21">
        <f t="shared" si="26"/>
        <v>0</v>
      </c>
      <c r="CG6" s="21">
        <f t="shared" si="27"/>
        <v>0</v>
      </c>
      <c r="CH6" s="21">
        <f t="shared" si="28"/>
        <v>-12508202.342478067</v>
      </c>
      <c r="CI6" s="21">
        <f t="shared" si="29"/>
        <v>0</v>
      </c>
      <c r="CJ6" s="21">
        <f t="shared" si="30"/>
        <v>0</v>
      </c>
      <c r="CK6" s="21">
        <f t="shared" si="31"/>
        <v>0</v>
      </c>
      <c r="CL6" s="21">
        <f>IF(CA6&gt;0,CA6*TEA!B$17-TEA!B$24,0)</f>
        <v>6509.9236614431866</v>
      </c>
      <c r="CM6" s="21">
        <f>IF(CB6&gt;0,CB6*TEA!C$17-TEA!C$24,0)</f>
        <v>7763.3430111313419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TEA!B$47-TEA!B$43-X6-CL6</f>
        <v>59921.535825618004</v>
      </c>
      <c r="CX6" s="21">
        <f>TEA!C$47-TEA!C$43-Y6-CM6</f>
        <v>58320.883343302026</v>
      </c>
      <c r="CY6" s="21" t="e">
        <f>TEA!D$47-TEA!D$43-Z6-CN6</f>
        <v>#VALUE!</v>
      </c>
      <c r="CZ6" s="21" t="e">
        <f>TEA!E$47-TEA!E$43-AA6-CO6</f>
        <v>#VALUE!</v>
      </c>
      <c r="DA6" s="21"/>
      <c r="DB6" s="21">
        <f>TEA!G$47-TEA!G$43-AC6-CQ6</f>
        <v>0</v>
      </c>
      <c r="DC6" s="21">
        <f>TEA!H$47-TEA!H$43-AD6-CR6</f>
        <v>0</v>
      </c>
      <c r="DD6" s="21">
        <f>TEA!I$47-TEA!I$43-AE6-CS6</f>
        <v>1242131.3414850724</v>
      </c>
      <c r="DE6" s="21">
        <f>TEA!J$47-TEA!J$43-AF6-CT6</f>
        <v>0</v>
      </c>
      <c r="DF6" s="21">
        <f>TEA!K$47-TEA!K$43-AG6-CU6</f>
        <v>0</v>
      </c>
      <c r="DG6" s="21">
        <f>TEA!L$47-TEA!L$43-AH6-CV6</f>
        <v>0</v>
      </c>
      <c r="DH6" s="21">
        <f>CW6/(1+TEA!B$16)^$A6</f>
        <v>45019.936758540935</v>
      </c>
      <c r="DI6" s="21">
        <f>CX6/(1+TEA!C$16)^$A6</f>
        <v>43817.342857477088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933231.66152146657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-837111.50036945636</v>
      </c>
      <c r="C7" s="21">
        <f t="shared" si="3"/>
        <v>-829860.33013833209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-13784477.400340974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TEA!B$47-TEA!B$43-M7-AI7</f>
        <v>98942.613925553931</v>
      </c>
      <c r="BF7" s="21">
        <f>TEA!C$47-TEA!C$43-N7-AJ7</f>
        <v>100069.13763186427</v>
      </c>
      <c r="BG7" s="21" t="e">
        <f>TEA!D$47-TEA!D$43-O7-AK7</f>
        <v>#VALUE!</v>
      </c>
      <c r="BH7" s="21" t="e">
        <f>TEA!E$47-TEA!E$43-P7-AL7</f>
        <v>#VALUE!</v>
      </c>
      <c r="BI7" s="21"/>
      <c r="BJ7" s="21">
        <f>TEA!G$47-TEA!G$43-R7-AN7</f>
        <v>0</v>
      </c>
      <c r="BK7" s="21">
        <f>TEA!H$47-TEA!H$43-S7-AO7</f>
        <v>0</v>
      </c>
      <c r="BL7" s="21">
        <f>TEA!I$47-TEA!I$43-T7-AP7</f>
        <v>-1373416.9069782628</v>
      </c>
      <c r="BM7" s="21">
        <f>TEA!J$47-TEA!J$43-U7-AQ7</f>
        <v>0</v>
      </c>
      <c r="BN7" s="21">
        <f>TEA!K$47-TEA!K$43-V7-AR7</f>
        <v>0</v>
      </c>
      <c r="BO7" s="21">
        <f>TEA!L$47-TEA!L$43-W7-AS7</f>
        <v>0</v>
      </c>
      <c r="BP7" s="21">
        <f t="shared" si="12"/>
        <v>0</v>
      </c>
      <c r="BQ7" s="21">
        <f t="shared" si="13"/>
        <v>0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7"/>
        <v>0</v>
      </c>
      <c r="BW7" s="21">
        <f t="shared" si="18"/>
        <v>-12508202.342478067</v>
      </c>
      <c r="BX7" s="21">
        <f t="shared" si="19"/>
        <v>0</v>
      </c>
      <c r="BY7" s="21">
        <f t="shared" si="20"/>
        <v>0</v>
      </c>
      <c r="BZ7" s="21">
        <f t="shared" si="21"/>
        <v>0</v>
      </c>
      <c r="CA7" s="21">
        <f t="shared" si="22"/>
        <v>98942.613925553931</v>
      </c>
      <c r="CB7" s="21">
        <f t="shared" si="23"/>
        <v>100069.13763186427</v>
      </c>
      <c r="CC7" s="21" t="e">
        <f t="shared" si="24"/>
        <v>#VALUE!</v>
      </c>
      <c r="CD7" s="21" t="e">
        <f t="shared" si="25"/>
        <v>#VALUE!</v>
      </c>
      <c r="CE7" s="21"/>
      <c r="CF7" s="21">
        <f t="shared" si="26"/>
        <v>0</v>
      </c>
      <c r="CG7" s="21">
        <f t="shared" si="27"/>
        <v>0</v>
      </c>
      <c r="CH7" s="21">
        <f t="shared" si="28"/>
        <v>-13881619.249456329</v>
      </c>
      <c r="CI7" s="21">
        <f t="shared" si="29"/>
        <v>0</v>
      </c>
      <c r="CJ7" s="21">
        <f t="shared" si="30"/>
        <v>0</v>
      </c>
      <c r="CK7" s="21">
        <f t="shared" si="31"/>
        <v>0</v>
      </c>
      <c r="CL7" s="21">
        <f>IF(CA7&gt;0,CA7*TEA!B$17-TEA!B$24,0)</f>
        <v>19788.522785110788</v>
      </c>
      <c r="CM7" s="21">
        <f>IF(CB7&gt;0,CB7*TEA!C$17-TEA!C$24,0)</f>
        <v>20013.827526372857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TEA!B$47-TEA!B$43-X7-CL7</f>
        <v>46642.936701950399</v>
      </c>
      <c r="CX7" s="21">
        <f>TEA!C$47-TEA!C$43-Y7-CM7</f>
        <v>46070.398828060512</v>
      </c>
      <c r="CY7" s="21" t="e">
        <f>TEA!D$47-TEA!D$43-Z7-CN7</f>
        <v>#VALUE!</v>
      </c>
      <c r="CZ7" s="21" t="e">
        <f>TEA!E$47-TEA!E$43-AA7-CO7</f>
        <v>#VALUE!</v>
      </c>
      <c r="DA7" s="21"/>
      <c r="DB7" s="21">
        <f>TEA!G$47-TEA!G$43-AC7-CQ7</f>
        <v>0</v>
      </c>
      <c r="DC7" s="21">
        <f>TEA!H$47-TEA!H$43-AD7-CR7</f>
        <v>0</v>
      </c>
      <c r="DD7" s="21">
        <f>TEA!I$47-TEA!I$43-AE7-CS7</f>
        <v>1242131.3414850724</v>
      </c>
      <c r="DE7" s="21">
        <f>TEA!J$47-TEA!J$43-AF7-CT7</f>
        <v>0</v>
      </c>
      <c r="DF7" s="21">
        <f>TEA!K$47-TEA!K$43-AG7-CU7</f>
        <v>0</v>
      </c>
      <c r="DG7" s="21">
        <f>TEA!L$47-TEA!L$43-AH7-CV7</f>
        <v>0</v>
      </c>
      <c r="DH7" s="21">
        <f>CW7/(1+TEA!B$16)^$A7</f>
        <v>31857.753365173408</v>
      </c>
      <c r="DI7" s="21">
        <f>CX7/(1+TEA!C$16)^$A7</f>
        <v>31466.702293600505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848392.4195649696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-813060.72463447205</v>
      </c>
      <c r="C8" s="21">
        <f t="shared" si="3"/>
        <v>-806054.09642201255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-13013211.564372821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TEA!B$47-TEA!B$43-M8-AI8</f>
        <v>138487.22329055754</v>
      </c>
      <c r="BF8" s="21">
        <f>TEA!C$47-TEA!C$43-N8-AJ8</f>
        <v>138720.24445981818</v>
      </c>
      <c r="BG8" s="21" t="e">
        <f>TEA!D$47-TEA!D$43-O8-AK8</f>
        <v>#VALUE!</v>
      </c>
      <c r="BH8" s="21" t="e">
        <f>TEA!E$47-TEA!E$43-P8-AL8</f>
        <v>#VALUE!</v>
      </c>
      <c r="BI8" s="21"/>
      <c r="BJ8" s="21">
        <f>TEA!G$47-TEA!G$43-R8-AN8</f>
        <v>0</v>
      </c>
      <c r="BK8" s="21">
        <f>TEA!H$47-TEA!H$43-S8-AO8</f>
        <v>0</v>
      </c>
      <c r="BL8" s="21">
        <f>TEA!I$47-TEA!I$43-T8-AP8</f>
        <v>230517.95766726742</v>
      </c>
      <c r="BM8" s="21">
        <f>TEA!J$47-TEA!J$43-U8-AQ8</f>
        <v>0</v>
      </c>
      <c r="BN8" s="21">
        <f>TEA!K$47-TEA!K$43-V8-AR8</f>
        <v>0</v>
      </c>
      <c r="BO8" s="21">
        <f>TEA!L$47-TEA!L$43-W8-AS8</f>
        <v>0</v>
      </c>
      <c r="BP8" s="21">
        <f t="shared" si="12"/>
        <v>0</v>
      </c>
      <c r="BQ8" s="21">
        <f t="shared" si="13"/>
        <v>0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7"/>
        <v>0</v>
      </c>
      <c r="BW8" s="21">
        <f t="shared" si="18"/>
        <v>-13881619.249456329</v>
      </c>
      <c r="BX8" s="21">
        <f t="shared" si="19"/>
        <v>0</v>
      </c>
      <c r="BY8" s="21">
        <f t="shared" si="20"/>
        <v>0</v>
      </c>
      <c r="BZ8" s="21">
        <f t="shared" si="21"/>
        <v>0</v>
      </c>
      <c r="CA8" s="21">
        <f t="shared" si="22"/>
        <v>138487.22329055754</v>
      </c>
      <c r="CB8" s="21">
        <f t="shared" si="23"/>
        <v>138720.24445981818</v>
      </c>
      <c r="CC8" s="21" t="e">
        <f t="shared" si="24"/>
        <v>#VALUE!</v>
      </c>
      <c r="CD8" s="21" t="e">
        <f t="shared" si="25"/>
        <v>#VALUE!</v>
      </c>
      <c r="CE8" s="21"/>
      <c r="CF8" s="21">
        <f t="shared" si="26"/>
        <v>0</v>
      </c>
      <c r="CG8" s="21">
        <f t="shared" si="27"/>
        <v>0</v>
      </c>
      <c r="CH8" s="21">
        <f t="shared" si="28"/>
        <v>-13651101.291789062</v>
      </c>
      <c r="CI8" s="21">
        <f t="shared" si="29"/>
        <v>0</v>
      </c>
      <c r="CJ8" s="21">
        <f t="shared" si="30"/>
        <v>0</v>
      </c>
      <c r="CK8" s="21">
        <f t="shared" si="31"/>
        <v>0</v>
      </c>
      <c r="CL8" s="21">
        <f>IF(CA8&gt;0,CA8*TEA!B$17-TEA!B$24,0)</f>
        <v>27697.444658111508</v>
      </c>
      <c r="CM8" s="21">
        <f>IF(CB8&gt;0,CB8*TEA!C$17-TEA!C$24,0)</f>
        <v>27744.048891963637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TEA!B$47-TEA!B$43-X8-CL8</f>
        <v>38734.014828949686</v>
      </c>
      <c r="CX8" s="21">
        <f>TEA!C$47-TEA!C$43-Y8-CM8</f>
        <v>38340.177462469728</v>
      </c>
      <c r="CY8" s="21" t="e">
        <f>TEA!D$47-TEA!D$43-Z8-CN8</f>
        <v>#VALUE!</v>
      </c>
      <c r="CZ8" s="21" t="e">
        <f>TEA!E$47-TEA!E$43-AA8-CO8</f>
        <v>#VALUE!</v>
      </c>
      <c r="DA8" s="21"/>
      <c r="DB8" s="21">
        <f>TEA!G$47-TEA!G$43-AC8-CQ8</f>
        <v>0</v>
      </c>
      <c r="DC8" s="21">
        <f>TEA!H$47-TEA!H$43-AD8-CR8</f>
        <v>0</v>
      </c>
      <c r="DD8" s="21">
        <f>TEA!I$47-TEA!I$43-AE8-CS8</f>
        <v>1242131.3414850724</v>
      </c>
      <c r="DE8" s="21">
        <f>TEA!J$47-TEA!J$43-AF8-CT8</f>
        <v>0</v>
      </c>
      <c r="DF8" s="21">
        <f>TEA!K$47-TEA!K$43-AG8-CU8</f>
        <v>0</v>
      </c>
      <c r="DG8" s="21">
        <f>TEA!L$47-TEA!L$43-AH8-CV8</f>
        <v>0</v>
      </c>
      <c r="DH8" s="21">
        <f>CW8/(1+TEA!B$16)^$A8</f>
        <v>24050.775734984367</v>
      </c>
      <c r="DI8" s="21">
        <f>CX8/(1+TEA!C$16)^$A8</f>
        <v>23806.233716319497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771265.83596815413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-792492.72069368104</v>
      </c>
      <c r="C9" s="21">
        <f t="shared" si="3"/>
        <v>-785695.97061341582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-12312060.804401772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TEA!B$47-TEA!B$43-M9-AI9</f>
        <v>149969.92928854725</v>
      </c>
      <c r="BF9" s="21">
        <f>TEA!C$47-TEA!C$43-N9-AJ9</f>
        <v>150092.8231941491</v>
      </c>
      <c r="BG9" s="21" t="e">
        <f>TEA!D$47-TEA!D$43-O9-AK9</f>
        <v>#VALUE!</v>
      </c>
      <c r="BH9" s="21" t="e">
        <f>TEA!E$47-TEA!E$43-P9-AL9</f>
        <v>#VALUE!</v>
      </c>
      <c r="BI9" s="21"/>
      <c r="BJ9" s="21">
        <f>TEA!G$47-TEA!G$43-R9-AN9</f>
        <v>0</v>
      </c>
      <c r="BK9" s="21">
        <f>TEA!H$47-TEA!H$43-S9-AO9</f>
        <v>0</v>
      </c>
      <c r="BL9" s="21">
        <f>TEA!I$47-TEA!I$43-T9-AP9</f>
        <v>430237.4199749059</v>
      </c>
      <c r="BM9" s="21">
        <f>TEA!J$47-TEA!J$43-U9-AQ9</f>
        <v>0</v>
      </c>
      <c r="BN9" s="21">
        <f>TEA!K$47-TEA!K$43-V9-AR9</f>
        <v>0</v>
      </c>
      <c r="BO9" s="21">
        <f>TEA!L$47-TEA!L$43-W9-AS9</f>
        <v>0</v>
      </c>
      <c r="BP9" s="21">
        <f t="shared" si="12"/>
        <v>0</v>
      </c>
      <c r="BQ9" s="21">
        <f t="shared" si="13"/>
        <v>0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7"/>
        <v>0</v>
      </c>
      <c r="BW9" s="21">
        <f t="shared" si="18"/>
        <v>-13651101.291789062</v>
      </c>
      <c r="BX9" s="21">
        <f t="shared" si="19"/>
        <v>0</v>
      </c>
      <c r="BY9" s="21">
        <f t="shared" si="20"/>
        <v>0</v>
      </c>
      <c r="BZ9" s="21">
        <f t="shared" si="21"/>
        <v>0</v>
      </c>
      <c r="CA9" s="21">
        <f t="shared" si="22"/>
        <v>149969.92928854725</v>
      </c>
      <c r="CB9" s="21">
        <f t="shared" si="23"/>
        <v>150092.8231941491</v>
      </c>
      <c r="CC9" s="21" t="e">
        <f t="shared" si="24"/>
        <v>#VALUE!</v>
      </c>
      <c r="CD9" s="21" t="e">
        <f t="shared" si="25"/>
        <v>#VALUE!</v>
      </c>
      <c r="CE9" s="21"/>
      <c r="CF9" s="21">
        <f t="shared" si="26"/>
        <v>0</v>
      </c>
      <c r="CG9" s="21">
        <f t="shared" si="27"/>
        <v>0</v>
      </c>
      <c r="CH9" s="21">
        <f t="shared" si="28"/>
        <v>-13220863.871814156</v>
      </c>
      <c r="CI9" s="21">
        <f t="shared" si="29"/>
        <v>0</v>
      </c>
      <c r="CJ9" s="21">
        <f t="shared" si="30"/>
        <v>0</v>
      </c>
      <c r="CK9" s="21">
        <f t="shared" si="31"/>
        <v>0</v>
      </c>
      <c r="CL9" s="21">
        <f>IF(CA9&gt;0,CA9*TEA!B$17-TEA!B$24,0)</f>
        <v>29993.985857709453</v>
      </c>
      <c r="CM9" s="21">
        <f>IF(CB9&gt;0,CB9*TEA!C$17-TEA!C$24,0)</f>
        <v>30018.564638829819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TEA!B$47-TEA!B$43-X9-CL9</f>
        <v>36437.473629351734</v>
      </c>
      <c r="CX9" s="21">
        <f>TEA!C$47-TEA!C$43-Y9-CM9</f>
        <v>36065.66171560355</v>
      </c>
      <c r="CY9" s="21" t="e">
        <f>TEA!D$47-TEA!D$43-Z9-CN9</f>
        <v>#VALUE!</v>
      </c>
      <c r="CZ9" s="21" t="e">
        <f>TEA!E$47-TEA!E$43-AA9-CO9</f>
        <v>#VALUE!</v>
      </c>
      <c r="DA9" s="21"/>
      <c r="DB9" s="21">
        <f>TEA!G$47-TEA!G$43-AC9-CQ9</f>
        <v>0</v>
      </c>
      <c r="DC9" s="21">
        <f>TEA!H$47-TEA!H$43-AD9-CR9</f>
        <v>0</v>
      </c>
      <c r="DD9" s="21">
        <f>TEA!I$47-TEA!I$43-AE9-CS9</f>
        <v>1242131.3414850724</v>
      </c>
      <c r="DE9" s="21">
        <f>TEA!J$47-TEA!J$43-AF9-CT9</f>
        <v>0</v>
      </c>
      <c r="DF9" s="21">
        <f>TEA!K$47-TEA!K$43-AG9-CU9</f>
        <v>0</v>
      </c>
      <c r="DG9" s="21">
        <f>TEA!L$47-TEA!L$43-AH9-CV9</f>
        <v>0</v>
      </c>
      <c r="DH9" s="21">
        <f>CW9/(1+TEA!B$16)^$A9</f>
        <v>20568.003940791041</v>
      </c>
      <c r="DI9" s="21">
        <f>CX9/(1+TEA!C$16)^$A9</f>
        <v>20358.125808596786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701150.75997104915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-775067.30315422092</v>
      </c>
      <c r="C10" s="21">
        <f t="shared" si="3"/>
        <v>-768449.14463288325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-11674651.02260991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TEA!B$47-TEA!B$43-M10-AI10</f>
        <v>162371.25176637614</v>
      </c>
      <c r="BF10" s="21">
        <f>TEA!C$47-TEA!C$43-N10-AJ10</f>
        <v>162375.20822722651</v>
      </c>
      <c r="BG10" s="21" t="e">
        <f>TEA!D$47-TEA!D$43-O10-AK10</f>
        <v>#VALUE!</v>
      </c>
      <c r="BH10" s="21" t="e">
        <f>TEA!E$47-TEA!E$43-P10-AL10</f>
        <v>#VALUE!</v>
      </c>
      <c r="BI10" s="21"/>
      <c r="BJ10" s="21">
        <f>TEA!G$47-TEA!G$43-R10-AN10</f>
        <v>0</v>
      </c>
      <c r="BK10" s="21">
        <f>TEA!H$47-TEA!H$43-S10-AO10</f>
        <v>0</v>
      </c>
      <c r="BL10" s="21">
        <f>TEA!I$47-TEA!I$43-T10-AP10</f>
        <v>645934.43926715548</v>
      </c>
      <c r="BM10" s="21">
        <f>TEA!J$47-TEA!J$43-U10-AQ10</f>
        <v>0</v>
      </c>
      <c r="BN10" s="21">
        <f>TEA!K$47-TEA!K$43-V10-AR10</f>
        <v>0</v>
      </c>
      <c r="BO10" s="21">
        <f>TEA!L$47-TEA!L$43-W10-AS10</f>
        <v>0</v>
      </c>
      <c r="BP10" s="21">
        <f t="shared" si="12"/>
        <v>0</v>
      </c>
      <c r="BQ10" s="21">
        <f t="shared" si="13"/>
        <v>0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7"/>
        <v>0</v>
      </c>
      <c r="BW10" s="21">
        <f t="shared" si="18"/>
        <v>-13220863.871814156</v>
      </c>
      <c r="BX10" s="21">
        <f t="shared" si="19"/>
        <v>0</v>
      </c>
      <c r="BY10" s="21">
        <f t="shared" si="20"/>
        <v>0</v>
      </c>
      <c r="BZ10" s="21">
        <f t="shared" si="21"/>
        <v>0</v>
      </c>
      <c r="CA10" s="21">
        <f t="shared" si="22"/>
        <v>162371.25176637614</v>
      </c>
      <c r="CB10" s="21">
        <f t="shared" si="23"/>
        <v>162375.20822722651</v>
      </c>
      <c r="CC10" s="21" t="e">
        <f t="shared" si="24"/>
        <v>#VALUE!</v>
      </c>
      <c r="CD10" s="21" t="e">
        <f t="shared" si="25"/>
        <v>#VALUE!</v>
      </c>
      <c r="CE10" s="21"/>
      <c r="CF10" s="21">
        <f t="shared" si="26"/>
        <v>0</v>
      </c>
      <c r="CG10" s="21">
        <f t="shared" si="27"/>
        <v>0</v>
      </c>
      <c r="CH10" s="21">
        <f t="shared" si="28"/>
        <v>-12574929.432547001</v>
      </c>
      <c r="CI10" s="21">
        <f t="shared" si="29"/>
        <v>0</v>
      </c>
      <c r="CJ10" s="21">
        <f t="shared" si="30"/>
        <v>0</v>
      </c>
      <c r="CK10" s="21">
        <f t="shared" si="31"/>
        <v>0</v>
      </c>
      <c r="CL10" s="21">
        <f>IF(CA10&gt;0,CA10*TEA!B$17-TEA!B$24,0)</f>
        <v>32474.250353275231</v>
      </c>
      <c r="CM10" s="21">
        <f>IF(CB10&gt;0,CB10*TEA!C$17-TEA!C$24,0)</f>
        <v>32475.041645445304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TEA!B$47-TEA!B$43-X10-CL10</f>
        <v>33957.20913378596</v>
      </c>
      <c r="CX10" s="21">
        <f>TEA!C$47-TEA!C$43-Y10-CM10</f>
        <v>33609.184708988061</v>
      </c>
      <c r="CY10" s="21" t="e">
        <f>TEA!D$47-TEA!D$43-Z10-CN10</f>
        <v>#VALUE!</v>
      </c>
      <c r="CZ10" s="21" t="e">
        <f>TEA!E$47-TEA!E$43-AA10-CO10</f>
        <v>#VALUE!</v>
      </c>
      <c r="DA10" s="21"/>
      <c r="DB10" s="21">
        <f>TEA!G$47-TEA!G$43-AC10-CQ10</f>
        <v>0</v>
      </c>
      <c r="DC10" s="21">
        <f>TEA!H$47-TEA!H$43-AD10-CR10</f>
        <v>0</v>
      </c>
      <c r="DD10" s="21">
        <f>TEA!I$47-TEA!I$43-AE10-CS10</f>
        <v>1242131.3414850724</v>
      </c>
      <c r="DE10" s="21">
        <f>TEA!J$47-TEA!J$43-AF10-CT10</f>
        <v>0</v>
      </c>
      <c r="DF10" s="21">
        <f>TEA!K$47-TEA!K$43-AG10-CU10</f>
        <v>0</v>
      </c>
      <c r="DG10" s="21">
        <f>TEA!L$47-TEA!L$43-AH10-CV10</f>
        <v>0</v>
      </c>
      <c r="DH10" s="21">
        <f>CW10/(1+TEA!B$16)^$A10</f>
        <v>17425.417539460159</v>
      </c>
      <c r="DI10" s="21">
        <f>CX10/(1+TEA!C$16)^$A10</f>
        <v>17246.825980532547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637409.7817918628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-763772.67907483887</v>
      </c>
      <c r="C11" s="21">
        <f t="shared" si="3"/>
        <v>-757214.62915675808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-11095187.584617307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TEA!B$47-TEA!B$43-M11-AI11</f>
        <v>211102.14848670663</v>
      </c>
      <c r="BF11" s="21">
        <f>TEA!C$47-TEA!C$43-N11-AJ11</f>
        <v>210010.22347019825</v>
      </c>
      <c r="BG11" s="21" t="e">
        <f>TEA!D$47-TEA!D$43-O11-AK11</f>
        <v>#VALUE!</v>
      </c>
      <c r="BH11" s="21" t="e">
        <f>TEA!E$47-TEA!E$43-P11-AL11</f>
        <v>#VALUE!</v>
      </c>
      <c r="BI11" s="21"/>
      <c r="BJ11" s="21">
        <f>TEA!G$47-TEA!G$43-R11-AN11</f>
        <v>0</v>
      </c>
      <c r="BK11" s="21">
        <f>TEA!H$47-TEA!H$43-S11-AO11</f>
        <v>0</v>
      </c>
      <c r="BL11" s="21">
        <f>TEA!I$47-TEA!I$43-T11-AP11</f>
        <v>2613232.0870374423</v>
      </c>
      <c r="BM11" s="21">
        <f>TEA!J$47-TEA!J$43-U11-AQ11</f>
        <v>0</v>
      </c>
      <c r="BN11" s="21">
        <f>TEA!K$47-TEA!K$43-V11-AR11</f>
        <v>0</v>
      </c>
      <c r="BO11" s="21">
        <f>TEA!L$47-TEA!L$43-W11-AS11</f>
        <v>0</v>
      </c>
      <c r="BP11" s="21">
        <f t="shared" si="12"/>
        <v>0</v>
      </c>
      <c r="BQ11" s="21">
        <f t="shared" si="13"/>
        <v>0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7"/>
        <v>0</v>
      </c>
      <c r="BW11" s="21">
        <f t="shared" si="18"/>
        <v>-12574929.432547001</v>
      </c>
      <c r="BX11" s="21">
        <f t="shared" si="19"/>
        <v>0</v>
      </c>
      <c r="BY11" s="21">
        <f t="shared" si="20"/>
        <v>0</v>
      </c>
      <c r="BZ11" s="21">
        <f t="shared" si="21"/>
        <v>0</v>
      </c>
      <c r="CA11" s="21">
        <f t="shared" si="22"/>
        <v>211102.14848670663</v>
      </c>
      <c r="CB11" s="21">
        <f t="shared" si="23"/>
        <v>210010.22347019825</v>
      </c>
      <c r="CC11" s="21" t="e">
        <f t="shared" si="24"/>
        <v>#VALUE!</v>
      </c>
      <c r="CD11" s="21" t="e">
        <f t="shared" si="25"/>
        <v>#VALUE!</v>
      </c>
      <c r="CE11" s="21"/>
      <c r="CF11" s="21">
        <f t="shared" si="26"/>
        <v>0</v>
      </c>
      <c r="CG11" s="21">
        <f t="shared" si="27"/>
        <v>0</v>
      </c>
      <c r="CH11" s="21">
        <f t="shared" si="28"/>
        <v>-9961697.3455095589</v>
      </c>
      <c r="CI11" s="21">
        <f t="shared" si="29"/>
        <v>0</v>
      </c>
      <c r="CJ11" s="21">
        <f t="shared" si="30"/>
        <v>0</v>
      </c>
      <c r="CK11" s="21">
        <f t="shared" si="31"/>
        <v>0</v>
      </c>
      <c r="CL11" s="21">
        <f>IF(CA11&gt;0,CA11*TEA!B$17-TEA!B$24,0)</f>
        <v>42220.429697341329</v>
      </c>
      <c r="CM11" s="21">
        <f>IF(CB11&gt;0,CB11*TEA!C$17-TEA!C$24,0)</f>
        <v>42002.04469403965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TEA!B$47-TEA!B$43-X11-CL11</f>
        <v>24211.029789719862</v>
      </c>
      <c r="CX11" s="21">
        <f>TEA!C$47-TEA!C$43-Y11-CM11</f>
        <v>24082.181660393719</v>
      </c>
      <c r="CY11" s="21" t="e">
        <f>TEA!D$47-TEA!D$43-Z11-CN11</f>
        <v>#VALUE!</v>
      </c>
      <c r="CZ11" s="21" t="e">
        <f>TEA!E$47-TEA!E$43-AA11-CO11</f>
        <v>#VALUE!</v>
      </c>
      <c r="DA11" s="21"/>
      <c r="DB11" s="21">
        <f>TEA!G$47-TEA!G$43-AC11-CQ11</f>
        <v>0</v>
      </c>
      <c r="DC11" s="21">
        <f>TEA!H$47-TEA!H$43-AD11-CR11</f>
        <v>0</v>
      </c>
      <c r="DD11" s="21">
        <f>TEA!I$47-TEA!I$43-AE11-CS11</f>
        <v>1242131.3414850724</v>
      </c>
      <c r="DE11" s="21">
        <f>TEA!J$47-TEA!J$43-AF11-CT11</f>
        <v>0</v>
      </c>
      <c r="DF11" s="21">
        <f>TEA!K$47-TEA!K$43-AG11-CU11</f>
        <v>0</v>
      </c>
      <c r="DG11" s="21">
        <f>TEA!L$47-TEA!L$43-AH11-CV11</f>
        <v>0</v>
      </c>
      <c r="DH11" s="21">
        <f>CW11/(1+TEA!B$16)^$A11</f>
        <v>11294.62407938202</v>
      </c>
      <c r="DI11" s="21">
        <f>CX11/(1+TEA!C$16)^$A11</f>
        <v>11234.515476125156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579463.43799260259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-757797.173006383</v>
      </c>
      <c r="C12" s="21">
        <f t="shared" si="3"/>
        <v>-751198.07857731753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-10568402.640987668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TEA!B$47-TEA!B$43-M12-AI12</f>
        <v>261707.64375194599</v>
      </c>
      <c r="BF12" s="21">
        <f>TEA!C$47-TEA!C$43-N12-AJ12</f>
        <v>259487.57403928353</v>
      </c>
      <c r="BG12" s="21" t="e">
        <f>TEA!D$47-TEA!D$43-O12-AK12</f>
        <v>#VALUE!</v>
      </c>
      <c r="BH12" s="21" t="e">
        <f>TEA!E$47-TEA!E$43-P12-AL12</f>
        <v>#VALUE!</v>
      </c>
      <c r="BI12" s="21"/>
      <c r="BJ12" s="21">
        <f>TEA!G$47-TEA!G$43-R12-AN12</f>
        <v>0</v>
      </c>
      <c r="BK12" s="21">
        <f>TEA!H$47-TEA!H$43-S12-AO12</f>
        <v>0</v>
      </c>
      <c r="BL12" s="21">
        <f>TEA!I$47-TEA!I$43-T12-AP12</f>
        <v>4638582.8860685499</v>
      </c>
      <c r="BM12" s="21">
        <f>TEA!J$47-TEA!J$43-U12-AQ12</f>
        <v>0</v>
      </c>
      <c r="BN12" s="21">
        <f>TEA!K$47-TEA!K$43-V12-AR12</f>
        <v>0</v>
      </c>
      <c r="BO12" s="21">
        <f>TEA!L$47-TEA!L$43-W12-AS12</f>
        <v>0</v>
      </c>
      <c r="BP12" s="21">
        <f t="shared" si="12"/>
        <v>0</v>
      </c>
      <c r="BQ12" s="21">
        <f t="shared" si="13"/>
        <v>0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7"/>
        <v>0</v>
      </c>
      <c r="BW12" s="21">
        <f t="shared" si="18"/>
        <v>-9961697.3455095589</v>
      </c>
      <c r="BX12" s="21">
        <f t="shared" si="19"/>
        <v>0</v>
      </c>
      <c r="BY12" s="21">
        <f t="shared" si="20"/>
        <v>0</v>
      </c>
      <c r="BZ12" s="21">
        <f t="shared" si="21"/>
        <v>0</v>
      </c>
      <c r="CA12" s="21">
        <f t="shared" si="22"/>
        <v>261707.64375194599</v>
      </c>
      <c r="CB12" s="21">
        <f t="shared" si="23"/>
        <v>259487.57403928353</v>
      </c>
      <c r="CC12" s="21" t="e">
        <f t="shared" si="24"/>
        <v>#VALUE!</v>
      </c>
      <c r="CD12" s="21" t="e">
        <f t="shared" si="25"/>
        <v>#VALUE!</v>
      </c>
      <c r="CE12" s="21"/>
      <c r="CF12" s="21">
        <f t="shared" si="26"/>
        <v>0</v>
      </c>
      <c r="CG12" s="21">
        <f t="shared" si="27"/>
        <v>0</v>
      </c>
      <c r="CH12" s="21">
        <f t="shared" si="28"/>
        <v>-5323114.459441009</v>
      </c>
      <c r="CI12" s="21">
        <f t="shared" si="29"/>
        <v>0</v>
      </c>
      <c r="CJ12" s="21">
        <f t="shared" si="30"/>
        <v>0</v>
      </c>
      <c r="CK12" s="21">
        <f t="shared" si="31"/>
        <v>0</v>
      </c>
      <c r="CL12" s="21">
        <f>IF(CA12&gt;0,CA12*TEA!B$17-TEA!B$24,0)</f>
        <v>52341.528750389203</v>
      </c>
      <c r="CM12" s="21">
        <f>IF(CB12&gt;0,CB12*TEA!C$17-TEA!C$24,0)</f>
        <v>51897.514807856707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TEA!B$47-TEA!B$43-X12-CL12</f>
        <v>14089.930736671988</v>
      </c>
      <c r="CX12" s="21">
        <f>TEA!C$47-TEA!C$43-Y12-CM12</f>
        <v>14186.711546576662</v>
      </c>
      <c r="CY12" s="21" t="e">
        <f>TEA!D$47-TEA!D$43-Z12-CN12</f>
        <v>#VALUE!</v>
      </c>
      <c r="CZ12" s="21" t="e">
        <f>TEA!E$47-TEA!E$43-AA12-CO12</f>
        <v>#VALUE!</v>
      </c>
      <c r="DA12" s="21"/>
      <c r="DB12" s="21">
        <f>TEA!G$47-TEA!G$43-AC12-CQ12</f>
        <v>0</v>
      </c>
      <c r="DC12" s="21">
        <f>TEA!H$47-TEA!H$43-AD12-CR12</f>
        <v>0</v>
      </c>
      <c r="DD12" s="21">
        <f>TEA!I$47-TEA!I$43-AE12-CS12</f>
        <v>1242131.3414850724</v>
      </c>
      <c r="DE12" s="21">
        <f>TEA!J$47-TEA!J$43-AF12-CT12</f>
        <v>0</v>
      </c>
      <c r="DF12" s="21">
        <f>TEA!K$47-TEA!K$43-AG12-CU12</f>
        <v>0</v>
      </c>
      <c r="DG12" s="21">
        <f>TEA!L$47-TEA!L$43-AH12-CV12</f>
        <v>0</v>
      </c>
      <c r="DH12" s="21">
        <f>CW12/(1+TEA!B$16)^$A12</f>
        <v>5975.5060684558584</v>
      </c>
      <c r="DI12" s="21">
        <f>CX12/(1+TEA!C$16)^$A12</f>
        <v>6016.5505794405908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526784.94362963864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-753569.49352119188</v>
      </c>
      <c r="C13" s="21">
        <f t="shared" si="3"/>
        <v>-746921.53294711211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-10089507.237687998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TEA!B$47-TEA!B$43-M13-AI13</f>
        <v>277329.73849313677</v>
      </c>
      <c r="BF13" s="21">
        <f>TEA!C$47-TEA!C$43-N13-AJ13</f>
        <v>274959.84185407154</v>
      </c>
      <c r="BG13" s="21" t="e">
        <f>TEA!D$47-TEA!D$43-O13-AK13</f>
        <v>#VALUE!</v>
      </c>
      <c r="BH13" s="21" t="e">
        <f>TEA!E$47-TEA!E$43-P13-AL13</f>
        <v>#VALUE!</v>
      </c>
      <c r="BI13" s="21"/>
      <c r="BJ13" s="21">
        <f>TEA!G$47-TEA!G$43-R13-AN13</f>
        <v>0</v>
      </c>
      <c r="BK13" s="21">
        <f>TEA!H$47-TEA!H$43-S13-AO13</f>
        <v>0</v>
      </c>
      <c r="BL13" s="21">
        <f>TEA!I$47-TEA!I$43-T13-AP13</f>
        <v>4910299.0096352287</v>
      </c>
      <c r="BM13" s="21">
        <f>TEA!J$47-TEA!J$43-U13-AQ13</f>
        <v>0</v>
      </c>
      <c r="BN13" s="21">
        <f>TEA!K$47-TEA!K$43-V13-AR13</f>
        <v>0</v>
      </c>
      <c r="BO13" s="21">
        <f>TEA!L$47-TEA!L$43-W13-AS13</f>
        <v>0</v>
      </c>
      <c r="BP13" s="21">
        <f t="shared" si="12"/>
        <v>0</v>
      </c>
      <c r="BQ13" s="21">
        <f t="shared" si="13"/>
        <v>0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7"/>
        <v>0</v>
      </c>
      <c r="BW13" s="21">
        <f t="shared" si="18"/>
        <v>-5323114.459441009</v>
      </c>
      <c r="BX13" s="21">
        <f t="shared" si="19"/>
        <v>0</v>
      </c>
      <c r="BY13" s="21">
        <f t="shared" si="20"/>
        <v>0</v>
      </c>
      <c r="BZ13" s="21">
        <f t="shared" si="21"/>
        <v>0</v>
      </c>
      <c r="CA13" s="21">
        <f t="shared" si="22"/>
        <v>277329.73849313677</v>
      </c>
      <c r="CB13" s="21">
        <f t="shared" si="23"/>
        <v>274959.84185407154</v>
      </c>
      <c r="CC13" s="21" t="e">
        <f t="shared" si="24"/>
        <v>#VALUE!</v>
      </c>
      <c r="CD13" s="21" t="e">
        <f t="shared" si="25"/>
        <v>#VALUE!</v>
      </c>
      <c r="CE13" s="21"/>
      <c r="CF13" s="21">
        <f t="shared" si="26"/>
        <v>0</v>
      </c>
      <c r="CG13" s="21">
        <f t="shared" si="27"/>
        <v>0</v>
      </c>
      <c r="CH13" s="21">
        <f t="shared" si="28"/>
        <v>-412815.44980578031</v>
      </c>
      <c r="CI13" s="21">
        <f t="shared" si="29"/>
        <v>0</v>
      </c>
      <c r="CJ13" s="21">
        <f t="shared" si="30"/>
        <v>0</v>
      </c>
      <c r="CK13" s="21">
        <f t="shared" si="31"/>
        <v>0</v>
      </c>
      <c r="CL13" s="21">
        <f>IF(CA13&gt;0,CA13*TEA!B$17-TEA!B$24,0)</f>
        <v>55465.947698627358</v>
      </c>
      <c r="CM13" s="21">
        <f>IF(CB13&gt;0,CB13*TEA!C$17-TEA!C$24,0)</f>
        <v>54991.968370814313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TEA!B$47-TEA!B$43-X13-CL13</f>
        <v>10965.511788433832</v>
      </c>
      <c r="CX13" s="21">
        <f>TEA!C$47-TEA!C$43-Y13-CM13</f>
        <v>11092.257983619056</v>
      </c>
      <c r="CY13" s="21" t="e">
        <f>TEA!D$47-TEA!D$43-Z13-CN13</f>
        <v>#VALUE!</v>
      </c>
      <c r="CZ13" s="21" t="e">
        <f>TEA!E$47-TEA!E$43-AA13-CO13</f>
        <v>#VALUE!</v>
      </c>
      <c r="DA13" s="21"/>
      <c r="DB13" s="21">
        <f>TEA!G$47-TEA!G$43-AC13-CQ13</f>
        <v>0</v>
      </c>
      <c r="DC13" s="21">
        <f>TEA!H$47-TEA!H$43-AD13-CR13</f>
        <v>0</v>
      </c>
      <c r="DD13" s="21">
        <f>TEA!I$47-TEA!I$43-AE13-CS13</f>
        <v>1242131.3414850724</v>
      </c>
      <c r="DE13" s="21">
        <f>TEA!J$47-TEA!J$43-AF13-CT13</f>
        <v>0</v>
      </c>
      <c r="DF13" s="21">
        <f>TEA!K$47-TEA!K$43-AG13-CU13</f>
        <v>0</v>
      </c>
      <c r="DG13" s="21">
        <f>TEA!L$47-TEA!L$43-AH13-CV13</f>
        <v>0</v>
      </c>
      <c r="DH13" s="21">
        <f>CW13/(1+TEA!B$16)^$A13</f>
        <v>4227.6794851910845</v>
      </c>
      <c r="DI13" s="21">
        <f>CX13/(1+TEA!C$16)^$A13</f>
        <v>4276.5456302054727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478895.40329967148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-671076.80047892418</v>
      </c>
      <c r="C14" s="21">
        <f t="shared" si="3"/>
        <v>-665138.71895442088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-8402599.7171775531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TEA!B$47-TEA!B$43-M14-AI14</f>
        <v>294201.60081362282</v>
      </c>
      <c r="BF14" s="21">
        <f>TEA!C$47-TEA!C$43-N14-AJ14</f>
        <v>291669.89109404257</v>
      </c>
      <c r="BG14" s="21" t="e">
        <f>TEA!D$47-TEA!D$43-O14-AK14</f>
        <v>#VALUE!</v>
      </c>
      <c r="BH14" s="21" t="e">
        <f>TEA!E$47-TEA!E$43-P14-AL14</f>
        <v>#VALUE!</v>
      </c>
      <c r="BI14" s="21"/>
      <c r="BJ14" s="21">
        <f>TEA!G$47-TEA!G$43-R14-AN14</f>
        <v>0</v>
      </c>
      <c r="BK14" s="21">
        <f>TEA!H$47-TEA!H$43-S14-AO14</f>
        <v>0</v>
      </c>
      <c r="BL14" s="21">
        <f>TEA!I$47-TEA!I$43-T14-AP14</f>
        <v>5203752.4230872402</v>
      </c>
      <c r="BM14" s="21">
        <f>TEA!J$47-TEA!J$43-U14-AQ14</f>
        <v>0</v>
      </c>
      <c r="BN14" s="21">
        <f>TEA!K$47-TEA!K$43-V14-AR14</f>
        <v>0</v>
      </c>
      <c r="BO14" s="21">
        <f>TEA!L$47-TEA!L$43-W14-AS14</f>
        <v>0</v>
      </c>
      <c r="BP14" s="21">
        <f t="shared" si="12"/>
        <v>0</v>
      </c>
      <c r="BQ14" s="21">
        <f t="shared" si="13"/>
        <v>0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7"/>
        <v>0</v>
      </c>
      <c r="BW14" s="21">
        <f t="shared" si="18"/>
        <v>-412815.44980578031</v>
      </c>
      <c r="BX14" s="21">
        <f t="shared" si="19"/>
        <v>0</v>
      </c>
      <c r="BY14" s="21">
        <f t="shared" si="20"/>
        <v>0</v>
      </c>
      <c r="BZ14" s="21">
        <f t="shared" si="21"/>
        <v>0</v>
      </c>
      <c r="CA14" s="21">
        <f t="shared" si="22"/>
        <v>294201.60081362282</v>
      </c>
      <c r="CB14" s="21">
        <f t="shared" si="23"/>
        <v>291669.89109404257</v>
      </c>
      <c r="CC14" s="21" t="e">
        <f t="shared" si="24"/>
        <v>#VALUE!</v>
      </c>
      <c r="CD14" s="21" t="e">
        <f t="shared" si="25"/>
        <v>#VALUE!</v>
      </c>
      <c r="CE14" s="21"/>
      <c r="CF14" s="21">
        <f t="shared" si="26"/>
        <v>0</v>
      </c>
      <c r="CG14" s="21">
        <f t="shared" si="27"/>
        <v>0</v>
      </c>
      <c r="CH14" s="21">
        <f t="shared" si="28"/>
        <v>4790936.9732814599</v>
      </c>
      <c r="CI14" s="21">
        <f t="shared" si="29"/>
        <v>0</v>
      </c>
      <c r="CJ14" s="21">
        <f t="shared" si="30"/>
        <v>0</v>
      </c>
      <c r="CK14" s="21">
        <f t="shared" si="31"/>
        <v>0</v>
      </c>
      <c r="CL14" s="21">
        <f>IF(CA14&gt;0,CA14*TEA!B$17-TEA!B$24,0)</f>
        <v>58840.320162724565</v>
      </c>
      <c r="CM14" s="21">
        <f>IF(CB14&gt;0,CB14*TEA!C$17-TEA!C$24,0)</f>
        <v>58333.978218808516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390808.39465629205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TEA!B$47-TEA!B$43-X14-CL14</f>
        <v>235361.28065089832</v>
      </c>
      <c r="CX14" s="21">
        <f>TEA!C$47-TEA!C$43-Y14-CM14</f>
        <v>233335.91287523412</v>
      </c>
      <c r="CY14" s="21" t="e">
        <f>TEA!D$47-TEA!D$43-Z14-CN14</f>
        <v>#VALUE!</v>
      </c>
      <c r="CZ14" s="21" t="e">
        <f>TEA!E$47-TEA!E$43-AA14-CO14</f>
        <v>#VALUE!</v>
      </c>
      <c r="DA14" s="21"/>
      <c r="DB14" s="21">
        <f>TEA!G$47-TEA!G$43-AC14-CQ14</f>
        <v>0</v>
      </c>
      <c r="DC14" s="21">
        <f>TEA!H$47-TEA!H$43-AD14-CR14</f>
        <v>0</v>
      </c>
      <c r="DD14" s="21">
        <f>TEA!I$47-TEA!I$43-AE14-CS14</f>
        <v>4812944.028430949</v>
      </c>
      <c r="DE14" s="21">
        <f>TEA!J$47-TEA!J$43-AF14-CT14</f>
        <v>0</v>
      </c>
      <c r="DF14" s="21">
        <f>TEA!K$47-TEA!K$43-AG14-CU14</f>
        <v>0</v>
      </c>
      <c r="DG14" s="21">
        <f>TEA!L$47-TEA!L$43-AH14-CV14</f>
        <v>0</v>
      </c>
      <c r="DH14" s="21">
        <f>CW14/(1+TEA!B$16)^$A14</f>
        <v>82492.693042267696</v>
      </c>
      <c r="DI14" s="21">
        <f>CX14/(1+TEA!C$16)^$A14</f>
        <v>81782.813992691197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1686907.520510444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-596083.44316777168</v>
      </c>
      <c r="C15" s="21">
        <f t="shared" si="3"/>
        <v>-590790.70623379247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-6895354.5706714392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TEA!B$47-TEA!B$43-M15-AI15</f>
        <v>294201.60081362282</v>
      </c>
      <c r="BF15" s="21">
        <f>TEA!C$47-TEA!C$43-N15-AJ15</f>
        <v>291669.89109404257</v>
      </c>
      <c r="BG15" s="21" t="e">
        <f>TEA!D$47-TEA!D$43-O15-AK15</f>
        <v>#VALUE!</v>
      </c>
      <c r="BH15" s="21" t="e">
        <f>TEA!E$47-TEA!E$43-P15-AL15</f>
        <v>#VALUE!</v>
      </c>
      <c r="BI15" s="21"/>
      <c r="BJ15" s="21">
        <f>TEA!G$47-TEA!G$43-R15-AN15</f>
        <v>0</v>
      </c>
      <c r="BK15" s="21">
        <f>TEA!H$47-TEA!H$43-S15-AO15</f>
        <v>0</v>
      </c>
      <c r="BL15" s="21">
        <f>TEA!I$47-TEA!I$43-T15-AP15</f>
        <v>5203752.4230872402</v>
      </c>
      <c r="BM15" s="21">
        <f>TEA!J$47-TEA!J$43-U15-AQ15</f>
        <v>0</v>
      </c>
      <c r="BN15" s="21">
        <f>TEA!K$47-TEA!K$43-V15-AR15</f>
        <v>0</v>
      </c>
      <c r="BO15" s="21">
        <f>TEA!L$47-TEA!L$43-W15-AS15</f>
        <v>0</v>
      </c>
      <c r="BP15" s="21">
        <f t="shared" si="12"/>
        <v>0</v>
      </c>
      <c r="BQ15" s="21">
        <f t="shared" si="13"/>
        <v>0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7"/>
        <v>0</v>
      </c>
      <c r="BW15" s="21">
        <f t="shared" si="18"/>
        <v>0</v>
      </c>
      <c r="BX15" s="21">
        <f t="shared" si="19"/>
        <v>0</v>
      </c>
      <c r="BY15" s="21">
        <f t="shared" si="20"/>
        <v>0</v>
      </c>
      <c r="BZ15" s="21">
        <f t="shared" si="21"/>
        <v>0</v>
      </c>
      <c r="CA15" s="21">
        <f t="shared" si="22"/>
        <v>294201.60081362282</v>
      </c>
      <c r="CB15" s="21">
        <f t="shared" si="23"/>
        <v>291669.89109404257</v>
      </c>
      <c r="CC15" s="21" t="e">
        <f t="shared" si="24"/>
        <v>#VALUE!</v>
      </c>
      <c r="CD15" s="21" t="e">
        <f t="shared" si="25"/>
        <v>#VALUE!</v>
      </c>
      <c r="CE15" s="21"/>
      <c r="CF15" s="21">
        <f t="shared" si="26"/>
        <v>0</v>
      </c>
      <c r="CG15" s="21">
        <f t="shared" si="27"/>
        <v>0</v>
      </c>
      <c r="CH15" s="21">
        <f t="shared" si="28"/>
        <v>5203752.4230872402</v>
      </c>
      <c r="CI15" s="21">
        <f t="shared" si="29"/>
        <v>0</v>
      </c>
      <c r="CJ15" s="21">
        <f t="shared" si="30"/>
        <v>0</v>
      </c>
      <c r="CK15" s="21">
        <f t="shared" si="31"/>
        <v>0</v>
      </c>
      <c r="CL15" s="21">
        <f>IF(CA15&gt;0,CA15*TEA!B$17-TEA!B$24,0)</f>
        <v>58840.320162724565</v>
      </c>
      <c r="CM15" s="21">
        <f>IF(CB15&gt;0,CB15*TEA!C$17-TEA!C$24,0)</f>
        <v>58333.978218808516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473371.48461744806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TEA!B$47-TEA!B$43-X15-CL15</f>
        <v>235361.28065089832</v>
      </c>
      <c r="CX15" s="21">
        <f>TEA!C$47-TEA!C$43-Y15-CM15</f>
        <v>233335.91287523412</v>
      </c>
      <c r="CY15" s="21" t="e">
        <f>TEA!D$47-TEA!D$43-Z15-CN15</f>
        <v>#VALUE!</v>
      </c>
      <c r="CZ15" s="21" t="e">
        <f>TEA!E$47-TEA!E$43-AA15-CO15</f>
        <v>#VALUE!</v>
      </c>
      <c r="DA15" s="21"/>
      <c r="DB15" s="21">
        <f>TEA!G$47-TEA!G$43-AC15-CQ15</f>
        <v>0</v>
      </c>
      <c r="DC15" s="21">
        <f>TEA!H$47-TEA!H$43-AD15-CR15</f>
        <v>0</v>
      </c>
      <c r="DD15" s="21">
        <f>TEA!I$47-TEA!I$43-AE15-CS15</f>
        <v>4730380.9384697927</v>
      </c>
      <c r="DE15" s="21">
        <f>TEA!J$47-TEA!J$43-AF15-CT15</f>
        <v>0</v>
      </c>
      <c r="DF15" s="21">
        <f>TEA!K$47-TEA!K$43-AG15-CU15</f>
        <v>0</v>
      </c>
      <c r="DG15" s="21">
        <f>TEA!L$47-TEA!L$43-AH15-CV15</f>
        <v>0</v>
      </c>
      <c r="DH15" s="21">
        <f>CW15/(1+TEA!B$16)^$A15</f>
        <v>74993.357311152446</v>
      </c>
      <c r="DI15" s="21">
        <f>CX15/(1+TEA!C$16)^$A15</f>
        <v>74348.012720628365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1507245.1465061139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-527907.66379399667</v>
      </c>
      <c r="C16" s="21">
        <f t="shared" si="3"/>
        <v>-523201.60376049398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-5525131.7102113357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TEA!B$47-TEA!B$43-M16-AI16</f>
        <v>294201.60081362282</v>
      </c>
      <c r="BF16" s="21">
        <f>TEA!C$47-TEA!C$43-N16-AJ16</f>
        <v>291669.89109404257</v>
      </c>
      <c r="BG16" s="21" t="e">
        <f>TEA!D$47-TEA!D$43-O16-AK16</f>
        <v>#VALUE!</v>
      </c>
      <c r="BH16" s="21" t="e">
        <f>TEA!E$47-TEA!E$43-P16-AL16</f>
        <v>#VALUE!</v>
      </c>
      <c r="BI16" s="21"/>
      <c r="BJ16" s="21">
        <f>TEA!G$47-TEA!G$43-R16-AN16</f>
        <v>0</v>
      </c>
      <c r="BK16" s="21">
        <f>TEA!H$47-TEA!H$43-S16-AO16</f>
        <v>0</v>
      </c>
      <c r="BL16" s="21">
        <f>TEA!I$47-TEA!I$43-T16-AP16</f>
        <v>5203752.4230872402</v>
      </c>
      <c r="BM16" s="21">
        <f>TEA!J$47-TEA!J$43-U16-AQ16</f>
        <v>0</v>
      </c>
      <c r="BN16" s="21">
        <f>TEA!K$47-TEA!K$43-V16-AR16</f>
        <v>0</v>
      </c>
      <c r="BO16" s="21">
        <f>TEA!L$47-TEA!L$43-W16-AS16</f>
        <v>0</v>
      </c>
      <c r="BP16" s="21">
        <f t="shared" si="12"/>
        <v>0</v>
      </c>
      <c r="BQ16" s="21">
        <f t="shared" si="13"/>
        <v>0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7"/>
        <v>0</v>
      </c>
      <c r="BW16" s="21">
        <f t="shared" si="18"/>
        <v>0</v>
      </c>
      <c r="BX16" s="21">
        <f t="shared" si="19"/>
        <v>0</v>
      </c>
      <c r="BY16" s="21">
        <f t="shared" si="20"/>
        <v>0</v>
      </c>
      <c r="BZ16" s="21">
        <f t="shared" si="21"/>
        <v>0</v>
      </c>
      <c r="CA16" s="21">
        <f t="shared" si="22"/>
        <v>294201.60081362282</v>
      </c>
      <c r="CB16" s="21">
        <f t="shared" si="23"/>
        <v>291669.89109404257</v>
      </c>
      <c r="CC16" s="21" t="e">
        <f t="shared" si="24"/>
        <v>#VALUE!</v>
      </c>
      <c r="CD16" s="21" t="e">
        <f t="shared" si="25"/>
        <v>#VALUE!</v>
      </c>
      <c r="CE16" s="21"/>
      <c r="CF16" s="21">
        <f t="shared" si="26"/>
        <v>0</v>
      </c>
      <c r="CG16" s="21">
        <f t="shared" si="27"/>
        <v>0</v>
      </c>
      <c r="CH16" s="21">
        <f t="shared" si="28"/>
        <v>5203752.4230872402</v>
      </c>
      <c r="CI16" s="21">
        <f t="shared" si="29"/>
        <v>0</v>
      </c>
      <c r="CJ16" s="21">
        <f t="shared" si="30"/>
        <v>0</v>
      </c>
      <c r="CK16" s="21">
        <f t="shared" si="31"/>
        <v>0</v>
      </c>
      <c r="CL16" s="21">
        <f>IF(CA16&gt;0,CA16*TEA!B$17-TEA!B$24,0)</f>
        <v>58840.320162724565</v>
      </c>
      <c r="CM16" s="21">
        <f>IF(CB16&gt;0,CB16*TEA!C$17-TEA!C$24,0)</f>
        <v>58333.978218808516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473371.48461744806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TEA!B$47-TEA!B$43-X16-CL16</f>
        <v>235361.28065089832</v>
      </c>
      <c r="CX16" s="21">
        <f>TEA!C$47-TEA!C$43-Y16-CM16</f>
        <v>233335.91287523412</v>
      </c>
      <c r="CY16" s="21" t="e">
        <f>TEA!D$47-TEA!D$43-Z16-CN16</f>
        <v>#VALUE!</v>
      </c>
      <c r="CZ16" s="21" t="e">
        <f>TEA!E$47-TEA!E$43-AA16-CO16</f>
        <v>#VALUE!</v>
      </c>
      <c r="DA16" s="21"/>
      <c r="DB16" s="21">
        <f>TEA!G$47-TEA!G$43-AC16-CQ16</f>
        <v>0</v>
      </c>
      <c r="DC16" s="21">
        <f>TEA!H$47-TEA!H$43-AD16-CR16</f>
        <v>0</v>
      </c>
      <c r="DD16" s="21">
        <f>TEA!I$47-TEA!I$43-AE16-CS16</f>
        <v>4730380.9384697927</v>
      </c>
      <c r="DE16" s="21">
        <f>TEA!J$47-TEA!J$43-AF16-CT16</f>
        <v>0</v>
      </c>
      <c r="DF16" s="21">
        <f>TEA!K$47-TEA!K$43-AG16-CU16</f>
        <v>0</v>
      </c>
      <c r="DG16" s="21">
        <f>TEA!L$47-TEA!L$43-AH16-CV16</f>
        <v>0</v>
      </c>
      <c r="DH16" s="21">
        <f>CW16/(1+TEA!B$16)^$A16</f>
        <v>68175.77937377496</v>
      </c>
      <c r="DI16" s="21">
        <f>CX16/(1+TEA!C$16)^$A16</f>
        <v>67589.10247329851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1370222.8604601035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-465929.68254511035</v>
      </c>
      <c r="C17" s="21">
        <f t="shared" si="3"/>
        <v>-461756.96514840447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-4279474.5643385146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TEA!B$47-TEA!B$43-M17-AI17</f>
        <v>294201.60081362288</v>
      </c>
      <c r="BF17" s="21">
        <f>TEA!C$47-TEA!C$43-N17-AJ17</f>
        <v>291669.89109404263</v>
      </c>
      <c r="BG17" s="21" t="e">
        <f>TEA!D$47-TEA!D$43-O17-AK17</f>
        <v>#VALUE!</v>
      </c>
      <c r="BH17" s="21" t="e">
        <f>TEA!E$47-TEA!E$43-P17-AL17</f>
        <v>#VALUE!</v>
      </c>
      <c r="BI17" s="21"/>
      <c r="BJ17" s="21">
        <f>TEA!G$47-TEA!G$43-R17-AN17</f>
        <v>0</v>
      </c>
      <c r="BK17" s="21">
        <f>TEA!H$47-TEA!H$43-S17-AO17</f>
        <v>0</v>
      </c>
      <c r="BL17" s="21">
        <f>TEA!I$47-TEA!I$43-T17-AP17</f>
        <v>5203752.4230872411</v>
      </c>
      <c r="BM17" s="21">
        <f>TEA!J$47-TEA!J$43-U17-AQ17</f>
        <v>0</v>
      </c>
      <c r="BN17" s="21">
        <f>TEA!K$47-TEA!K$43-V17-AR17</f>
        <v>0</v>
      </c>
      <c r="BO17" s="21">
        <f>TEA!L$47-TEA!L$43-W17-AS17</f>
        <v>0</v>
      </c>
      <c r="BP17" s="21">
        <f t="shared" si="12"/>
        <v>0</v>
      </c>
      <c r="BQ17" s="21">
        <f t="shared" si="13"/>
        <v>0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7"/>
        <v>0</v>
      </c>
      <c r="BW17" s="21">
        <f t="shared" si="18"/>
        <v>0</v>
      </c>
      <c r="BX17" s="21">
        <f t="shared" si="19"/>
        <v>0</v>
      </c>
      <c r="BY17" s="21">
        <f t="shared" si="20"/>
        <v>0</v>
      </c>
      <c r="BZ17" s="21">
        <f t="shared" si="21"/>
        <v>0</v>
      </c>
      <c r="CA17" s="21">
        <f t="shared" si="22"/>
        <v>294201.60081362288</v>
      </c>
      <c r="CB17" s="21">
        <f t="shared" si="23"/>
        <v>291669.89109404263</v>
      </c>
      <c r="CC17" s="21" t="e">
        <f t="shared" si="24"/>
        <v>#VALUE!</v>
      </c>
      <c r="CD17" s="21" t="e">
        <f t="shared" si="25"/>
        <v>#VALUE!</v>
      </c>
      <c r="CE17" s="21"/>
      <c r="CF17" s="21">
        <f t="shared" si="26"/>
        <v>0</v>
      </c>
      <c r="CG17" s="21">
        <f t="shared" si="27"/>
        <v>0</v>
      </c>
      <c r="CH17" s="21">
        <f t="shared" si="28"/>
        <v>5203752.4230872411</v>
      </c>
      <c r="CI17" s="21">
        <f t="shared" si="29"/>
        <v>0</v>
      </c>
      <c r="CJ17" s="21">
        <f t="shared" si="30"/>
        <v>0</v>
      </c>
      <c r="CK17" s="21">
        <f t="shared" si="31"/>
        <v>0</v>
      </c>
      <c r="CL17" s="21">
        <f>IF(CA17&gt;0,CA17*TEA!B$17-TEA!B$24,0)</f>
        <v>58840.32016272458</v>
      </c>
      <c r="CM17" s="21">
        <f>IF(CB17&gt;0,CB17*TEA!C$17-TEA!C$24,0)</f>
        <v>58333.97821880853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473371.4846174483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TEA!B$47-TEA!B$43-X17-CL17</f>
        <v>235361.28065089829</v>
      </c>
      <c r="CX17" s="21">
        <f>TEA!C$47-TEA!C$43-Y17-CM17</f>
        <v>233335.91287523409</v>
      </c>
      <c r="CY17" s="21" t="e">
        <f>TEA!D$47-TEA!D$43-Z17-CN17</f>
        <v>#VALUE!</v>
      </c>
      <c r="CZ17" s="21" t="e">
        <f>TEA!E$47-TEA!E$43-AA17-CO17</f>
        <v>#VALUE!</v>
      </c>
      <c r="DA17" s="21"/>
      <c r="DB17" s="21">
        <f>TEA!G$47-TEA!G$43-AC17-CQ17</f>
        <v>0</v>
      </c>
      <c r="DC17" s="21">
        <f>TEA!H$47-TEA!H$43-AD17-CR17</f>
        <v>0</v>
      </c>
      <c r="DD17" s="21">
        <f>TEA!I$47-TEA!I$43-AE17-CS17</f>
        <v>4730380.9384697927</v>
      </c>
      <c r="DE17" s="21">
        <f>TEA!J$47-TEA!J$43-AF17-CT17</f>
        <v>0</v>
      </c>
      <c r="DF17" s="21">
        <f>TEA!K$47-TEA!K$43-AG17-CU17</f>
        <v>0</v>
      </c>
      <c r="DG17" s="21">
        <f>TEA!L$47-TEA!L$43-AH17-CV17</f>
        <v>0</v>
      </c>
      <c r="DH17" s="21">
        <f>CW17/(1+TEA!B$16)^$A17</f>
        <v>61977.981248886303</v>
      </c>
      <c r="DI17" s="21">
        <f>CX17/(1+TEA!C$16)^$A17</f>
        <v>61444.638612089533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1245657.1458728211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-409586.06322794099</v>
      </c>
      <c r="C18" s="21">
        <f t="shared" si="3"/>
        <v>-405898.20277377765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-3147058.9771814044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TEA!B$47-TEA!B$43-M18-AI18</f>
        <v>294201.60081362288</v>
      </c>
      <c r="BF18" s="21">
        <f>TEA!C$47-TEA!C$43-N18-AJ18</f>
        <v>291669.89109404263</v>
      </c>
      <c r="BG18" s="21" t="e">
        <f>TEA!D$47-TEA!D$43-O18-AK18</f>
        <v>#VALUE!</v>
      </c>
      <c r="BH18" s="21" t="e">
        <f>TEA!E$47-TEA!E$43-P18-AL18</f>
        <v>#VALUE!</v>
      </c>
      <c r="BI18" s="21"/>
      <c r="BJ18" s="21">
        <f>TEA!G$47-TEA!G$43-R18-AN18</f>
        <v>0</v>
      </c>
      <c r="BK18" s="21">
        <f>TEA!H$47-TEA!H$43-S18-AO18</f>
        <v>0</v>
      </c>
      <c r="BL18" s="21">
        <f>TEA!I$47-TEA!I$43-T18-AP18</f>
        <v>5203752.4230872411</v>
      </c>
      <c r="BM18" s="21">
        <f>TEA!J$47-TEA!J$43-U18-AQ18</f>
        <v>0</v>
      </c>
      <c r="BN18" s="21">
        <f>TEA!K$47-TEA!K$43-V18-AR18</f>
        <v>0</v>
      </c>
      <c r="BO18" s="21">
        <f>TEA!L$47-TEA!L$43-W18-AS18</f>
        <v>0</v>
      </c>
      <c r="BP18" s="21">
        <f t="shared" si="12"/>
        <v>0</v>
      </c>
      <c r="BQ18" s="21">
        <f t="shared" si="13"/>
        <v>0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7"/>
        <v>0</v>
      </c>
      <c r="BW18" s="21">
        <f t="shared" si="18"/>
        <v>0</v>
      </c>
      <c r="BX18" s="21">
        <f t="shared" si="19"/>
        <v>0</v>
      </c>
      <c r="BY18" s="21">
        <f t="shared" si="20"/>
        <v>0</v>
      </c>
      <c r="BZ18" s="21">
        <f t="shared" si="21"/>
        <v>0</v>
      </c>
      <c r="CA18" s="21">
        <f t="shared" si="22"/>
        <v>294201.60081362288</v>
      </c>
      <c r="CB18" s="21">
        <f t="shared" si="23"/>
        <v>291669.89109404263</v>
      </c>
      <c r="CC18" s="21" t="e">
        <f t="shared" si="24"/>
        <v>#VALUE!</v>
      </c>
      <c r="CD18" s="21" t="e">
        <f t="shared" si="25"/>
        <v>#VALUE!</v>
      </c>
      <c r="CE18" s="21"/>
      <c r="CF18" s="21">
        <f t="shared" si="26"/>
        <v>0</v>
      </c>
      <c r="CG18" s="21">
        <f t="shared" si="27"/>
        <v>0</v>
      </c>
      <c r="CH18" s="21">
        <f t="shared" si="28"/>
        <v>5203752.4230872411</v>
      </c>
      <c r="CI18" s="21">
        <f t="shared" si="29"/>
        <v>0</v>
      </c>
      <c r="CJ18" s="21">
        <f t="shared" si="30"/>
        <v>0</v>
      </c>
      <c r="CK18" s="21">
        <f t="shared" si="31"/>
        <v>0</v>
      </c>
      <c r="CL18" s="21">
        <f>IF(CA18&gt;0,CA18*TEA!B$17-TEA!B$24,0)</f>
        <v>58840.32016272458</v>
      </c>
      <c r="CM18" s="21">
        <f>IF(CB18&gt;0,CB18*TEA!C$17-TEA!C$24,0)</f>
        <v>58333.97821880853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473371.4846174483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TEA!B$47-TEA!B$43-X18-CL18</f>
        <v>235361.28065089829</v>
      </c>
      <c r="CX18" s="21">
        <f>TEA!C$47-TEA!C$43-Y18-CM18</f>
        <v>233335.91287523409</v>
      </c>
      <c r="CY18" s="21" t="e">
        <f>TEA!D$47-TEA!D$43-Z18-CN18</f>
        <v>#VALUE!</v>
      </c>
      <c r="CZ18" s="21" t="e">
        <f>TEA!E$47-TEA!E$43-AA18-CO18</f>
        <v>#VALUE!</v>
      </c>
      <c r="DA18" s="21"/>
      <c r="DB18" s="21">
        <f>TEA!G$47-TEA!G$43-AC18-CQ18</f>
        <v>0</v>
      </c>
      <c r="DC18" s="21">
        <f>TEA!H$47-TEA!H$43-AD18-CR18</f>
        <v>0</v>
      </c>
      <c r="DD18" s="21">
        <f>TEA!I$47-TEA!I$43-AE18-CS18</f>
        <v>4730380.9384697927</v>
      </c>
      <c r="DE18" s="21">
        <f>TEA!J$47-TEA!J$43-AF18-CT18</f>
        <v>0</v>
      </c>
      <c r="DF18" s="21">
        <f>TEA!K$47-TEA!K$43-AG18-CU18</f>
        <v>0</v>
      </c>
      <c r="DG18" s="21">
        <f>TEA!L$47-TEA!L$43-AH18-CV18</f>
        <v>0</v>
      </c>
      <c r="DH18" s="21">
        <f>CW18/(1+TEA!B$16)^$A18</f>
        <v>56343.619317169367</v>
      </c>
      <c r="DI18" s="21">
        <f>CX18/(1+TEA!C$16)^$A18</f>
        <v>55858.762374626851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1132415.5871571102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-358364.59112142341</v>
      </c>
      <c r="C19" s="21">
        <f t="shared" si="3"/>
        <v>-355117.50970593508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-2117590.2615840314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TEA!B$47-TEA!B$43-M19-AI19</f>
        <v>294201.60081362288</v>
      </c>
      <c r="BF19" s="21">
        <f>TEA!C$47-TEA!C$43-N19-AJ19</f>
        <v>291669.89109404263</v>
      </c>
      <c r="BG19" s="21" t="e">
        <f>TEA!D$47-TEA!D$43-O19-AK19</f>
        <v>#VALUE!</v>
      </c>
      <c r="BH19" s="21" t="e">
        <f>TEA!E$47-TEA!E$43-P19-AL19</f>
        <v>#VALUE!</v>
      </c>
      <c r="BI19" s="21"/>
      <c r="BJ19" s="21">
        <f>TEA!G$47-TEA!G$43-R19-AN19</f>
        <v>0</v>
      </c>
      <c r="BK19" s="21">
        <f>TEA!H$47-TEA!H$43-S19-AO19</f>
        <v>0</v>
      </c>
      <c r="BL19" s="21">
        <f>TEA!I$47-TEA!I$43-T19-AP19</f>
        <v>5203752.4230872411</v>
      </c>
      <c r="BM19" s="21">
        <f>TEA!J$47-TEA!J$43-U19-AQ19</f>
        <v>0</v>
      </c>
      <c r="BN19" s="21">
        <f>TEA!K$47-TEA!K$43-V19-AR19</f>
        <v>0</v>
      </c>
      <c r="BO19" s="21">
        <f>TEA!L$47-TEA!L$43-W19-AS19</f>
        <v>0</v>
      </c>
      <c r="BP19" s="21">
        <f t="shared" si="12"/>
        <v>0</v>
      </c>
      <c r="BQ19" s="21">
        <f t="shared" si="13"/>
        <v>0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7"/>
        <v>0</v>
      </c>
      <c r="BW19" s="21">
        <f t="shared" si="18"/>
        <v>0</v>
      </c>
      <c r="BX19" s="21">
        <f t="shared" si="19"/>
        <v>0</v>
      </c>
      <c r="BY19" s="21">
        <f t="shared" si="20"/>
        <v>0</v>
      </c>
      <c r="BZ19" s="21">
        <f t="shared" si="21"/>
        <v>0</v>
      </c>
      <c r="CA19" s="21">
        <f t="shared" si="22"/>
        <v>294201.60081362288</v>
      </c>
      <c r="CB19" s="21">
        <f t="shared" si="23"/>
        <v>291669.89109404263</v>
      </c>
      <c r="CC19" s="21" t="e">
        <f t="shared" si="24"/>
        <v>#VALUE!</v>
      </c>
      <c r="CD19" s="21" t="e">
        <f t="shared" si="25"/>
        <v>#VALUE!</v>
      </c>
      <c r="CE19" s="21"/>
      <c r="CF19" s="21">
        <f t="shared" si="26"/>
        <v>0</v>
      </c>
      <c r="CG19" s="21">
        <f t="shared" si="27"/>
        <v>0</v>
      </c>
      <c r="CH19" s="21">
        <f t="shared" si="28"/>
        <v>5203752.4230872411</v>
      </c>
      <c r="CI19" s="21">
        <f t="shared" si="29"/>
        <v>0</v>
      </c>
      <c r="CJ19" s="21">
        <f t="shared" si="30"/>
        <v>0</v>
      </c>
      <c r="CK19" s="21">
        <f t="shared" si="31"/>
        <v>0</v>
      </c>
      <c r="CL19" s="21">
        <f>IF(CA19&gt;0,CA19*TEA!B$17-TEA!B$24,0)</f>
        <v>58840.32016272458</v>
      </c>
      <c r="CM19" s="21">
        <f>IF(CB19&gt;0,CB19*TEA!C$17-TEA!C$24,0)</f>
        <v>58333.97821880853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473371.4846174483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TEA!B$47-TEA!B$43-X19-CL19</f>
        <v>235361.28065089829</v>
      </c>
      <c r="CX19" s="21">
        <f>TEA!C$47-TEA!C$43-Y19-CM19</f>
        <v>233335.91287523409</v>
      </c>
      <c r="CY19" s="21" t="e">
        <f>TEA!D$47-TEA!D$43-Z19-CN19</f>
        <v>#VALUE!</v>
      </c>
      <c r="CZ19" s="21" t="e">
        <f>TEA!E$47-TEA!E$43-AA19-CO19</f>
        <v>#VALUE!</v>
      </c>
      <c r="DA19" s="21"/>
      <c r="DB19" s="21">
        <f>TEA!G$47-TEA!G$43-AC19-CQ19</f>
        <v>0</v>
      </c>
      <c r="DC19" s="21">
        <f>TEA!H$47-TEA!H$43-AD19-CR19</f>
        <v>0</v>
      </c>
      <c r="DD19" s="21">
        <f>TEA!I$47-TEA!I$43-AE19-CS19</f>
        <v>4730380.9384697927</v>
      </c>
      <c r="DE19" s="21">
        <f>TEA!J$47-TEA!J$43-AF19-CT19</f>
        <v>0</v>
      </c>
      <c r="DF19" s="21">
        <f>TEA!K$47-TEA!K$43-AG19-CU19</f>
        <v>0</v>
      </c>
      <c r="DG19" s="21">
        <f>TEA!L$47-TEA!L$43-AH19-CV19</f>
        <v>0</v>
      </c>
      <c r="DH19" s="21">
        <f>CW19/(1+TEA!B$16)^$A19</f>
        <v>51221.472106517605</v>
      </c>
      <c r="DI19" s="21">
        <f>CX19/(1+TEA!C$16)^$A19</f>
        <v>50780.693067842585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1029468.7155973727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-311799.61647913465</v>
      </c>
      <c r="C20" s="21">
        <f t="shared" si="3"/>
        <v>-308953.24328062363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-1181709.6110409652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TEA!B$47-TEA!B$43-M20-AI20</f>
        <v>294201.60081362288</v>
      </c>
      <c r="BF20" s="21">
        <f>TEA!C$47-TEA!C$43-N20-AJ20</f>
        <v>291669.89109404263</v>
      </c>
      <c r="BG20" s="21" t="e">
        <f>TEA!D$47-TEA!D$43-O20-AK20</f>
        <v>#VALUE!</v>
      </c>
      <c r="BH20" s="21" t="e">
        <f>TEA!E$47-TEA!E$43-P20-AL20</f>
        <v>#VALUE!</v>
      </c>
      <c r="BI20" s="21"/>
      <c r="BJ20" s="21">
        <f>TEA!G$47-TEA!G$43-R20-AN20</f>
        <v>0</v>
      </c>
      <c r="BK20" s="21">
        <f>TEA!H$47-TEA!H$43-S20-AO20</f>
        <v>0</v>
      </c>
      <c r="BL20" s="21">
        <f>TEA!I$47-TEA!I$43-T20-AP20</f>
        <v>5203752.4230872411</v>
      </c>
      <c r="BM20" s="21">
        <f>TEA!J$47-TEA!J$43-U20-AQ20</f>
        <v>0</v>
      </c>
      <c r="BN20" s="21">
        <f>TEA!K$47-TEA!K$43-V20-AR20</f>
        <v>0</v>
      </c>
      <c r="BO20" s="21">
        <f>TEA!L$47-TEA!L$43-W20-AS20</f>
        <v>0</v>
      </c>
      <c r="BP20" s="21">
        <f t="shared" si="12"/>
        <v>0</v>
      </c>
      <c r="BQ20" s="21">
        <f t="shared" si="13"/>
        <v>0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7"/>
        <v>0</v>
      </c>
      <c r="BW20" s="21">
        <f t="shared" si="18"/>
        <v>0</v>
      </c>
      <c r="BX20" s="21">
        <f t="shared" si="19"/>
        <v>0</v>
      </c>
      <c r="BY20" s="21">
        <f t="shared" si="20"/>
        <v>0</v>
      </c>
      <c r="BZ20" s="21">
        <f t="shared" si="21"/>
        <v>0</v>
      </c>
      <c r="CA20" s="21">
        <f t="shared" si="22"/>
        <v>294201.60081362288</v>
      </c>
      <c r="CB20" s="21">
        <f t="shared" si="23"/>
        <v>291669.89109404263</v>
      </c>
      <c r="CC20" s="21" t="e">
        <f t="shared" si="24"/>
        <v>#VALUE!</v>
      </c>
      <c r="CD20" s="21" t="e">
        <f t="shared" si="25"/>
        <v>#VALUE!</v>
      </c>
      <c r="CE20" s="21"/>
      <c r="CF20" s="21">
        <f t="shared" si="26"/>
        <v>0</v>
      </c>
      <c r="CG20" s="21">
        <f t="shared" si="27"/>
        <v>0</v>
      </c>
      <c r="CH20" s="21">
        <f t="shared" si="28"/>
        <v>5203752.4230872411</v>
      </c>
      <c r="CI20" s="21">
        <f t="shared" si="29"/>
        <v>0</v>
      </c>
      <c r="CJ20" s="21">
        <f t="shared" si="30"/>
        <v>0</v>
      </c>
      <c r="CK20" s="21">
        <f t="shared" si="31"/>
        <v>0</v>
      </c>
      <c r="CL20" s="21">
        <f>IF(CA20&gt;0,CA20*TEA!B$17-TEA!B$24,0)</f>
        <v>58840.32016272458</v>
      </c>
      <c r="CM20" s="21">
        <f>IF(CB20&gt;0,CB20*TEA!C$17-TEA!C$24,0)</f>
        <v>58333.97821880853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473371.4846174483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TEA!B$47-TEA!B$43-X20-CL20</f>
        <v>235361.28065089829</v>
      </c>
      <c r="CX20" s="21">
        <f>TEA!C$47-TEA!C$43-Y20-CM20</f>
        <v>233335.91287523409</v>
      </c>
      <c r="CY20" s="21" t="e">
        <f>TEA!D$47-TEA!D$43-Z20-CN20</f>
        <v>#VALUE!</v>
      </c>
      <c r="CZ20" s="21" t="e">
        <f>TEA!E$47-TEA!E$43-AA20-CO20</f>
        <v>#VALUE!</v>
      </c>
      <c r="DA20" s="21"/>
      <c r="DB20" s="21">
        <f>TEA!G$47-TEA!G$43-AC20-CQ20</f>
        <v>0</v>
      </c>
      <c r="DC20" s="21">
        <f>TEA!H$47-TEA!H$43-AD20-CR20</f>
        <v>0</v>
      </c>
      <c r="DD20" s="21">
        <f>TEA!I$47-TEA!I$43-AE20-CS20</f>
        <v>4730380.9384697927</v>
      </c>
      <c r="DE20" s="21">
        <f>TEA!J$47-TEA!J$43-AF20-CT20</f>
        <v>0</v>
      </c>
      <c r="DF20" s="21">
        <f>TEA!K$47-TEA!K$43-AG20-CU20</f>
        <v>0</v>
      </c>
      <c r="DG20" s="21">
        <f>TEA!L$47-TEA!L$43-AH20-CV20</f>
        <v>0</v>
      </c>
      <c r="DH20" s="21">
        <f>CW20/(1+TEA!B$16)^$A20</f>
        <v>46564.974642288733</v>
      </c>
      <c r="DI20" s="21">
        <f>CX20/(1+TEA!C$16)^$A20</f>
        <v>46164.266425311442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935880.65054306621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-269467.82134978124</v>
      </c>
      <c r="C21" s="21">
        <f t="shared" si="3"/>
        <v>-266985.72834852233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-330909.01963817782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TEA!B$47-TEA!B$43-M21-AI21</f>
        <v>294201.60081362288</v>
      </c>
      <c r="BF21" s="21">
        <f>TEA!C$47-TEA!C$43-N21-AJ21</f>
        <v>291669.89109404263</v>
      </c>
      <c r="BG21" s="21" t="e">
        <f>TEA!D$47-TEA!D$43-O21-AK21</f>
        <v>#VALUE!</v>
      </c>
      <c r="BH21" s="21" t="e">
        <f>TEA!E$47-TEA!E$43-P21-AL21</f>
        <v>#VALUE!</v>
      </c>
      <c r="BI21" s="21"/>
      <c r="BJ21" s="21">
        <f>TEA!G$47-TEA!G$43-R21-AN21</f>
        <v>0</v>
      </c>
      <c r="BK21" s="21">
        <f>TEA!H$47-TEA!H$43-S21-AO21</f>
        <v>0</v>
      </c>
      <c r="BL21" s="21">
        <f>TEA!I$47-TEA!I$43-T21-AP21</f>
        <v>5203752.4230872411</v>
      </c>
      <c r="BM21" s="21">
        <f>TEA!J$47-TEA!J$43-U21-AQ21</f>
        <v>0</v>
      </c>
      <c r="BN21" s="21">
        <f>TEA!K$47-TEA!K$43-V21-AR21</f>
        <v>0</v>
      </c>
      <c r="BO21" s="21">
        <f>TEA!L$47-TEA!L$43-W21-AS21</f>
        <v>0</v>
      </c>
      <c r="BP21" s="21">
        <f t="shared" si="12"/>
        <v>0</v>
      </c>
      <c r="BQ21" s="21">
        <f t="shared" si="13"/>
        <v>0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7"/>
        <v>0</v>
      </c>
      <c r="BW21" s="21">
        <f t="shared" si="18"/>
        <v>0</v>
      </c>
      <c r="BX21" s="21">
        <f t="shared" si="19"/>
        <v>0</v>
      </c>
      <c r="BY21" s="21">
        <f t="shared" si="20"/>
        <v>0</v>
      </c>
      <c r="BZ21" s="21">
        <f t="shared" si="21"/>
        <v>0</v>
      </c>
      <c r="CA21" s="21">
        <f t="shared" si="22"/>
        <v>294201.60081362288</v>
      </c>
      <c r="CB21" s="21">
        <f t="shared" si="23"/>
        <v>291669.89109404263</v>
      </c>
      <c r="CC21" s="21" t="e">
        <f t="shared" si="24"/>
        <v>#VALUE!</v>
      </c>
      <c r="CD21" s="21" t="e">
        <f t="shared" si="25"/>
        <v>#VALUE!</v>
      </c>
      <c r="CE21" s="21"/>
      <c r="CF21" s="21">
        <f t="shared" si="26"/>
        <v>0</v>
      </c>
      <c r="CG21" s="21">
        <f t="shared" si="27"/>
        <v>0</v>
      </c>
      <c r="CH21" s="21">
        <f t="shared" si="28"/>
        <v>5203752.4230872411</v>
      </c>
      <c r="CI21" s="21">
        <f t="shared" si="29"/>
        <v>0</v>
      </c>
      <c r="CJ21" s="21">
        <f t="shared" si="30"/>
        <v>0</v>
      </c>
      <c r="CK21" s="21">
        <f t="shared" si="31"/>
        <v>0</v>
      </c>
      <c r="CL21" s="21">
        <f>IF(CA21&gt;0,CA21*TEA!B$17-TEA!B$24,0)</f>
        <v>58840.32016272458</v>
      </c>
      <c r="CM21" s="21">
        <f>IF(CB21&gt;0,CB21*TEA!C$17-TEA!C$24,0)</f>
        <v>58333.97821880853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473371.4846174483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TEA!B$47-TEA!B$43-X21-CL21</f>
        <v>235361.28065089829</v>
      </c>
      <c r="CX21" s="21">
        <f>TEA!C$47-TEA!C$43-Y21-CM21</f>
        <v>233335.91287523409</v>
      </c>
      <c r="CY21" s="21" t="e">
        <f>TEA!D$47-TEA!D$43-Z21-CN21</f>
        <v>#VALUE!</v>
      </c>
      <c r="CZ21" s="21" t="e">
        <f>TEA!E$47-TEA!E$43-AA21-CO21</f>
        <v>#VALUE!</v>
      </c>
      <c r="DA21" s="21"/>
      <c r="DB21" s="21">
        <f>TEA!G$47-TEA!G$43-AC21-CQ21</f>
        <v>0</v>
      </c>
      <c r="DC21" s="21">
        <f>TEA!H$47-TEA!H$43-AD21-CR21</f>
        <v>0</v>
      </c>
      <c r="DD21" s="21">
        <f>TEA!I$47-TEA!I$43-AE21-CS21</f>
        <v>4730380.9384697927</v>
      </c>
      <c r="DE21" s="21">
        <f>TEA!J$47-TEA!J$43-AF21-CT21</f>
        <v>0</v>
      </c>
      <c r="DF21" s="21">
        <f>TEA!K$47-TEA!K$43-AG21-CU21</f>
        <v>0</v>
      </c>
      <c r="DG21" s="21">
        <f>TEA!L$47-TEA!L$43-AH21-CV21</f>
        <v>0</v>
      </c>
      <c r="DH21" s="21">
        <f>CW21/(1+TEA!B$16)^$A21</f>
        <v>42331.795129353384</v>
      </c>
      <c r="DI21" s="21">
        <f>CX21/(1+TEA!C$16)^$A21</f>
        <v>41967.514932101309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850800.59140278737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-230984.37123218726</v>
      </c>
      <c r="C22" s="21">
        <f t="shared" si="3"/>
        <v>-228833.44204661206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442546.06345526502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TEA!B$47-TEA!B$43-M22-AI22</f>
        <v>294201.60081362288</v>
      </c>
      <c r="BF22" s="21">
        <f>TEA!C$47-TEA!C$43-N22-AJ22</f>
        <v>291669.89109404263</v>
      </c>
      <c r="BG22" s="21" t="e">
        <f>TEA!D$47-TEA!D$43-O22-AK22</f>
        <v>#VALUE!</v>
      </c>
      <c r="BH22" s="21" t="e">
        <f>TEA!E$47-TEA!E$43-P22-AL22</f>
        <v>#VALUE!</v>
      </c>
      <c r="BI22" s="21"/>
      <c r="BJ22" s="21">
        <f>TEA!G$47-TEA!G$43-R22-AN22</f>
        <v>0</v>
      </c>
      <c r="BK22" s="21">
        <f>TEA!H$47-TEA!H$43-S22-AO22</f>
        <v>0</v>
      </c>
      <c r="BL22" s="21">
        <f>TEA!I$47-TEA!I$43-T22-AP22</f>
        <v>5203752.4230872411</v>
      </c>
      <c r="BM22" s="21">
        <f>TEA!J$47-TEA!J$43-U22-AQ22</f>
        <v>0</v>
      </c>
      <c r="BN22" s="21">
        <f>TEA!K$47-TEA!K$43-V22-AR22</f>
        <v>0</v>
      </c>
      <c r="BO22" s="21">
        <f>TEA!L$47-TEA!L$43-W22-AS22</f>
        <v>0</v>
      </c>
      <c r="BP22" s="21">
        <f t="shared" si="12"/>
        <v>0</v>
      </c>
      <c r="BQ22" s="21">
        <f t="shared" si="13"/>
        <v>0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7"/>
        <v>0</v>
      </c>
      <c r="BW22" s="21">
        <f t="shared" si="18"/>
        <v>0</v>
      </c>
      <c r="BX22" s="21">
        <f t="shared" si="19"/>
        <v>0</v>
      </c>
      <c r="BY22" s="21">
        <f t="shared" si="20"/>
        <v>0</v>
      </c>
      <c r="BZ22" s="21">
        <f t="shared" si="21"/>
        <v>0</v>
      </c>
      <c r="CA22" s="21">
        <f t="shared" si="22"/>
        <v>294201.60081362288</v>
      </c>
      <c r="CB22" s="21">
        <f t="shared" si="23"/>
        <v>291669.89109404263</v>
      </c>
      <c r="CC22" s="21" t="e">
        <f t="shared" si="24"/>
        <v>#VALUE!</v>
      </c>
      <c r="CD22" s="21" t="e">
        <f t="shared" si="25"/>
        <v>#VALUE!</v>
      </c>
      <c r="CE22" s="21"/>
      <c r="CF22" s="21">
        <f t="shared" si="26"/>
        <v>0</v>
      </c>
      <c r="CG22" s="21">
        <f t="shared" si="27"/>
        <v>0</v>
      </c>
      <c r="CH22" s="21">
        <f t="shared" si="28"/>
        <v>5203752.4230872411</v>
      </c>
      <c r="CI22" s="21">
        <f t="shared" si="29"/>
        <v>0</v>
      </c>
      <c r="CJ22" s="21">
        <f t="shared" si="30"/>
        <v>0</v>
      </c>
      <c r="CK22" s="21">
        <f t="shared" si="31"/>
        <v>0</v>
      </c>
      <c r="CL22" s="21">
        <f>IF(CA22&gt;0,CA22*TEA!B$17-TEA!B$24,0)</f>
        <v>58840.32016272458</v>
      </c>
      <c r="CM22" s="21">
        <f>IF(CB22&gt;0,CB22*TEA!C$17-TEA!C$24,0)</f>
        <v>58333.97821880853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473371.4846174483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TEA!B$47-TEA!B$43-X22-CL22</f>
        <v>235361.28065089829</v>
      </c>
      <c r="CX22" s="21">
        <f>TEA!C$47-TEA!C$43-Y22-CM22</f>
        <v>233335.91287523409</v>
      </c>
      <c r="CY22" s="21" t="e">
        <f>TEA!D$47-TEA!D$43-Z22-CN22</f>
        <v>#VALUE!</v>
      </c>
      <c r="CZ22" s="21" t="e">
        <f>TEA!E$47-TEA!E$43-AA22-CO22</f>
        <v>#VALUE!</v>
      </c>
      <c r="DA22" s="21"/>
      <c r="DB22" s="21">
        <f>TEA!G$47-TEA!G$43-AC22-CQ22</f>
        <v>0</v>
      </c>
      <c r="DC22" s="21">
        <f>TEA!H$47-TEA!H$43-AD22-CR22</f>
        <v>0</v>
      </c>
      <c r="DD22" s="21">
        <f>TEA!I$47-TEA!I$43-AE22-CS22</f>
        <v>4730380.9384697927</v>
      </c>
      <c r="DE22" s="21">
        <f>TEA!J$47-TEA!J$43-AF22-CT22</f>
        <v>0</v>
      </c>
      <c r="DF22" s="21">
        <f>TEA!K$47-TEA!K$43-AG22-CU22</f>
        <v>0</v>
      </c>
      <c r="DG22" s="21">
        <f>TEA!L$47-TEA!L$43-AH22-CV22</f>
        <v>0</v>
      </c>
      <c r="DH22" s="21">
        <f>CW22/(1+TEA!B$16)^$A22</f>
        <v>38483.45011759398</v>
      </c>
      <c r="DI22" s="21">
        <f>CX22/(1+TEA!C$16)^$A22</f>
        <v>38152.286301910273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773455.08309344284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-195999.41657982909</v>
      </c>
      <c r="C23" s="21">
        <f t="shared" si="3"/>
        <v>-194149.54540851183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1145687.0480856677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TEA!B$47-TEA!B$43-M23-AI23</f>
        <v>294201.60081362288</v>
      </c>
      <c r="BF23" s="21">
        <f>TEA!C$47-TEA!C$43-N23-AJ23</f>
        <v>291669.89109404263</v>
      </c>
      <c r="BG23" s="21" t="e">
        <f>TEA!D$47-TEA!D$43-O23-AK23</f>
        <v>#VALUE!</v>
      </c>
      <c r="BH23" s="21" t="e">
        <f>TEA!E$47-TEA!E$43-P23-AL23</f>
        <v>#VALUE!</v>
      </c>
      <c r="BI23" s="21"/>
      <c r="BJ23" s="21">
        <f>TEA!G$47-TEA!G$43-R23-AN23</f>
        <v>0</v>
      </c>
      <c r="BK23" s="21">
        <f>TEA!H$47-TEA!H$43-S23-AO23</f>
        <v>0</v>
      </c>
      <c r="BL23" s="21">
        <f>TEA!I$47-TEA!I$43-T23-AP23</f>
        <v>5203752.4230872411</v>
      </c>
      <c r="BM23" s="21">
        <f>TEA!J$47-TEA!J$43-U23-AQ23</f>
        <v>0</v>
      </c>
      <c r="BN23" s="21">
        <f>TEA!K$47-TEA!K$43-V23-AR23</f>
        <v>0</v>
      </c>
      <c r="BO23" s="21">
        <f>TEA!L$47-TEA!L$43-W23-AS23</f>
        <v>0</v>
      </c>
      <c r="BP23" s="21">
        <f t="shared" si="12"/>
        <v>0</v>
      </c>
      <c r="BQ23" s="21">
        <f t="shared" si="13"/>
        <v>0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7"/>
        <v>0</v>
      </c>
      <c r="BW23" s="21">
        <f t="shared" si="18"/>
        <v>0</v>
      </c>
      <c r="BX23" s="21">
        <f t="shared" si="19"/>
        <v>0</v>
      </c>
      <c r="BY23" s="21">
        <f t="shared" si="20"/>
        <v>0</v>
      </c>
      <c r="BZ23" s="21">
        <f t="shared" si="21"/>
        <v>0</v>
      </c>
      <c r="CA23" s="21">
        <f t="shared" si="22"/>
        <v>294201.60081362288</v>
      </c>
      <c r="CB23" s="21">
        <f t="shared" si="23"/>
        <v>291669.89109404263</v>
      </c>
      <c r="CC23" s="21" t="e">
        <f t="shared" si="24"/>
        <v>#VALUE!</v>
      </c>
      <c r="CD23" s="21" t="e">
        <f t="shared" si="25"/>
        <v>#VALUE!</v>
      </c>
      <c r="CE23" s="21"/>
      <c r="CF23" s="21">
        <f t="shared" si="26"/>
        <v>0</v>
      </c>
      <c r="CG23" s="21">
        <f t="shared" si="27"/>
        <v>0</v>
      </c>
      <c r="CH23" s="21">
        <f t="shared" si="28"/>
        <v>5203752.4230872411</v>
      </c>
      <c r="CI23" s="21">
        <f t="shared" si="29"/>
        <v>0</v>
      </c>
      <c r="CJ23" s="21">
        <f t="shared" si="30"/>
        <v>0</v>
      </c>
      <c r="CK23" s="21">
        <f t="shared" si="31"/>
        <v>0</v>
      </c>
      <c r="CL23" s="21">
        <f>IF(CA23&gt;0,CA23*TEA!B$17-TEA!B$24,0)</f>
        <v>58840.32016272458</v>
      </c>
      <c r="CM23" s="21">
        <f>IF(CB23&gt;0,CB23*TEA!C$17-TEA!C$24,0)</f>
        <v>58333.97821880853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473371.4846174483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TEA!B$47-TEA!B$43-X23-CL23</f>
        <v>235361.28065089829</v>
      </c>
      <c r="CX23" s="21">
        <f>TEA!C$47-TEA!C$43-Y23-CM23</f>
        <v>233335.91287523409</v>
      </c>
      <c r="CY23" s="21" t="e">
        <f>TEA!D$47-TEA!D$43-Z23-CN23</f>
        <v>#VALUE!</v>
      </c>
      <c r="CZ23" s="21" t="e">
        <f>TEA!E$47-TEA!E$43-AA23-CO23</f>
        <v>#VALUE!</v>
      </c>
      <c r="DA23" s="21"/>
      <c r="DB23" s="21">
        <f>TEA!G$47-TEA!G$43-AC23-CQ23</f>
        <v>0</v>
      </c>
      <c r="DC23" s="21">
        <f>TEA!H$47-TEA!H$43-AD23-CR23</f>
        <v>0</v>
      </c>
      <c r="DD23" s="21">
        <f>TEA!I$47-TEA!I$43-AE23-CS23</f>
        <v>4730380.9384697927</v>
      </c>
      <c r="DE23" s="21">
        <f>TEA!J$47-TEA!J$43-AF23-CT23</f>
        <v>0</v>
      </c>
      <c r="DF23" s="21">
        <f>TEA!K$47-TEA!K$43-AG23-CU23</f>
        <v>0</v>
      </c>
      <c r="DG23" s="21">
        <f>TEA!L$47-TEA!L$43-AH23-CV23</f>
        <v>0</v>
      </c>
      <c r="DH23" s="21">
        <f>CW23/(1+TEA!B$16)^$A23</f>
        <v>34984.954652358167</v>
      </c>
      <c r="DI23" s="21">
        <f>CX23/(1+TEA!C$16)^$A23</f>
        <v>34683.896638100246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703140.98463040264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-164194.91235041257</v>
      </c>
      <c r="C24" s="21">
        <f t="shared" si="3"/>
        <v>-162618.73028296616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1784906.1250223974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TEA!B$47-TEA!B$43-M24-AI24</f>
        <v>294201.60081362288</v>
      </c>
      <c r="BF24" s="21">
        <f>TEA!C$47-TEA!C$43-N24-AJ24</f>
        <v>291669.89109404263</v>
      </c>
      <c r="BG24" s="21" t="e">
        <f>TEA!D$47-TEA!D$43-O24-AK24</f>
        <v>#VALUE!</v>
      </c>
      <c r="BH24" s="21" t="e">
        <f>TEA!E$47-TEA!E$43-P24-AL24</f>
        <v>#VALUE!</v>
      </c>
      <c r="BI24" s="21"/>
      <c r="BJ24" s="21">
        <f>TEA!G$47-TEA!G$43-R24-AN24</f>
        <v>0</v>
      </c>
      <c r="BK24" s="21">
        <f>TEA!H$47-TEA!H$43-S24-AO24</f>
        <v>0</v>
      </c>
      <c r="BL24" s="21">
        <f>TEA!I$47-TEA!I$43-T24-AP24</f>
        <v>5203752.4230872411</v>
      </c>
      <c r="BM24" s="21">
        <f>TEA!J$47-TEA!J$43-U24-AQ24</f>
        <v>0</v>
      </c>
      <c r="BN24" s="21">
        <f>TEA!K$47-TEA!K$43-V24-AR24</f>
        <v>0</v>
      </c>
      <c r="BO24" s="21">
        <f>TEA!L$47-TEA!L$43-W24-AS24</f>
        <v>0</v>
      </c>
      <c r="BP24" s="21">
        <f t="shared" si="12"/>
        <v>0</v>
      </c>
      <c r="BQ24" s="21">
        <f t="shared" si="13"/>
        <v>0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7"/>
        <v>0</v>
      </c>
      <c r="BW24" s="21">
        <f t="shared" si="18"/>
        <v>0</v>
      </c>
      <c r="BX24" s="21">
        <f t="shared" si="19"/>
        <v>0</v>
      </c>
      <c r="BY24" s="21">
        <f t="shared" si="20"/>
        <v>0</v>
      </c>
      <c r="BZ24" s="21">
        <f t="shared" si="21"/>
        <v>0</v>
      </c>
      <c r="CA24" s="21">
        <f t="shared" si="22"/>
        <v>294201.60081362288</v>
      </c>
      <c r="CB24" s="21">
        <f t="shared" si="23"/>
        <v>291669.89109404263</v>
      </c>
      <c r="CC24" s="21" t="e">
        <f t="shared" si="24"/>
        <v>#VALUE!</v>
      </c>
      <c r="CD24" s="21" t="e">
        <f t="shared" si="25"/>
        <v>#VALUE!</v>
      </c>
      <c r="CE24" s="21"/>
      <c r="CF24" s="21">
        <f t="shared" si="26"/>
        <v>0</v>
      </c>
      <c r="CG24" s="21">
        <f t="shared" si="27"/>
        <v>0</v>
      </c>
      <c r="CH24" s="21">
        <f t="shared" si="28"/>
        <v>5203752.4230872411</v>
      </c>
      <c r="CI24" s="21">
        <f t="shared" si="29"/>
        <v>0</v>
      </c>
      <c r="CJ24" s="21">
        <f t="shared" si="30"/>
        <v>0</v>
      </c>
      <c r="CK24" s="21">
        <f t="shared" si="31"/>
        <v>0</v>
      </c>
      <c r="CL24" s="21">
        <f>IF(CA24&gt;0,CA24*TEA!B$17-TEA!B$24,0)</f>
        <v>58840.32016272458</v>
      </c>
      <c r="CM24" s="21">
        <f>IF(CB24&gt;0,CB24*TEA!C$17-TEA!C$24,0)</f>
        <v>58333.97821880853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473371.4846174483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TEA!B$47-TEA!B$43-X24-CL24</f>
        <v>235361.28065089829</v>
      </c>
      <c r="CX24" s="21">
        <f>TEA!C$47-TEA!C$43-Y24-CM24</f>
        <v>233335.91287523409</v>
      </c>
      <c r="CY24" s="21" t="e">
        <f>TEA!D$47-TEA!D$43-Z24-CN24</f>
        <v>#VALUE!</v>
      </c>
      <c r="CZ24" s="21" t="e">
        <f>TEA!E$47-TEA!E$43-AA24-CO24</f>
        <v>#VALUE!</v>
      </c>
      <c r="DA24" s="21"/>
      <c r="DB24" s="21">
        <f>TEA!G$47-TEA!G$43-AC24-CQ24</f>
        <v>0</v>
      </c>
      <c r="DC24" s="21">
        <f>TEA!H$47-TEA!H$43-AD24-CR24</f>
        <v>0</v>
      </c>
      <c r="DD24" s="21">
        <f>TEA!I$47-TEA!I$43-AE24-CS24</f>
        <v>4730380.9384697927</v>
      </c>
      <c r="DE24" s="21">
        <f>TEA!J$47-TEA!J$43-AF24-CT24</f>
        <v>0</v>
      </c>
      <c r="DF24" s="21">
        <f>TEA!K$47-TEA!K$43-AG24-CU24</f>
        <v>0</v>
      </c>
      <c r="DG24" s="21">
        <f>TEA!L$47-TEA!L$43-AH24-CV24</f>
        <v>0</v>
      </c>
      <c r="DH24" s="21">
        <f>CW24/(1+TEA!B$16)^$A24</f>
        <v>31804.50422941651</v>
      </c>
      <c r="DI24" s="21">
        <f>CX24/(1+TEA!C$16)^$A24</f>
        <v>31530.815125545676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639219.0769367296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-135281.72668730665</v>
      </c>
      <c r="C25" s="21">
        <f t="shared" si="3"/>
        <v>-133954.35289610646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2366014.3767830608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TEA!B$47-TEA!B$43-M25-AI25</f>
        <v>294201.60081362288</v>
      </c>
      <c r="BF25" s="21">
        <f>TEA!C$47-TEA!C$43-N25-AJ25</f>
        <v>291669.89109404263</v>
      </c>
      <c r="BG25" s="21" t="e">
        <f>TEA!D$47-TEA!D$43-O25-AK25</f>
        <v>#VALUE!</v>
      </c>
      <c r="BH25" s="21" t="e">
        <f>TEA!E$47-TEA!E$43-P25-AL25</f>
        <v>#VALUE!</v>
      </c>
      <c r="BI25" s="21"/>
      <c r="BJ25" s="21">
        <f>TEA!G$47-TEA!G$43-R25-AN25</f>
        <v>0</v>
      </c>
      <c r="BK25" s="21">
        <f>TEA!H$47-TEA!H$43-S25-AO25</f>
        <v>0</v>
      </c>
      <c r="BL25" s="21">
        <f>TEA!I$47-TEA!I$43-T25-AP25</f>
        <v>5203752.4230872411</v>
      </c>
      <c r="BM25" s="21">
        <f>TEA!J$47-TEA!J$43-U25-AQ25</f>
        <v>0</v>
      </c>
      <c r="BN25" s="21">
        <f>TEA!K$47-TEA!K$43-V25-AR25</f>
        <v>0</v>
      </c>
      <c r="BO25" s="21">
        <f>TEA!L$47-TEA!L$43-W25-AS25</f>
        <v>0</v>
      </c>
      <c r="BP25" s="21">
        <f t="shared" si="12"/>
        <v>0</v>
      </c>
      <c r="BQ25" s="21">
        <f t="shared" si="13"/>
        <v>0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7"/>
        <v>0</v>
      </c>
      <c r="BW25" s="21">
        <f t="shared" si="18"/>
        <v>0</v>
      </c>
      <c r="BX25" s="21">
        <f t="shared" si="19"/>
        <v>0</v>
      </c>
      <c r="BY25" s="21">
        <f t="shared" si="20"/>
        <v>0</v>
      </c>
      <c r="BZ25" s="21">
        <f t="shared" si="21"/>
        <v>0</v>
      </c>
      <c r="CA25" s="21">
        <f t="shared" si="22"/>
        <v>294201.60081362288</v>
      </c>
      <c r="CB25" s="21">
        <f t="shared" si="23"/>
        <v>291669.89109404263</v>
      </c>
      <c r="CC25" s="21" t="e">
        <f t="shared" si="24"/>
        <v>#VALUE!</v>
      </c>
      <c r="CD25" s="21" t="e">
        <f t="shared" si="25"/>
        <v>#VALUE!</v>
      </c>
      <c r="CE25" s="21"/>
      <c r="CF25" s="21">
        <f t="shared" si="26"/>
        <v>0</v>
      </c>
      <c r="CG25" s="21">
        <f t="shared" si="27"/>
        <v>0</v>
      </c>
      <c r="CH25" s="21">
        <f t="shared" si="28"/>
        <v>5203752.4230872411</v>
      </c>
      <c r="CI25" s="21">
        <f t="shared" si="29"/>
        <v>0</v>
      </c>
      <c r="CJ25" s="21">
        <f t="shared" si="30"/>
        <v>0</v>
      </c>
      <c r="CK25" s="21">
        <f t="shared" si="31"/>
        <v>0</v>
      </c>
      <c r="CL25" s="21">
        <f>IF(CA25&gt;0,CA25*TEA!B$17-TEA!B$24,0)</f>
        <v>58840.32016272458</v>
      </c>
      <c r="CM25" s="21">
        <f>IF(CB25&gt;0,CB25*TEA!C$17-TEA!C$24,0)</f>
        <v>58333.97821880853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473371.4846174483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TEA!B$47-TEA!B$43-X25-CL25</f>
        <v>235361.28065089829</v>
      </c>
      <c r="CX25" s="21">
        <f>TEA!C$47-TEA!C$43-Y25-CM25</f>
        <v>233335.91287523409</v>
      </c>
      <c r="CY25" s="21" t="e">
        <f>TEA!D$47-TEA!D$43-Z25-CN25</f>
        <v>#VALUE!</v>
      </c>
      <c r="CZ25" s="21" t="e">
        <f>TEA!E$47-TEA!E$43-AA25-CO25</f>
        <v>#VALUE!</v>
      </c>
      <c r="DA25" s="21"/>
      <c r="DB25" s="21">
        <f>TEA!G$47-TEA!G$43-AC25-CQ25</f>
        <v>0</v>
      </c>
      <c r="DC25" s="21">
        <f>TEA!H$47-TEA!H$43-AD25-CR25</f>
        <v>0</v>
      </c>
      <c r="DD25" s="21">
        <f>TEA!I$47-TEA!I$43-AE25-CS25</f>
        <v>4730380.9384697927</v>
      </c>
      <c r="DE25" s="21">
        <f>TEA!J$47-TEA!J$43-AF25-CT25</f>
        <v>0</v>
      </c>
      <c r="DF25" s="21">
        <f>TEA!K$47-TEA!K$43-AG25-CU25</f>
        <v>0</v>
      </c>
      <c r="DG25" s="21">
        <f>TEA!L$47-TEA!L$43-AH25-CV25</f>
        <v>0</v>
      </c>
      <c r="DH25" s="21">
        <f>CW25/(1+TEA!B$16)^$A25</f>
        <v>28913.185663105916</v>
      </c>
      <c r="DI25" s="21">
        <f>CX25/(1+TEA!C$16)^$A25</f>
        <v>28664.377386859702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581108.25176066323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-108997.01244811947</v>
      </c>
      <c r="C26" s="21">
        <f t="shared" si="3"/>
        <v>-107895.82799896128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2894294.605656391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TEA!B$47-TEA!B$43-M26-AI26</f>
        <v>294201.60081362288</v>
      </c>
      <c r="BF26" s="21">
        <f>TEA!C$47-TEA!C$43-N26-AJ26</f>
        <v>291669.89109404263</v>
      </c>
      <c r="BG26" s="21" t="e">
        <f>TEA!D$47-TEA!D$43-O26-AK26</f>
        <v>#VALUE!</v>
      </c>
      <c r="BH26" s="21" t="e">
        <f>TEA!E$47-TEA!E$43-P26-AL26</f>
        <v>#VALUE!</v>
      </c>
      <c r="BI26" s="21"/>
      <c r="BJ26" s="21">
        <f>TEA!G$47-TEA!G$43-R26-AN26</f>
        <v>0</v>
      </c>
      <c r="BK26" s="21">
        <f>TEA!H$47-TEA!H$43-S26-AO26</f>
        <v>0</v>
      </c>
      <c r="BL26" s="21">
        <f>TEA!I$47-TEA!I$43-T26-AP26</f>
        <v>5203752.4230872411</v>
      </c>
      <c r="BM26" s="21">
        <f>TEA!J$47-TEA!J$43-U26-AQ26</f>
        <v>0</v>
      </c>
      <c r="BN26" s="21">
        <f>TEA!K$47-TEA!K$43-V26-AR26</f>
        <v>0</v>
      </c>
      <c r="BO26" s="21">
        <f>TEA!L$47-TEA!L$43-W26-AS26</f>
        <v>0</v>
      </c>
      <c r="BP26" s="21">
        <f t="shared" si="12"/>
        <v>0</v>
      </c>
      <c r="BQ26" s="21">
        <f t="shared" si="13"/>
        <v>0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7"/>
        <v>0</v>
      </c>
      <c r="BW26" s="21">
        <f t="shared" si="18"/>
        <v>0</v>
      </c>
      <c r="BX26" s="21">
        <f t="shared" si="19"/>
        <v>0</v>
      </c>
      <c r="BY26" s="21">
        <f t="shared" si="20"/>
        <v>0</v>
      </c>
      <c r="BZ26" s="21">
        <f t="shared" si="21"/>
        <v>0</v>
      </c>
      <c r="CA26" s="21">
        <f t="shared" si="22"/>
        <v>294201.60081362288</v>
      </c>
      <c r="CB26" s="21">
        <f t="shared" si="23"/>
        <v>291669.89109404263</v>
      </c>
      <c r="CC26" s="21" t="e">
        <f t="shared" si="24"/>
        <v>#VALUE!</v>
      </c>
      <c r="CD26" s="21" t="e">
        <f t="shared" si="25"/>
        <v>#VALUE!</v>
      </c>
      <c r="CE26" s="21"/>
      <c r="CF26" s="21">
        <f t="shared" si="26"/>
        <v>0</v>
      </c>
      <c r="CG26" s="21">
        <f t="shared" si="27"/>
        <v>0</v>
      </c>
      <c r="CH26" s="21">
        <f t="shared" si="28"/>
        <v>5203752.4230872411</v>
      </c>
      <c r="CI26" s="21">
        <f t="shared" si="29"/>
        <v>0</v>
      </c>
      <c r="CJ26" s="21">
        <f t="shared" si="30"/>
        <v>0</v>
      </c>
      <c r="CK26" s="21">
        <f t="shared" si="31"/>
        <v>0</v>
      </c>
      <c r="CL26" s="21">
        <f>IF(CA26&gt;0,CA26*TEA!B$17-TEA!B$24,0)</f>
        <v>58840.32016272458</v>
      </c>
      <c r="CM26" s="21">
        <f>IF(CB26&gt;0,CB26*TEA!C$17-TEA!C$24,0)</f>
        <v>58333.97821880853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473371.4846174483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TEA!B$47-TEA!B$43-X26-CL26</f>
        <v>235361.28065089829</v>
      </c>
      <c r="CX26" s="21">
        <f>TEA!C$47-TEA!C$43-Y26-CM26</f>
        <v>233335.91287523409</v>
      </c>
      <c r="CY26" s="21" t="e">
        <f>TEA!D$47-TEA!D$43-Z26-CN26</f>
        <v>#VALUE!</v>
      </c>
      <c r="CZ26" s="21" t="e">
        <f>TEA!E$47-TEA!E$43-AA26-CO26</f>
        <v>#VALUE!</v>
      </c>
      <c r="DA26" s="21"/>
      <c r="DB26" s="21">
        <f>TEA!G$47-TEA!G$43-AC26-CQ26</f>
        <v>0</v>
      </c>
      <c r="DC26" s="21">
        <f>TEA!H$47-TEA!H$43-AD26-CR26</f>
        <v>0</v>
      </c>
      <c r="DD26" s="21">
        <f>TEA!I$47-TEA!I$43-AE26-CS26</f>
        <v>4730380.9384697927</v>
      </c>
      <c r="DE26" s="21">
        <f>TEA!J$47-TEA!J$43-AF26-CT26</f>
        <v>0</v>
      </c>
      <c r="DF26" s="21">
        <f>TEA!K$47-TEA!K$43-AG26-CU26</f>
        <v>0</v>
      </c>
      <c r="DG26" s="21">
        <f>TEA!L$47-TEA!L$43-AH26-CV26</f>
        <v>0</v>
      </c>
      <c r="DH26" s="21">
        <f>CW26/(1+TEA!B$16)^$A26</f>
        <v>26284.714239187193</v>
      </c>
      <c r="DI26" s="21">
        <f>CX26/(1+TEA!C$16)^$A26</f>
        <v>26058.524897145184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528280.22887333017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-85101.81768522202</v>
      </c>
      <c r="C27" s="21">
        <f t="shared" si="3"/>
        <v>-84206.259910647466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3374549.3591776001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TEA!B$47-TEA!B$43-M27-AI27</f>
        <v>294201.60081362288</v>
      </c>
      <c r="BF27" s="21">
        <f>TEA!C$47-TEA!C$43-N27-AJ27</f>
        <v>291669.89109404263</v>
      </c>
      <c r="BG27" s="21" t="e">
        <f>TEA!D$47-TEA!D$43-O27-AK27</f>
        <v>#VALUE!</v>
      </c>
      <c r="BH27" s="21" t="e">
        <f>TEA!E$47-TEA!E$43-P27-AL27</f>
        <v>#VALUE!</v>
      </c>
      <c r="BI27" s="21"/>
      <c r="BJ27" s="21">
        <f>TEA!G$47-TEA!G$43-R27-AN27</f>
        <v>0</v>
      </c>
      <c r="BK27" s="21">
        <f>TEA!H$47-TEA!H$43-S27-AO27</f>
        <v>0</v>
      </c>
      <c r="BL27" s="21">
        <f>TEA!I$47-TEA!I$43-T27-AP27</f>
        <v>5203752.4230872411</v>
      </c>
      <c r="BM27" s="21">
        <f>TEA!J$47-TEA!J$43-U27-AQ27</f>
        <v>0</v>
      </c>
      <c r="BN27" s="21">
        <f>TEA!K$47-TEA!K$43-V27-AR27</f>
        <v>0</v>
      </c>
      <c r="BO27" s="21">
        <f>TEA!L$47-TEA!L$43-W27-AS27</f>
        <v>0</v>
      </c>
      <c r="BP27" s="21">
        <f t="shared" si="12"/>
        <v>0</v>
      </c>
      <c r="BQ27" s="21">
        <f t="shared" si="13"/>
        <v>0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7"/>
        <v>0</v>
      </c>
      <c r="BW27" s="21">
        <f t="shared" si="18"/>
        <v>0</v>
      </c>
      <c r="BX27" s="21">
        <f t="shared" si="19"/>
        <v>0</v>
      </c>
      <c r="BY27" s="21">
        <f t="shared" si="20"/>
        <v>0</v>
      </c>
      <c r="BZ27" s="21">
        <f t="shared" si="21"/>
        <v>0</v>
      </c>
      <c r="CA27" s="21">
        <f t="shared" si="22"/>
        <v>294201.60081362288</v>
      </c>
      <c r="CB27" s="21">
        <f t="shared" si="23"/>
        <v>291669.89109404263</v>
      </c>
      <c r="CC27" s="21" t="e">
        <f t="shared" si="24"/>
        <v>#VALUE!</v>
      </c>
      <c r="CD27" s="21" t="e">
        <f t="shared" si="25"/>
        <v>#VALUE!</v>
      </c>
      <c r="CE27" s="21"/>
      <c r="CF27" s="21">
        <f t="shared" si="26"/>
        <v>0</v>
      </c>
      <c r="CG27" s="21">
        <f t="shared" si="27"/>
        <v>0</v>
      </c>
      <c r="CH27" s="21">
        <f t="shared" si="28"/>
        <v>5203752.4230872411</v>
      </c>
      <c r="CI27" s="21">
        <f t="shared" si="29"/>
        <v>0</v>
      </c>
      <c r="CJ27" s="21">
        <f t="shared" si="30"/>
        <v>0</v>
      </c>
      <c r="CK27" s="21">
        <f t="shared" si="31"/>
        <v>0</v>
      </c>
      <c r="CL27" s="21">
        <f>IF(CA27&gt;0,CA27*TEA!B$17-TEA!B$24,0)</f>
        <v>58840.32016272458</v>
      </c>
      <c r="CM27" s="21">
        <f>IF(CB27&gt;0,CB27*TEA!C$17-TEA!C$24,0)</f>
        <v>58333.97821880853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473371.4846174483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TEA!B$47-TEA!B$43-X27-CL27</f>
        <v>235361.28065089829</v>
      </c>
      <c r="CX27" s="21">
        <f>TEA!C$47-TEA!C$43-Y27-CM27</f>
        <v>233335.91287523409</v>
      </c>
      <c r="CY27" s="21" t="e">
        <f>TEA!D$47-TEA!D$43-Z27-CN27</f>
        <v>#VALUE!</v>
      </c>
      <c r="CZ27" s="21" t="e">
        <f>TEA!E$47-TEA!E$43-AA27-CO27</f>
        <v>#VALUE!</v>
      </c>
      <c r="DA27" s="21"/>
      <c r="DB27" s="21">
        <f>TEA!G$47-TEA!G$43-AC27-CQ27</f>
        <v>0</v>
      </c>
      <c r="DC27" s="21">
        <f>TEA!H$47-TEA!H$43-AD27-CR27</f>
        <v>0</v>
      </c>
      <c r="DD27" s="21">
        <f>TEA!I$47-TEA!I$43-AE27-CS27</f>
        <v>4730380.9384697927</v>
      </c>
      <c r="DE27" s="21">
        <f>TEA!J$47-TEA!J$43-AF27-CT27</f>
        <v>0</v>
      </c>
      <c r="DF27" s="21">
        <f>TEA!K$47-TEA!K$43-AG27-CU27</f>
        <v>0</v>
      </c>
      <c r="DG27" s="21">
        <f>TEA!L$47-TEA!L$43-AH27-CV27</f>
        <v>0</v>
      </c>
      <c r="DH27" s="21">
        <f>CW27/(1+TEA!B$16)^$A27</f>
        <v>23895.194762897452</v>
      </c>
      <c r="DI27" s="21">
        <f>CX27/(1+TEA!C$16)^$A27</f>
        <v>23689.568088313805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480254.75352120929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-63378.91335531525</v>
      </c>
      <c r="C28" s="21">
        <f t="shared" si="3"/>
        <v>-62670.288921271283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3811144.5896514268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TEA!B$47-TEA!B$43-M28-AI28</f>
        <v>294201.60081362288</v>
      </c>
      <c r="BF28" s="21">
        <f>TEA!C$47-TEA!C$43-N28-AJ28</f>
        <v>291669.89109404263</v>
      </c>
      <c r="BG28" s="21" t="e">
        <f>TEA!D$47-TEA!D$43-O28-AK28</f>
        <v>#VALUE!</v>
      </c>
      <c r="BH28" s="21" t="e">
        <f>TEA!E$47-TEA!E$43-P28-AL28</f>
        <v>#VALUE!</v>
      </c>
      <c r="BI28" s="21"/>
      <c r="BJ28" s="21">
        <f>TEA!G$47-TEA!G$43-R28-AN28</f>
        <v>0</v>
      </c>
      <c r="BK28" s="21">
        <f>TEA!H$47-TEA!H$43-S28-AO28</f>
        <v>0</v>
      </c>
      <c r="BL28" s="21">
        <f>TEA!I$47-TEA!I$43-T28-AP28</f>
        <v>5203752.4230872411</v>
      </c>
      <c r="BM28" s="21">
        <f>TEA!J$47-TEA!J$43-U28-AQ28</f>
        <v>0</v>
      </c>
      <c r="BN28" s="21">
        <f>TEA!K$47-TEA!K$43-V28-AR28</f>
        <v>0</v>
      </c>
      <c r="BO28" s="21">
        <f>TEA!L$47-TEA!L$43-W28-AS28</f>
        <v>0</v>
      </c>
      <c r="BP28" s="21">
        <f t="shared" si="12"/>
        <v>0</v>
      </c>
      <c r="BQ28" s="21">
        <f t="shared" si="13"/>
        <v>0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7"/>
        <v>0</v>
      </c>
      <c r="BW28" s="21">
        <f t="shared" si="18"/>
        <v>0</v>
      </c>
      <c r="BX28" s="21">
        <f t="shared" si="19"/>
        <v>0</v>
      </c>
      <c r="BY28" s="21">
        <f t="shared" si="20"/>
        <v>0</v>
      </c>
      <c r="BZ28" s="21">
        <f t="shared" si="21"/>
        <v>0</v>
      </c>
      <c r="CA28" s="21">
        <f t="shared" si="22"/>
        <v>294201.60081362288</v>
      </c>
      <c r="CB28" s="21">
        <f t="shared" si="23"/>
        <v>291669.89109404263</v>
      </c>
      <c r="CC28" s="21" t="e">
        <f t="shared" si="24"/>
        <v>#VALUE!</v>
      </c>
      <c r="CD28" s="21" t="e">
        <f t="shared" si="25"/>
        <v>#VALUE!</v>
      </c>
      <c r="CE28" s="21"/>
      <c r="CF28" s="21">
        <f t="shared" si="26"/>
        <v>0</v>
      </c>
      <c r="CG28" s="21">
        <f t="shared" si="27"/>
        <v>0</v>
      </c>
      <c r="CH28" s="21">
        <f t="shared" si="28"/>
        <v>5203752.4230872411</v>
      </c>
      <c r="CI28" s="21">
        <f t="shared" si="29"/>
        <v>0</v>
      </c>
      <c r="CJ28" s="21">
        <f t="shared" si="30"/>
        <v>0</v>
      </c>
      <c r="CK28" s="21">
        <f t="shared" si="31"/>
        <v>0</v>
      </c>
      <c r="CL28" s="21">
        <f>IF(CA28&gt;0,CA28*TEA!B$17-TEA!B$24,0)</f>
        <v>58840.32016272458</v>
      </c>
      <c r="CM28" s="21">
        <f>IF(CB28&gt;0,CB28*TEA!C$17-TEA!C$24,0)</f>
        <v>58333.97821880853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473371.4846174483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TEA!B$47-TEA!B$43-X28-CL28</f>
        <v>235361.28065089829</v>
      </c>
      <c r="CX28" s="21">
        <f>TEA!C$47-TEA!C$43-Y28-CM28</f>
        <v>233335.91287523409</v>
      </c>
      <c r="CY28" s="21" t="e">
        <f>TEA!D$47-TEA!D$43-Z28-CN28</f>
        <v>#VALUE!</v>
      </c>
      <c r="CZ28" s="21" t="e">
        <f>TEA!E$47-TEA!E$43-AA28-CO28</f>
        <v>#VALUE!</v>
      </c>
      <c r="DA28" s="21"/>
      <c r="DB28" s="21">
        <f>TEA!G$47-TEA!G$43-AC28-CQ28</f>
        <v>0</v>
      </c>
      <c r="DC28" s="21">
        <f>TEA!H$47-TEA!H$43-AD28-CR28</f>
        <v>0</v>
      </c>
      <c r="DD28" s="21">
        <f>TEA!I$47-TEA!I$43-AE28-CS28</f>
        <v>4730380.9384697927</v>
      </c>
      <c r="DE28" s="21">
        <f>TEA!J$47-TEA!J$43-AF28-CT28</f>
        <v>0</v>
      </c>
      <c r="DF28" s="21">
        <f>TEA!K$47-TEA!K$43-AG28-CU28</f>
        <v>0</v>
      </c>
      <c r="DG28" s="21">
        <f>TEA!L$47-TEA!L$43-AH28-CV28</f>
        <v>0</v>
      </c>
      <c r="DH28" s="21">
        <f>CW28/(1+TEA!B$16)^$A28</f>
        <v>21722.904329906771</v>
      </c>
      <c r="DI28" s="21">
        <f>CX28/(1+TEA!C$16)^$A28</f>
        <v>21535.970989376183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436595.23047382652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-43630.818509945457</v>
      </c>
      <c r="C29" s="21">
        <f t="shared" si="3"/>
        <v>-43092.133476383846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4208049.3446276328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TEA!B$47-TEA!B$43-M29-AI29</f>
        <v>294201.60081362288</v>
      </c>
      <c r="BF29" s="21">
        <f>TEA!C$47-TEA!C$43-N29-AJ29</f>
        <v>291669.89109404263</v>
      </c>
      <c r="BG29" s="21" t="e">
        <f>TEA!D$47-TEA!D$43-O29-AK29</f>
        <v>#VALUE!</v>
      </c>
      <c r="BH29" s="21" t="e">
        <f>TEA!E$47-TEA!E$43-P29-AL29</f>
        <v>#VALUE!</v>
      </c>
      <c r="BI29" s="21"/>
      <c r="BJ29" s="21">
        <f>TEA!G$47-TEA!G$43-R29-AN29</f>
        <v>0</v>
      </c>
      <c r="BK29" s="21">
        <f>TEA!H$47-TEA!H$43-S29-AO29</f>
        <v>0</v>
      </c>
      <c r="BL29" s="21">
        <f>TEA!I$47-TEA!I$43-T29-AP29</f>
        <v>5203752.4230872411</v>
      </c>
      <c r="BM29" s="21">
        <f>TEA!J$47-TEA!J$43-U29-AQ29</f>
        <v>0</v>
      </c>
      <c r="BN29" s="21">
        <f>TEA!K$47-TEA!K$43-V29-AR29</f>
        <v>0</v>
      </c>
      <c r="BO29" s="21">
        <f>TEA!L$47-TEA!L$43-W29-AS29</f>
        <v>0</v>
      </c>
      <c r="BP29" s="21">
        <f t="shared" si="12"/>
        <v>0</v>
      </c>
      <c r="BQ29" s="21">
        <f t="shared" si="13"/>
        <v>0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si="17"/>
        <v>0</v>
      </c>
      <c r="BW29" s="21">
        <f t="shared" si="18"/>
        <v>0</v>
      </c>
      <c r="BX29" s="21">
        <f t="shared" si="19"/>
        <v>0</v>
      </c>
      <c r="BY29" s="21">
        <f t="shared" si="20"/>
        <v>0</v>
      </c>
      <c r="BZ29" s="21">
        <f t="shared" si="21"/>
        <v>0</v>
      </c>
      <c r="CA29" s="21">
        <f t="shared" si="22"/>
        <v>294201.60081362288</v>
      </c>
      <c r="CB29" s="21">
        <f t="shared" si="23"/>
        <v>291669.89109404263</v>
      </c>
      <c r="CC29" s="21" t="e">
        <f t="shared" si="24"/>
        <v>#VALUE!</v>
      </c>
      <c r="CD29" s="21" t="e">
        <f t="shared" si="25"/>
        <v>#VALUE!</v>
      </c>
      <c r="CE29" s="21"/>
      <c r="CF29" s="21">
        <f t="shared" si="26"/>
        <v>0</v>
      </c>
      <c r="CG29" s="21">
        <f t="shared" si="27"/>
        <v>0</v>
      </c>
      <c r="CH29" s="21">
        <f t="shared" si="28"/>
        <v>5203752.4230872411</v>
      </c>
      <c r="CI29" s="21">
        <f t="shared" si="29"/>
        <v>0</v>
      </c>
      <c r="CJ29" s="21">
        <f t="shared" si="30"/>
        <v>0</v>
      </c>
      <c r="CK29" s="21">
        <f t="shared" si="31"/>
        <v>0</v>
      </c>
      <c r="CL29" s="21">
        <f>IF(CA29&gt;0,CA29*TEA!B$17-TEA!B$24,0)</f>
        <v>58840.32016272458</v>
      </c>
      <c r="CM29" s="21">
        <f>IF(CB29&gt;0,CB29*TEA!C$17-TEA!C$24,0)</f>
        <v>58333.97821880853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473371.4846174483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TEA!B$47-TEA!B$43-X29-CL29</f>
        <v>235361.28065089829</v>
      </c>
      <c r="CX29" s="21">
        <f>TEA!C$47-TEA!C$43-Y29-CM29</f>
        <v>233335.91287523409</v>
      </c>
      <c r="CY29" s="21" t="e">
        <f>TEA!D$47-TEA!D$43-Z29-CN29</f>
        <v>#VALUE!</v>
      </c>
      <c r="CZ29" s="21" t="e">
        <f>TEA!E$47-TEA!E$43-AA29-CO29</f>
        <v>#VALUE!</v>
      </c>
      <c r="DA29" s="21"/>
      <c r="DB29" s="21">
        <f>TEA!G$47-TEA!G$43-AC29-CQ29</f>
        <v>0</v>
      </c>
      <c r="DC29" s="21">
        <f>TEA!H$47-TEA!H$43-AD29-CR29</f>
        <v>0</v>
      </c>
      <c r="DD29" s="21">
        <f>TEA!I$47-TEA!I$43-AE29-CS29</f>
        <v>4730380.9384697927</v>
      </c>
      <c r="DE29" s="21">
        <f>TEA!J$47-TEA!J$43-AF29-CT29</f>
        <v>0</v>
      </c>
      <c r="DF29" s="21">
        <f>TEA!K$47-TEA!K$43-AG29-CU29</f>
        <v>0</v>
      </c>
      <c r="DG29" s="21">
        <f>TEA!L$47-TEA!L$43-AH29-CV29</f>
        <v>0</v>
      </c>
      <c r="DH29" s="21">
        <f>CW29/(1+TEA!B$16)^$A29</f>
        <v>19748.094845369789</v>
      </c>
      <c r="DI29" s="21">
        <f>CX29/(1+TEA!C$16)^$A29</f>
        <v>19578.155444887438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396904.75497620594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-25678.005014154744</v>
      </c>
      <c r="C30" s="21">
        <f t="shared" si="3"/>
        <v>-25293.810344667996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4568871.8491514567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TEA!B$47-TEA!B$43-M30-AI30</f>
        <v>294201.60081362288</v>
      </c>
      <c r="BF30" s="21">
        <f>TEA!C$47-TEA!C$43-N30-AJ30</f>
        <v>291669.89109404263</v>
      </c>
      <c r="BG30" s="21" t="e">
        <f>TEA!D$47-TEA!D$43-O30-AK30</f>
        <v>#VALUE!</v>
      </c>
      <c r="BH30" s="21" t="e">
        <f>TEA!E$47-TEA!E$43-P30-AL30</f>
        <v>#VALUE!</v>
      </c>
      <c r="BI30" s="21"/>
      <c r="BJ30" s="21">
        <f>TEA!G$47-TEA!G$43-R30-AN30</f>
        <v>0</v>
      </c>
      <c r="BK30" s="21">
        <f>TEA!H$47-TEA!H$43-S30-AO30</f>
        <v>0</v>
      </c>
      <c r="BL30" s="21">
        <f>TEA!I$47-TEA!I$43-T30-AP30</f>
        <v>5203752.4230872411</v>
      </c>
      <c r="BM30" s="21">
        <f>TEA!J$47-TEA!J$43-U30-AQ30</f>
        <v>0</v>
      </c>
      <c r="BN30" s="21">
        <f>TEA!K$47-TEA!K$43-V30-AR30</f>
        <v>0</v>
      </c>
      <c r="BO30" s="21">
        <f>TEA!L$47-TEA!L$43-W30-AS30</f>
        <v>0</v>
      </c>
      <c r="BP30" s="21">
        <f t="shared" si="12"/>
        <v>0</v>
      </c>
      <c r="BQ30" s="21">
        <f t="shared" si="13"/>
        <v>0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si="16"/>
        <v>0</v>
      </c>
      <c r="BV30" s="21">
        <f t="shared" si="17"/>
        <v>0</v>
      </c>
      <c r="BW30" s="21">
        <f t="shared" si="18"/>
        <v>0</v>
      </c>
      <c r="BX30" s="21">
        <f t="shared" si="19"/>
        <v>0</v>
      </c>
      <c r="BY30" s="21">
        <f t="shared" si="20"/>
        <v>0</v>
      </c>
      <c r="BZ30" s="21">
        <f t="shared" si="21"/>
        <v>0</v>
      </c>
      <c r="CA30" s="21">
        <f t="shared" si="22"/>
        <v>294201.60081362288</v>
      </c>
      <c r="CB30" s="21">
        <f t="shared" si="23"/>
        <v>291669.89109404263</v>
      </c>
      <c r="CC30" s="21" t="e">
        <f t="shared" si="24"/>
        <v>#VALUE!</v>
      </c>
      <c r="CD30" s="21" t="e">
        <f t="shared" si="25"/>
        <v>#VALUE!</v>
      </c>
      <c r="CE30" s="21"/>
      <c r="CF30" s="21">
        <f t="shared" si="26"/>
        <v>0</v>
      </c>
      <c r="CG30" s="21">
        <f t="shared" si="27"/>
        <v>0</v>
      </c>
      <c r="CH30" s="21">
        <f t="shared" si="28"/>
        <v>5203752.4230872411</v>
      </c>
      <c r="CI30" s="21">
        <f t="shared" si="29"/>
        <v>0</v>
      </c>
      <c r="CJ30" s="21">
        <f t="shared" si="30"/>
        <v>0</v>
      </c>
      <c r="CK30" s="21">
        <f t="shared" si="31"/>
        <v>0</v>
      </c>
      <c r="CL30" s="21">
        <f>IF(CA30&gt;0,CA30*TEA!B$17-TEA!B$24,0)</f>
        <v>58840.32016272458</v>
      </c>
      <c r="CM30" s="21">
        <f>IF(CB30&gt;0,CB30*TEA!C$17-TEA!C$24,0)</f>
        <v>58333.97821880853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473371.4846174483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TEA!B$47-TEA!B$43-X30-CL30</f>
        <v>235361.28065089829</v>
      </c>
      <c r="CX30" s="21">
        <f>TEA!C$47-TEA!C$43-Y30-CM30</f>
        <v>233335.91287523409</v>
      </c>
      <c r="CY30" s="21" t="e">
        <f>TEA!D$47-TEA!D$43-Z30-CN30</f>
        <v>#VALUE!</v>
      </c>
      <c r="CZ30" s="21" t="e">
        <f>TEA!E$47-TEA!E$43-AA30-CO30</f>
        <v>#VALUE!</v>
      </c>
      <c r="DA30" s="21"/>
      <c r="DB30" s="21">
        <f>TEA!G$47-TEA!G$43-AC30-CQ30</f>
        <v>0</v>
      </c>
      <c r="DC30" s="21">
        <f>TEA!H$47-TEA!H$43-AD30-CR30</f>
        <v>0</v>
      </c>
      <c r="DD30" s="21">
        <f>TEA!I$47-TEA!I$43-AE30-CS30</f>
        <v>4730380.9384697927</v>
      </c>
      <c r="DE30" s="21">
        <f>TEA!J$47-TEA!J$43-AF30-CT30</f>
        <v>0</v>
      </c>
      <c r="DF30" s="21">
        <f>TEA!K$47-TEA!K$43-AG30-CU30</f>
        <v>0</v>
      </c>
      <c r="DG30" s="21">
        <f>TEA!L$47-TEA!L$43-AH30-CV30</f>
        <v>0</v>
      </c>
      <c r="DH30" s="21">
        <f>CW30/(1+TEA!B$16)^$A30</f>
        <v>17952.813495790713</v>
      </c>
      <c r="DI30" s="21">
        <f>CX30/(1+TEA!C$16)^$A30</f>
        <v>17798.32313171585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360822.5045238235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-9357.2654725268203</v>
      </c>
      <c r="C31" s="21">
        <f t="shared" si="3"/>
        <v>-9113.5165885626775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4896892.3078094777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TEA!B$47-TEA!B$43-M31-AI31</f>
        <v>294201.60081362288</v>
      </c>
      <c r="BF31" s="21">
        <f>TEA!C$47-TEA!C$43-N31-AJ31</f>
        <v>291669.89109404263</v>
      </c>
      <c r="BG31" s="21" t="e">
        <f>TEA!D$47-TEA!D$43-O31-AK31</f>
        <v>#VALUE!</v>
      </c>
      <c r="BH31" s="21" t="e">
        <f>TEA!E$47-TEA!E$43-P31-AL31</f>
        <v>#VALUE!</v>
      </c>
      <c r="BI31" s="21"/>
      <c r="BJ31" s="21">
        <f>TEA!G$47-TEA!G$43-R31-AN31</f>
        <v>0</v>
      </c>
      <c r="BK31" s="21">
        <f>TEA!H$47-TEA!H$43-S31-AO31</f>
        <v>0</v>
      </c>
      <c r="BL31" s="21">
        <f>TEA!I$47-TEA!I$43-T31-AP31</f>
        <v>5203752.4230872411</v>
      </c>
      <c r="BM31" s="21">
        <f>TEA!J$47-TEA!J$43-U31-AQ31</f>
        <v>0</v>
      </c>
      <c r="BN31" s="21">
        <f>TEA!K$47-TEA!K$43-V31-AR31</f>
        <v>0</v>
      </c>
      <c r="BO31" s="21">
        <f>TEA!L$47-TEA!L$43-W31-AS31</f>
        <v>0</v>
      </c>
      <c r="BP31" s="21">
        <f t="shared" si="12"/>
        <v>0</v>
      </c>
      <c r="BQ31" s="21">
        <f t="shared" si="13"/>
        <v>0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16"/>
        <v>0</v>
      </c>
      <c r="BV31" s="21">
        <f t="shared" si="17"/>
        <v>0</v>
      </c>
      <c r="BW31" s="21">
        <f t="shared" si="18"/>
        <v>0</v>
      </c>
      <c r="BX31" s="21">
        <f t="shared" si="19"/>
        <v>0</v>
      </c>
      <c r="BY31" s="21">
        <f t="shared" si="20"/>
        <v>0</v>
      </c>
      <c r="BZ31" s="21">
        <f t="shared" si="21"/>
        <v>0</v>
      </c>
      <c r="CA31" s="21">
        <f t="shared" si="22"/>
        <v>294201.60081362288</v>
      </c>
      <c r="CB31" s="21">
        <f t="shared" si="23"/>
        <v>291669.89109404263</v>
      </c>
      <c r="CC31" s="21" t="e">
        <f t="shared" si="24"/>
        <v>#VALUE!</v>
      </c>
      <c r="CD31" s="21" t="e">
        <f t="shared" si="25"/>
        <v>#VALUE!</v>
      </c>
      <c r="CE31" s="21"/>
      <c r="CF31" s="21">
        <f t="shared" si="26"/>
        <v>0</v>
      </c>
      <c r="CG31" s="21">
        <f t="shared" si="27"/>
        <v>0</v>
      </c>
      <c r="CH31" s="21">
        <f t="shared" si="28"/>
        <v>5203752.4230872411</v>
      </c>
      <c r="CI31" s="21">
        <f t="shared" si="29"/>
        <v>0</v>
      </c>
      <c r="CJ31" s="21">
        <f t="shared" si="30"/>
        <v>0</v>
      </c>
      <c r="CK31" s="21">
        <f t="shared" si="31"/>
        <v>0</v>
      </c>
      <c r="CL31" s="21">
        <f>IF(CA31&gt;0,CA31*TEA!B$17-TEA!B$24,0)</f>
        <v>58840.32016272458</v>
      </c>
      <c r="CM31" s="21">
        <f>IF(CB31&gt;0,CB31*TEA!C$17-TEA!C$24,0)</f>
        <v>58333.97821880853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473371.4846174483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TEA!B$47-TEA!B$43-X31-CL31</f>
        <v>235361.28065089829</v>
      </c>
      <c r="CX31" s="21">
        <f>TEA!C$47-TEA!C$43-Y31-CM31</f>
        <v>233335.91287523409</v>
      </c>
      <c r="CY31" s="21" t="e">
        <f>TEA!D$47-TEA!D$43-Z31-CN31</f>
        <v>#VALUE!</v>
      </c>
      <c r="CZ31" s="21" t="e">
        <f>TEA!E$47-TEA!E$43-AA31-CO31</f>
        <v>#VALUE!</v>
      </c>
      <c r="DA31" s="21"/>
      <c r="DB31" s="21">
        <f>TEA!G$47-TEA!G$43-AC31-CQ31</f>
        <v>0</v>
      </c>
      <c r="DC31" s="21">
        <f>TEA!H$47-TEA!H$43-AD31-CR31</f>
        <v>0</v>
      </c>
      <c r="DD31" s="21">
        <f>TEA!I$47-TEA!I$43-AE31-CS31</f>
        <v>4730380.9384697927</v>
      </c>
      <c r="DE31" s="21">
        <f>TEA!J$47-TEA!J$43-AF31-CT31</f>
        <v>0</v>
      </c>
      <c r="DF31" s="21">
        <f>TEA!K$47-TEA!K$43-AG31-CU31</f>
        <v>0</v>
      </c>
      <c r="DG31" s="21">
        <f>TEA!L$47-TEA!L$43-AH31-CV31</f>
        <v>0</v>
      </c>
      <c r="DH31" s="21">
        <f>CW31/(1+TEA!B$16)^$A31</f>
        <v>16320.739541627923</v>
      </c>
      <c r="DI31" s="21">
        <f>CX31/(1+TEA!C$16)^$A31</f>
        <v>16180.293756105319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328020.45865802135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5479.7704744076545</v>
      </c>
      <c r="C32" s="21">
        <f t="shared" si="3"/>
        <v>5595.8413715330662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5195092.7247713152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TEA!B$47-TEA!B$43-M32-AI32</f>
        <v>294201.60081362288</v>
      </c>
      <c r="BF32" s="21">
        <f>TEA!C$47-TEA!C$43-N32-AJ32</f>
        <v>291669.89109404263</v>
      </c>
      <c r="BG32" s="21" t="e">
        <f>TEA!D$47-TEA!D$43-O32-AK32</f>
        <v>#VALUE!</v>
      </c>
      <c r="BH32" s="21" t="e">
        <f>TEA!E$47-TEA!E$43-P32-AL32</f>
        <v>#VALUE!</v>
      </c>
      <c r="BI32" s="21"/>
      <c r="BJ32" s="21">
        <f>TEA!G$47-TEA!G$43-R32-AN32</f>
        <v>0</v>
      </c>
      <c r="BK32" s="21">
        <f>TEA!H$47-TEA!H$43-S32-AO32</f>
        <v>0</v>
      </c>
      <c r="BL32" s="21">
        <f>TEA!I$47-TEA!I$43-T32-AP32</f>
        <v>5203752.4230872411</v>
      </c>
      <c r="BM32" s="21">
        <f>TEA!J$47-TEA!J$43-U32-AQ32</f>
        <v>0</v>
      </c>
      <c r="BN32" s="21">
        <f>TEA!K$47-TEA!K$43-V32-AR32</f>
        <v>0</v>
      </c>
      <c r="BO32" s="21">
        <f>TEA!L$47-TEA!L$43-W32-AS32</f>
        <v>0</v>
      </c>
      <c r="BP32" s="21">
        <f t="shared" si="12"/>
        <v>0</v>
      </c>
      <c r="BQ32" s="21">
        <f t="shared" si="13"/>
        <v>0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16"/>
        <v>0</v>
      </c>
      <c r="BV32" s="21">
        <f t="shared" si="17"/>
        <v>0</v>
      </c>
      <c r="BW32" s="21">
        <f t="shared" si="18"/>
        <v>0</v>
      </c>
      <c r="BX32" s="21">
        <f t="shared" si="19"/>
        <v>0</v>
      </c>
      <c r="BY32" s="21">
        <f t="shared" si="20"/>
        <v>0</v>
      </c>
      <c r="BZ32" s="21">
        <f t="shared" si="21"/>
        <v>0</v>
      </c>
      <c r="CA32" s="21">
        <f t="shared" si="22"/>
        <v>294201.60081362288</v>
      </c>
      <c r="CB32" s="21">
        <f t="shared" si="23"/>
        <v>291669.89109404263</v>
      </c>
      <c r="CC32" s="21" t="e">
        <f t="shared" si="24"/>
        <v>#VALUE!</v>
      </c>
      <c r="CD32" s="21" t="e">
        <f t="shared" si="25"/>
        <v>#VALUE!</v>
      </c>
      <c r="CE32" s="21"/>
      <c r="CF32" s="21">
        <f t="shared" si="26"/>
        <v>0</v>
      </c>
      <c r="CG32" s="21">
        <f t="shared" si="27"/>
        <v>0</v>
      </c>
      <c r="CH32" s="21">
        <f t="shared" si="28"/>
        <v>5203752.4230872411</v>
      </c>
      <c r="CI32" s="21">
        <f t="shared" si="29"/>
        <v>0</v>
      </c>
      <c r="CJ32" s="21">
        <f t="shared" si="30"/>
        <v>0</v>
      </c>
      <c r="CK32" s="21">
        <f t="shared" si="31"/>
        <v>0</v>
      </c>
      <c r="CL32" s="21">
        <f>IF(CA32&gt;0,CA32*TEA!B$17-TEA!B$24,0)</f>
        <v>58840.32016272458</v>
      </c>
      <c r="CM32" s="21">
        <f>IF(CB32&gt;0,CB32*TEA!C$17-TEA!C$24,0)</f>
        <v>58333.97821880853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473371.4846174483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TEA!B$47-TEA!B$43-X32-CL32</f>
        <v>235361.28065089829</v>
      </c>
      <c r="CX32" s="21">
        <f>TEA!C$47-TEA!C$43-Y32-CM32</f>
        <v>233335.91287523409</v>
      </c>
      <c r="CY32" s="21" t="e">
        <f>TEA!D$47-TEA!D$43-Z32-CN32</f>
        <v>#VALUE!</v>
      </c>
      <c r="CZ32" s="21" t="e">
        <f>TEA!E$47-TEA!E$43-AA32-CO32</f>
        <v>#VALUE!</v>
      </c>
      <c r="DA32" s="21"/>
      <c r="DB32" s="21">
        <f>TEA!G$47-TEA!G$43-AC32-CQ32</f>
        <v>0</v>
      </c>
      <c r="DC32" s="21">
        <f>TEA!H$47-TEA!H$43-AD32-CR32</f>
        <v>0</v>
      </c>
      <c r="DD32" s="21">
        <f>TEA!I$47-TEA!I$43-AE32-CS32</f>
        <v>4730380.9384697927</v>
      </c>
      <c r="DE32" s="21">
        <f>TEA!J$47-TEA!J$43-AF32-CT32</f>
        <v>0</v>
      </c>
      <c r="DF32" s="21">
        <f>TEA!K$47-TEA!K$43-AG32-CU32</f>
        <v>0</v>
      </c>
      <c r="DG32" s="21">
        <f>TEA!L$47-TEA!L$43-AH32-CV32</f>
        <v>0</v>
      </c>
      <c r="DH32" s="21">
        <f>CW32/(1+TEA!B$16)^$A32</f>
        <v>14837.035946934475</v>
      </c>
      <c r="DI32" s="21">
        <f>CX32/(1+TEA!C$16)^$A32</f>
        <v>14709.357960095744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298200.41696183762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2.3919710656628013E-10</v>
      </c>
      <c r="C33" s="34">
        <f t="shared" si="3"/>
        <v>-4.6929926611483097E-10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5460360.5584278991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(TEA!B$47-TEA!B$43-M33-AI33)+TEA!B25</f>
        <v>1949101.6008136228</v>
      </c>
      <c r="BF33" s="21">
        <f>(TEA!C$47-TEA!C$43-N33-AJ33)+TEA!C25</f>
        <v>1946569.8910940427</v>
      </c>
      <c r="BG33" s="21" t="e">
        <f>(TEA!D$47-TEA!D$43-O33-AK33)+TEA!D25</f>
        <v>#VALUE!</v>
      </c>
      <c r="BH33" s="21" t="e">
        <f>(TEA!E$47-TEA!E$43-P33-AL33)+TEA!E25</f>
        <v>#VALUE!</v>
      </c>
      <c r="BI33" s="21"/>
      <c r="BJ33" s="21">
        <f>(TEA!G$47-TEA!G$43-R33-AN33)+TEA!G25</f>
        <v>0</v>
      </c>
      <c r="BK33" s="21">
        <f>(TEA!H$47-TEA!H$43-S33-AO33)+TEA!H25</f>
        <v>0</v>
      </c>
      <c r="BL33" s="21">
        <f>(TEA!I$47-TEA!I$43-T33-AP33)+TEA!I25</f>
        <v>5711831.4230872411</v>
      </c>
      <c r="BM33" s="21">
        <f>(TEA!J$47-TEA!J$43-U33-AQ33)+TEA!J25</f>
        <v>0</v>
      </c>
      <c r="BN33" s="21">
        <f>(TEA!K$47-TEA!K$43-V33-AR33)+TEA!K25</f>
        <v>0</v>
      </c>
      <c r="BO33" s="21">
        <f>(TEA!L$47-TEA!L$43-W33-AS33)+TEA!L25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16"/>
        <v>0</v>
      </c>
      <c r="BV33" s="21">
        <f t="shared" si="17"/>
        <v>0</v>
      </c>
      <c r="BW33" s="21">
        <f t="shared" si="18"/>
        <v>0</v>
      </c>
      <c r="BX33" s="21">
        <f t="shared" si="19"/>
        <v>0</v>
      </c>
      <c r="BY33" s="21">
        <f t="shared" si="20"/>
        <v>0</v>
      </c>
      <c r="BZ33" s="21">
        <f t="shared" si="21"/>
        <v>0</v>
      </c>
      <c r="CA33" s="21">
        <f t="shared" si="22"/>
        <v>1949101.6008136228</v>
      </c>
      <c r="CB33" s="21">
        <f t="shared" si="23"/>
        <v>1946569.8910940427</v>
      </c>
      <c r="CC33" s="21" t="e">
        <f t="shared" si="24"/>
        <v>#VALUE!</v>
      </c>
      <c r="CD33" s="21" t="e">
        <f t="shared" si="25"/>
        <v>#VALUE!</v>
      </c>
      <c r="CE33" s="21"/>
      <c r="CF33" s="21">
        <f t="shared" si="26"/>
        <v>0</v>
      </c>
      <c r="CG33" s="21">
        <f t="shared" si="27"/>
        <v>0</v>
      </c>
      <c r="CH33" s="21">
        <f t="shared" si="28"/>
        <v>5711831.4230872411</v>
      </c>
      <c r="CI33" s="21">
        <f t="shared" si="29"/>
        <v>0</v>
      </c>
      <c r="CJ33" s="21">
        <f t="shared" si="30"/>
        <v>0</v>
      </c>
      <c r="CK33" s="21">
        <f t="shared" si="31"/>
        <v>0</v>
      </c>
      <c r="CL33" s="21">
        <f>IF(CA33&gt;0,CA33*TEA!B$17-TEA!B$24,0)</f>
        <v>389820.32016272459</v>
      </c>
      <c r="CM33" s="21">
        <f>IF(CB33&gt;0,CB33*TEA!C$17-TEA!C$24,0)</f>
        <v>389313.97821880854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574987.28461744823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TEA!B$47-TEA!B$43-X33-CL33</f>
        <v>-95618.71934910171</v>
      </c>
      <c r="CX33" s="21">
        <f>TEA!C$47-TEA!C$43-Y33-CM33</f>
        <v>-97644.087124765909</v>
      </c>
      <c r="CY33" s="21" t="e">
        <f>TEA!D$47-TEA!D$43-Z33-CN33</f>
        <v>#VALUE!</v>
      </c>
      <c r="CZ33" s="21" t="e">
        <f>TEA!E$47-TEA!E$43-AA33-CO33</f>
        <v>#VALUE!</v>
      </c>
      <c r="DA33" s="21"/>
      <c r="DB33" s="21">
        <f>TEA!G$47-TEA!G$43-AC33-CQ33</f>
        <v>0</v>
      </c>
      <c r="DC33" s="21">
        <f>TEA!H$47-TEA!H$43-AD33-CR33</f>
        <v>0</v>
      </c>
      <c r="DD33" s="21">
        <f>TEA!I$47-TEA!I$43-AE33-CS33</f>
        <v>4628765.1384697929</v>
      </c>
      <c r="DE33" s="21">
        <f>TEA!J$47-TEA!J$43-AF33-CT33</f>
        <v>0</v>
      </c>
      <c r="DF33" s="21">
        <f>TEA!K$47-TEA!K$43-AG33-CU33</f>
        <v>0</v>
      </c>
      <c r="DG33" s="21">
        <f>TEA!L$47-TEA!L$43-AH33-CV33</f>
        <v>0</v>
      </c>
      <c r="DH33" s="21">
        <f>CW33/(1+TEA!B$16)^$A33</f>
        <v>-5479.7704744074153</v>
      </c>
      <c r="DI33" s="21">
        <f>CX33/(1+TEA!C$16)^$A33</f>
        <v>-5595.8413715335355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265267.8336565842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workbookViewId="0">
      <pane xSplit="1" ySplit="2" topLeftCell="CW3" activePane="bottomRight" state="frozen"/>
      <selection pane="topRight" activeCell="B1" sqref="B1"/>
      <selection pane="bottomLeft" activeCell="A3" sqref="A3"/>
      <selection pane="bottomRight" activeCell="DL1" sqref="DL1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1970</v>
      </c>
      <c r="B1" s="33" t="s">
        <v>1971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1972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1973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1974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1975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1976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1977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1978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1979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1980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1981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-1178865.5247028866</v>
      </c>
      <c r="C4" s="21">
        <f t="shared" ref="C4:C33" si="3">C3+DI4</f>
        <v>-1170685.1320053954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-23871749.3276783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TEA!B$10-TEA!B$43-M4-AI4</f>
        <v>-185302.66510475258</v>
      </c>
      <c r="BF4" s="21">
        <f>TEA!C$10-TEA!C$43-N4-AJ4</f>
        <v>-184921.13561964768</v>
      </c>
      <c r="BG4" s="21" t="e">
        <f>TEA!D$10-TEA!D$43-O4-AK4</f>
        <v>#VALUE!</v>
      </c>
      <c r="BH4" s="21" t="e">
        <f>TEA!E$10-TEA!E$43-P4-AL4</f>
        <v>#VALUE!</v>
      </c>
      <c r="BI4" s="21"/>
      <c r="BJ4" s="21">
        <f>TEA!G$10-TEA!G$43-R4-AN4</f>
        <v>0</v>
      </c>
      <c r="BK4" s="21">
        <f>TEA!H$10-TEA!H$43-S4-AO4</f>
        <v>0</v>
      </c>
      <c r="BL4" s="21">
        <f>TEA!I$10-TEA!I$43-T4-AP4</f>
        <v>-10566494.709230442</v>
      </c>
      <c r="BM4" s="21">
        <f>TEA!J$10-TEA!J$43-U4-AQ4</f>
        <v>0</v>
      </c>
      <c r="BN4" s="21">
        <f>TEA!K$10-TEA!K$43-V4-AR4</f>
        <v>0</v>
      </c>
      <c r="BO4" s="21">
        <f>TEA!L$10-TEA!L$43-W4-AS4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-185302.66510475258</v>
      </c>
      <c r="CB4" s="21">
        <f t="shared" ref="CB4:CB33" si="18">BF4+BQ4</f>
        <v>-184921.13561964768</v>
      </c>
      <c r="CC4" s="21" t="e">
        <f t="shared" ref="CC4:CC33" si="19">BG4+BR4</f>
        <v>#VALUE!</v>
      </c>
      <c r="CD4" s="21" t="e">
        <f t="shared" ref="CD4:CD33" si="20">BH4+BS4</f>
        <v>#VALUE!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-10566494.709230442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IF(CA4&gt;0,CA4*TEA!B$17-TEA!B$24,0)</f>
        <v>0</v>
      </c>
      <c r="CM4" s="21">
        <f>IF(CB4&gt;0,CB4*TEA!C$17-TEA!C$24,0)</f>
        <v>0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TEA!B$10-TEA!B$43-X4-CL4</f>
        <v>-175957.53890344949</v>
      </c>
      <c r="CX4" s="21">
        <f>TEA!C$10-TEA!C$43-Y4-CM4</f>
        <v>-177708.31845873309</v>
      </c>
      <c r="CY4" s="21" t="e">
        <f>TEA!D$10-TEA!D$43-Z4-CN4</f>
        <v>#VALUE!</v>
      </c>
      <c r="CZ4" s="21" t="e">
        <f>TEA!E$10-TEA!E$43-AA4-CO4</f>
        <v>#VALUE!</v>
      </c>
      <c r="DA4" s="21"/>
      <c r="DB4" s="21">
        <f>TEA!G$10-TEA!G$43-AC4-CQ4</f>
        <v>0</v>
      </c>
      <c r="DC4" s="21">
        <f>TEA!H$10-TEA!H$43-AD4-CR4</f>
        <v>0</v>
      </c>
      <c r="DD4" s="21">
        <f>TEA!I$10-TEA!I$43-AE4-CS4</f>
        <v>-6764870.9789499333</v>
      </c>
      <c r="DE4" s="21">
        <f>TEA!J$10-TEA!J$43-AF4-CT4</f>
        <v>0</v>
      </c>
      <c r="DF4" s="21">
        <f>TEA!K$10-TEA!K$43-AG4-CU4</f>
        <v>0</v>
      </c>
      <c r="DG4" s="21">
        <f>TEA!L$10-TEA!L$43-AH4-CV4</f>
        <v>0</v>
      </c>
      <c r="DH4" s="21">
        <f>CW4/(1+TEA!B$16)^$A4</f>
        <v>-159961.39900313588</v>
      </c>
      <c r="DI4" s="21">
        <f>CX4/(1+TEA!C$16)^$A4</f>
        <v>-161553.01678066642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-6149882.7081363024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-1324284.978342101</v>
      </c>
      <c r="C5" s="21">
        <f t="shared" si="3"/>
        <v>-1317551.5108969102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-29462551.789620392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TEA!B$10-TEA!B$43-M5-AI5</f>
        <v>-258781.21025343798</v>
      </c>
      <c r="BF5" s="21">
        <f>TEA!C$10-TEA!C$43-N5-AJ5</f>
        <v>-256237.95119071158</v>
      </c>
      <c r="BG5" s="21" t="e">
        <f>TEA!D$10-TEA!D$43-O5-AK5</f>
        <v>#VALUE!</v>
      </c>
      <c r="BH5" s="21" t="e">
        <f>TEA!E$10-TEA!E$43-P5-AL5</f>
        <v>#VALUE!</v>
      </c>
      <c r="BI5" s="21"/>
      <c r="BJ5" s="21">
        <f>TEA!G$10-TEA!G$43-R5-AN5</f>
        <v>0</v>
      </c>
      <c r="BK5" s="21">
        <f>TEA!H$10-TEA!H$43-S5-AO5</f>
        <v>0</v>
      </c>
      <c r="BL5" s="21">
        <f>TEA!I$10-TEA!I$43-T5-AP5</f>
        <v>-14440221.679234762</v>
      </c>
      <c r="BM5" s="21">
        <f>TEA!J$10-TEA!J$43-U5-AQ5</f>
        <v>0</v>
      </c>
      <c r="BN5" s="21">
        <f>TEA!K$10-TEA!K$43-V5-AR5</f>
        <v>0</v>
      </c>
      <c r="BO5" s="21">
        <f>TEA!L$10-TEA!L$43-W5-AS5</f>
        <v>0</v>
      </c>
      <c r="BP5" s="21">
        <f t="shared" si="12"/>
        <v>-185302.66510475258</v>
      </c>
      <c r="BQ5" s="21">
        <f t="shared" si="13"/>
        <v>-184921.13561964768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-10566494.709230442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-444083.87535819056</v>
      </c>
      <c r="CB5" s="21">
        <f t="shared" si="18"/>
        <v>-441159.08681035927</v>
      </c>
      <c r="CC5" s="21" t="e">
        <f t="shared" si="19"/>
        <v>#VALUE!</v>
      </c>
      <c r="CD5" s="21" t="e">
        <f t="shared" si="20"/>
        <v>#VALUE!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-25006716.388465203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TEA!B$10-TEA!B$43-X5-CL5</f>
        <v>-175957.53890344949</v>
      </c>
      <c r="CX5" s="21">
        <f>TEA!C$10-TEA!C$43-Y5-CM5</f>
        <v>-177708.31845873309</v>
      </c>
      <c r="CY5" s="21" t="e">
        <f>TEA!D$10-TEA!D$43-Z5-CN5</f>
        <v>#VALUE!</v>
      </c>
      <c r="CZ5" s="21" t="e">
        <f>TEA!E$10-TEA!E$43-AA5-CO5</f>
        <v>#VALUE!</v>
      </c>
      <c r="DA5" s="21"/>
      <c r="DB5" s="21">
        <f>TEA!G$10-TEA!G$43-AC5-CQ5</f>
        <v>0</v>
      </c>
      <c r="DC5" s="21">
        <f>TEA!H$10-TEA!H$43-AD5-CR5</f>
        <v>0</v>
      </c>
      <c r="DD5" s="21">
        <f>TEA!I$10-TEA!I$43-AE5-CS5</f>
        <v>-6764870.9789499333</v>
      </c>
      <c r="DE5" s="21">
        <f>TEA!J$10-TEA!J$43-AF5-CT5</f>
        <v>0</v>
      </c>
      <c r="DF5" s="21">
        <f>TEA!K$10-TEA!K$43-AG5-CU5</f>
        <v>0</v>
      </c>
      <c r="DG5" s="21">
        <f>TEA!L$10-TEA!L$43-AH5-CV5</f>
        <v>0</v>
      </c>
      <c r="DH5" s="21">
        <f>CW5/(1+TEA!B$16)^$A5</f>
        <v>-145419.45363921442</v>
      </c>
      <c r="DI5" s="21">
        <f>CX5/(1+TEA!C$16)^$A5</f>
        <v>-146866.37889151493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-5590802.4619420925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-1456484.4816504777</v>
      </c>
      <c r="C6" s="21">
        <f t="shared" si="3"/>
        <v>-1451066.4007982875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-34545099.482295021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TEA!B$10-TEA!B$43-M6-AI6</f>
        <v>-193447.1682203674</v>
      </c>
      <c r="BF6" s="21">
        <f>TEA!C$10-TEA!C$43-N6-AJ6</f>
        <v>-192530.4233799646</v>
      </c>
      <c r="BG6" s="21" t="e">
        <f>TEA!D$10-TEA!D$43-O6-AK6</f>
        <v>#VALUE!</v>
      </c>
      <c r="BH6" s="21" t="e">
        <f>TEA!E$10-TEA!E$43-P6-AL6</f>
        <v>#VALUE!</v>
      </c>
      <c r="BI6" s="21"/>
      <c r="BJ6" s="21">
        <f>TEA!G$10-TEA!G$43-R6-AN6</f>
        <v>0</v>
      </c>
      <c r="BK6" s="21">
        <f>TEA!H$10-TEA!H$43-S6-AO6</f>
        <v>0</v>
      </c>
      <c r="BL6" s="21">
        <f>TEA!I$10-TEA!I$43-T6-AP6</f>
        <v>-11522492.91531788</v>
      </c>
      <c r="BM6" s="21">
        <f>TEA!J$10-TEA!J$43-U6-AQ6</f>
        <v>0</v>
      </c>
      <c r="BN6" s="21">
        <f>TEA!K$10-TEA!K$43-V6-AR6</f>
        <v>0</v>
      </c>
      <c r="BO6" s="21">
        <f>TEA!L$10-TEA!L$43-W6-AS6</f>
        <v>0</v>
      </c>
      <c r="BP6" s="21">
        <f t="shared" si="12"/>
        <v>-444083.87535819056</v>
      </c>
      <c r="BQ6" s="21">
        <f t="shared" si="13"/>
        <v>-441159.08681035927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-25006716.388465203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-637531.0435785579</v>
      </c>
      <c r="CB6" s="21">
        <f t="shared" si="18"/>
        <v>-633689.51019032393</v>
      </c>
      <c r="CC6" s="21" t="e">
        <f t="shared" si="19"/>
        <v>#VALUE!</v>
      </c>
      <c r="CD6" s="21" t="e">
        <f t="shared" si="20"/>
        <v>#VALUE!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-36529209.303783081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IF(CA6&gt;0,CA6*TEA!B$17-TEA!B$24,0)</f>
        <v>0</v>
      </c>
      <c r="CM6" s="21">
        <f>IF(CB6&gt;0,CB6*TEA!C$17-TEA!C$24,0)</f>
        <v>0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TEA!B$10-TEA!B$43-X6-CL6</f>
        <v>-175957.53890344949</v>
      </c>
      <c r="CX6" s="21">
        <f>TEA!C$10-TEA!C$43-Y6-CM6</f>
        <v>-177708.31845873309</v>
      </c>
      <c r="CY6" s="21" t="e">
        <f>TEA!D$10-TEA!D$43-Z6-CN6</f>
        <v>#VALUE!</v>
      </c>
      <c r="CZ6" s="21" t="e">
        <f>TEA!E$10-TEA!E$43-AA6-CO6</f>
        <v>#VALUE!</v>
      </c>
      <c r="DA6" s="21"/>
      <c r="DB6" s="21">
        <f>TEA!G$10-TEA!G$43-AC6-CQ6</f>
        <v>0</v>
      </c>
      <c r="DC6" s="21">
        <f>TEA!H$10-TEA!H$43-AD6-CR6</f>
        <v>0</v>
      </c>
      <c r="DD6" s="21">
        <f>TEA!I$10-TEA!I$43-AE6-CS6</f>
        <v>-6764870.9789499333</v>
      </c>
      <c r="DE6" s="21">
        <f>TEA!J$10-TEA!J$43-AF6-CT6</f>
        <v>0</v>
      </c>
      <c r="DF6" s="21">
        <f>TEA!K$10-TEA!K$43-AG6-CU6</f>
        <v>0</v>
      </c>
      <c r="DG6" s="21">
        <f>TEA!L$10-TEA!L$43-AH6-CV6</f>
        <v>0</v>
      </c>
      <c r="DH6" s="21">
        <f>CW6/(1+TEA!B$16)^$A6</f>
        <v>-132199.50330837673</v>
      </c>
      <c r="DI6" s="21">
        <f>CX6/(1+TEA!C$16)^$A6</f>
        <v>-133514.88990137717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-5082547.6926746294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-1576665.8482944565</v>
      </c>
      <c r="C7" s="21">
        <f t="shared" si="3"/>
        <v>-1572443.5734359031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-39165597.384726502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TEA!B$10-TEA!B$43-M7-AI7</f>
        <v>-143446.38446495673</v>
      </c>
      <c r="BF7" s="21">
        <f>TEA!C$10-TEA!C$43-N7-AJ7</f>
        <v>-143723.40718130217</v>
      </c>
      <c r="BG7" s="21" t="e">
        <f>TEA!D$10-TEA!D$43-O7-AK7</f>
        <v>#VALUE!</v>
      </c>
      <c r="BH7" s="21" t="e">
        <f>TEA!E$10-TEA!E$43-P7-AL7</f>
        <v>#VALUE!</v>
      </c>
      <c r="BI7" s="21"/>
      <c r="BJ7" s="21">
        <f>TEA!G$10-TEA!G$43-R7-AN7</f>
        <v>0</v>
      </c>
      <c r="BK7" s="21">
        <f>TEA!H$10-TEA!H$43-S7-AO7</f>
        <v>0</v>
      </c>
      <c r="BL7" s="21">
        <f>TEA!I$10-TEA!I$43-T7-AP7</f>
        <v>-9380419.2274132688</v>
      </c>
      <c r="BM7" s="21">
        <f>TEA!J$10-TEA!J$43-U7-AQ7</f>
        <v>0</v>
      </c>
      <c r="BN7" s="21">
        <f>TEA!K$10-TEA!K$43-V7-AR7</f>
        <v>0</v>
      </c>
      <c r="BO7" s="21">
        <f>TEA!L$10-TEA!L$43-W7-AS7</f>
        <v>0</v>
      </c>
      <c r="BP7" s="21">
        <f t="shared" si="12"/>
        <v>-637531.0435785579</v>
      </c>
      <c r="BQ7" s="21">
        <f t="shared" si="13"/>
        <v>-633689.51019032393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-36529209.303783081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-780977.42804351461</v>
      </c>
      <c r="CB7" s="21">
        <f t="shared" si="18"/>
        <v>-777412.91737162613</v>
      </c>
      <c r="CC7" s="21" t="e">
        <f t="shared" si="19"/>
        <v>#VALUE!</v>
      </c>
      <c r="CD7" s="21" t="e">
        <f t="shared" si="20"/>
        <v>#VALUE!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-45909628.531196348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IF(CA7&gt;0,CA7*TEA!B$17-TEA!B$24,0)</f>
        <v>0</v>
      </c>
      <c r="CM7" s="21">
        <f>IF(CB7&gt;0,CB7*TEA!C$17-TEA!C$24,0)</f>
        <v>0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TEA!B$10-TEA!B$43-X7-CL7</f>
        <v>-175957.53890344949</v>
      </c>
      <c r="CX7" s="21">
        <f>TEA!C$10-TEA!C$43-Y7-CM7</f>
        <v>-177708.31845873309</v>
      </c>
      <c r="CY7" s="21" t="e">
        <f>TEA!D$10-TEA!D$43-Z7-CN7</f>
        <v>#VALUE!</v>
      </c>
      <c r="CZ7" s="21" t="e">
        <f>TEA!E$10-TEA!E$43-AA7-CO7</f>
        <v>#VALUE!</v>
      </c>
      <c r="DA7" s="21"/>
      <c r="DB7" s="21">
        <f>TEA!G$10-TEA!G$43-AC7-CQ7</f>
        <v>0</v>
      </c>
      <c r="DC7" s="21">
        <f>TEA!H$10-TEA!H$43-AD7-CR7</f>
        <v>0</v>
      </c>
      <c r="DD7" s="21">
        <f>TEA!I$10-TEA!I$43-AE7-CS7</f>
        <v>-6764870.9789499333</v>
      </c>
      <c r="DE7" s="21">
        <f>TEA!J$10-TEA!J$43-AF7-CT7</f>
        <v>0</v>
      </c>
      <c r="DF7" s="21">
        <f>TEA!K$10-TEA!K$43-AG7-CU7</f>
        <v>0</v>
      </c>
      <c r="DG7" s="21">
        <f>TEA!L$10-TEA!L$43-AH7-CV7</f>
        <v>0</v>
      </c>
      <c r="DH7" s="21">
        <f>CW7/(1+TEA!B$16)^$A7</f>
        <v>-120181.36664397885</v>
      </c>
      <c r="DI7" s="21">
        <f>CX7/(1+TEA!C$16)^$A7</f>
        <v>-121377.17263761563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-4620497.9024314815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-1685921.636152619</v>
      </c>
      <c r="C8" s="21">
        <f t="shared" si="3"/>
        <v>-1682786.4576519174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-43366050.023300573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TEA!B$10-TEA!B$43-M8-AI8</f>
        <v>-103901.77509995313</v>
      </c>
      <c r="BF8" s="21">
        <f>TEA!C$10-TEA!C$43-N8-AJ8</f>
        <v>-105072.30035334828</v>
      </c>
      <c r="BG8" s="21" t="e">
        <f>TEA!D$10-TEA!D$43-O8-AK8</f>
        <v>#VALUE!</v>
      </c>
      <c r="BH8" s="21" t="e">
        <f>TEA!E$10-TEA!E$43-P8-AL8</f>
        <v>#VALUE!</v>
      </c>
      <c r="BI8" s="21"/>
      <c r="BJ8" s="21">
        <f>TEA!G$10-TEA!G$43-R8-AN8</f>
        <v>0</v>
      </c>
      <c r="BK8" s="21">
        <f>TEA!H$10-TEA!H$43-S8-AO8</f>
        <v>0</v>
      </c>
      <c r="BL8" s="21">
        <f>TEA!I$10-TEA!I$43-T8-AP8</f>
        <v>-7776484.3627677383</v>
      </c>
      <c r="BM8" s="21">
        <f>TEA!J$10-TEA!J$43-U8-AQ8</f>
        <v>0</v>
      </c>
      <c r="BN8" s="21">
        <f>TEA!K$10-TEA!K$43-V8-AR8</f>
        <v>0</v>
      </c>
      <c r="BO8" s="21">
        <f>TEA!L$10-TEA!L$43-W8-AS8</f>
        <v>0</v>
      </c>
      <c r="BP8" s="21">
        <f t="shared" si="12"/>
        <v>-780977.42804351461</v>
      </c>
      <c r="BQ8" s="21">
        <f t="shared" si="13"/>
        <v>-777412.91737162613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-45909628.531196348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-884879.20314346778</v>
      </c>
      <c r="CB8" s="21">
        <f t="shared" si="18"/>
        <v>-882485.21772497438</v>
      </c>
      <c r="CC8" s="21" t="e">
        <f t="shared" si="19"/>
        <v>#VALUE!</v>
      </c>
      <c r="CD8" s="21" t="e">
        <f t="shared" si="20"/>
        <v>#VALUE!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-53686112.893964089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IF(CA8&gt;0,CA8*TEA!B$17-TEA!B$24,0)</f>
        <v>0</v>
      </c>
      <c r="CM8" s="21">
        <f>IF(CB8&gt;0,CB8*TEA!C$17-TEA!C$24,0)</f>
        <v>0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TEA!B$10-TEA!B$43-X8-CL8</f>
        <v>-175957.53890344949</v>
      </c>
      <c r="CX8" s="21">
        <f>TEA!C$10-TEA!C$43-Y8-CM8</f>
        <v>-177708.31845873309</v>
      </c>
      <c r="CY8" s="21" t="e">
        <f>TEA!D$10-TEA!D$43-Z8-CN8</f>
        <v>#VALUE!</v>
      </c>
      <c r="CZ8" s="21" t="e">
        <f>TEA!E$10-TEA!E$43-AA8-CO8</f>
        <v>#VALUE!</v>
      </c>
      <c r="DA8" s="21"/>
      <c r="DB8" s="21">
        <f>TEA!G$10-TEA!G$43-AC8-CQ8</f>
        <v>0</v>
      </c>
      <c r="DC8" s="21">
        <f>TEA!H$10-TEA!H$43-AD8-CR8</f>
        <v>0</v>
      </c>
      <c r="DD8" s="21">
        <f>TEA!I$10-TEA!I$43-AE8-CS8</f>
        <v>-6764870.9789499333</v>
      </c>
      <c r="DE8" s="21">
        <f>TEA!J$10-TEA!J$43-AF8-CT8</f>
        <v>0</v>
      </c>
      <c r="DF8" s="21">
        <f>TEA!K$10-TEA!K$43-AG8-CU8</f>
        <v>0</v>
      </c>
      <c r="DG8" s="21">
        <f>TEA!L$10-TEA!L$43-AH8-CV8</f>
        <v>0</v>
      </c>
      <c r="DH8" s="21">
        <f>CW8/(1+TEA!B$16)^$A8</f>
        <v>-109255.78785816258</v>
      </c>
      <c r="DI8" s="21">
        <f>CX8/(1+TEA!C$16)^$A8</f>
        <v>-110342.88421601419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-4200452.6385740731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-1785245.0796600396</v>
      </c>
      <c r="C9" s="21">
        <f t="shared" si="3"/>
        <v>-1783098.1705755666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-47184643.331095189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TEA!B$10-TEA!B$43-M9-AI9</f>
        <v>-92419.069101963411</v>
      </c>
      <c r="BF9" s="21">
        <f>TEA!C$10-TEA!C$43-N9-AJ9</f>
        <v>-93699.721619017349</v>
      </c>
      <c r="BG9" s="21" t="e">
        <f>TEA!D$10-TEA!D$43-O9-AK9</f>
        <v>#VALUE!</v>
      </c>
      <c r="BH9" s="21" t="e">
        <f>TEA!E$10-TEA!E$43-P9-AL9</f>
        <v>#VALUE!</v>
      </c>
      <c r="BI9" s="21"/>
      <c r="BJ9" s="21">
        <f>TEA!G$10-TEA!G$43-R9-AN9</f>
        <v>0</v>
      </c>
      <c r="BK9" s="21">
        <f>TEA!H$10-TEA!H$43-S9-AO9</f>
        <v>0</v>
      </c>
      <c r="BL9" s="21">
        <f>TEA!I$10-TEA!I$43-T9-AP9</f>
        <v>-7576764.9004600998</v>
      </c>
      <c r="BM9" s="21">
        <f>TEA!J$10-TEA!J$43-U9-AQ9</f>
        <v>0</v>
      </c>
      <c r="BN9" s="21">
        <f>TEA!K$10-TEA!K$43-V9-AR9</f>
        <v>0</v>
      </c>
      <c r="BO9" s="21">
        <f>TEA!L$10-TEA!L$43-W9-AS9</f>
        <v>0</v>
      </c>
      <c r="BP9" s="21">
        <f t="shared" si="12"/>
        <v>-884879.20314346778</v>
      </c>
      <c r="BQ9" s="21">
        <f t="shared" si="13"/>
        <v>-882485.21772497438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-53686112.893964089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-977298.2722454312</v>
      </c>
      <c r="CB9" s="21">
        <f t="shared" si="18"/>
        <v>-976184.93934399169</v>
      </c>
      <c r="CC9" s="21" t="e">
        <f t="shared" si="19"/>
        <v>#VALUE!</v>
      </c>
      <c r="CD9" s="21" t="e">
        <f t="shared" si="20"/>
        <v>#VALUE!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-61262877.794424191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IF(CA9&gt;0,CA9*TEA!B$17-TEA!B$24,0)</f>
        <v>0</v>
      </c>
      <c r="CM9" s="21">
        <f>IF(CB9&gt;0,CB9*TEA!C$17-TEA!C$24,0)</f>
        <v>0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TEA!B$10-TEA!B$43-X9-CL9</f>
        <v>-175957.53890344949</v>
      </c>
      <c r="CX9" s="21">
        <f>TEA!C$10-TEA!C$43-Y9-CM9</f>
        <v>-177708.31845873309</v>
      </c>
      <c r="CY9" s="21" t="e">
        <f>TEA!D$10-TEA!D$43-Z9-CN9</f>
        <v>#VALUE!</v>
      </c>
      <c r="CZ9" s="21" t="e">
        <f>TEA!E$10-TEA!E$43-AA9-CO9</f>
        <v>#VALUE!</v>
      </c>
      <c r="DA9" s="21"/>
      <c r="DB9" s="21">
        <f>TEA!G$10-TEA!G$43-AC9-CQ9</f>
        <v>0</v>
      </c>
      <c r="DC9" s="21">
        <f>TEA!H$10-TEA!H$43-AD9-CR9</f>
        <v>0</v>
      </c>
      <c r="DD9" s="21">
        <f>TEA!I$10-TEA!I$43-AE9-CS9</f>
        <v>-6764870.9789499333</v>
      </c>
      <c r="DE9" s="21">
        <f>TEA!J$10-TEA!J$43-AF9-CT9</f>
        <v>0</v>
      </c>
      <c r="DF9" s="21">
        <f>TEA!K$10-TEA!K$43-AG9-CU9</f>
        <v>0</v>
      </c>
      <c r="DG9" s="21">
        <f>TEA!L$10-TEA!L$43-AH9-CV9</f>
        <v>0</v>
      </c>
      <c r="DH9" s="21">
        <f>CW9/(1+TEA!B$16)^$A9</f>
        <v>-99323.443507420525</v>
      </c>
      <c r="DI9" s="21">
        <f>CX9/(1+TEA!C$16)^$A9</f>
        <v>-100311.71292364926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-3818593.3077946119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-1875539.11921224</v>
      </c>
      <c r="C10" s="21">
        <f t="shared" si="3"/>
        <v>-1874290.6368697933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-50656091.792726651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TEA!B$10-TEA!B$43-M10-AI10</f>
        <v>-80017.746624134525</v>
      </c>
      <c r="BF10" s="21">
        <f>TEA!C$10-TEA!C$43-N10-AJ10</f>
        <v>-81417.336585939935</v>
      </c>
      <c r="BG10" s="21" t="e">
        <f>TEA!D$10-TEA!D$43-O10-AK10</f>
        <v>#VALUE!</v>
      </c>
      <c r="BH10" s="21" t="e">
        <f>TEA!E$10-TEA!E$43-P10-AL10</f>
        <v>#VALUE!</v>
      </c>
      <c r="BI10" s="21"/>
      <c r="BJ10" s="21">
        <f>TEA!G$10-TEA!G$43-R10-AN10</f>
        <v>0</v>
      </c>
      <c r="BK10" s="21">
        <f>TEA!H$10-TEA!H$43-S10-AO10</f>
        <v>0</v>
      </c>
      <c r="BL10" s="21">
        <f>TEA!I$10-TEA!I$43-T10-AP10</f>
        <v>-7361067.8811678505</v>
      </c>
      <c r="BM10" s="21">
        <f>TEA!J$10-TEA!J$43-U10-AQ10</f>
        <v>0</v>
      </c>
      <c r="BN10" s="21">
        <f>TEA!K$10-TEA!K$43-V10-AR10</f>
        <v>0</v>
      </c>
      <c r="BO10" s="21">
        <f>TEA!L$10-TEA!L$43-W10-AS10</f>
        <v>0</v>
      </c>
      <c r="BP10" s="21">
        <f t="shared" si="12"/>
        <v>-977298.2722454312</v>
      </c>
      <c r="BQ10" s="21">
        <f t="shared" si="13"/>
        <v>-976184.93934399169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-61262877.794424191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-1057316.0188695658</v>
      </c>
      <c r="CB10" s="21">
        <f t="shared" si="18"/>
        <v>-1057602.2759299316</v>
      </c>
      <c r="CC10" s="21" t="e">
        <f t="shared" si="19"/>
        <v>#VALUE!</v>
      </c>
      <c r="CD10" s="21" t="e">
        <f t="shared" si="20"/>
        <v>#VALUE!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-68623945.675592035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IF(CA10&gt;0,CA10*TEA!B$17-TEA!B$24,0)</f>
        <v>0</v>
      </c>
      <c r="CM10" s="21">
        <f>IF(CB10&gt;0,CB10*TEA!C$17-TEA!C$24,0)</f>
        <v>0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TEA!B$10-TEA!B$43-X10-CL10</f>
        <v>-175957.53890344949</v>
      </c>
      <c r="CX10" s="21">
        <f>TEA!C$10-TEA!C$43-Y10-CM10</f>
        <v>-177708.31845873309</v>
      </c>
      <c r="CY10" s="21" t="e">
        <f>TEA!D$10-TEA!D$43-Z10-CN10</f>
        <v>#VALUE!</v>
      </c>
      <c r="CZ10" s="21" t="e">
        <f>TEA!E$10-TEA!E$43-AA10-CO10</f>
        <v>#VALUE!</v>
      </c>
      <c r="DA10" s="21"/>
      <c r="DB10" s="21">
        <f>TEA!G$10-TEA!G$43-AC10-CQ10</f>
        <v>0</v>
      </c>
      <c r="DC10" s="21">
        <f>TEA!H$10-TEA!H$43-AD10-CR10</f>
        <v>0</v>
      </c>
      <c r="DD10" s="21">
        <f>TEA!I$10-TEA!I$43-AE10-CS10</f>
        <v>-6764870.9789499333</v>
      </c>
      <c r="DE10" s="21">
        <f>TEA!J$10-TEA!J$43-AF10-CT10</f>
        <v>0</v>
      </c>
      <c r="DF10" s="21">
        <f>TEA!K$10-TEA!K$43-AG10-CU10</f>
        <v>0</v>
      </c>
      <c r="DG10" s="21">
        <f>TEA!L$10-TEA!L$43-AH10-CV10</f>
        <v>0</v>
      </c>
      <c r="DH10" s="21">
        <f>CW10/(1+TEA!B$16)^$A10</f>
        <v>-90294.039552200455</v>
      </c>
      <c r="DI10" s="21">
        <f>CX10/(1+TEA!C$16)^$A10</f>
        <v>-91192.466294226586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-3471448.4616314648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-1957624.6097142403</v>
      </c>
      <c r="C11" s="21">
        <f t="shared" si="3"/>
        <v>-1957192.8789554539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-53811954.030573435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TEA!B$10-TEA!B$43-M11-AI11</f>
        <v>-31286.849903804032</v>
      </c>
      <c r="BF11" s="21">
        <f>TEA!C$10-TEA!C$43-N11-AJ11</f>
        <v>-33782.321342968193</v>
      </c>
      <c r="BG11" s="21" t="e">
        <f>TEA!D$10-TEA!D$43-O11-AK11</f>
        <v>#VALUE!</v>
      </c>
      <c r="BH11" s="21" t="e">
        <f>TEA!E$10-TEA!E$43-P11-AL11</f>
        <v>#VALUE!</v>
      </c>
      <c r="BI11" s="21"/>
      <c r="BJ11" s="21">
        <f>TEA!G$10-TEA!G$43-R11-AN11</f>
        <v>0</v>
      </c>
      <c r="BK11" s="21">
        <f>TEA!H$10-TEA!H$43-S11-AO11</f>
        <v>0</v>
      </c>
      <c r="BL11" s="21">
        <f>TEA!I$10-TEA!I$43-T11-AP11</f>
        <v>-5393770.233397563</v>
      </c>
      <c r="BM11" s="21">
        <f>TEA!J$10-TEA!J$43-U11-AQ11</f>
        <v>0</v>
      </c>
      <c r="BN11" s="21">
        <f>TEA!K$10-TEA!K$43-V11-AR11</f>
        <v>0</v>
      </c>
      <c r="BO11" s="21">
        <f>TEA!L$10-TEA!L$43-W11-AS11</f>
        <v>0</v>
      </c>
      <c r="BP11" s="21">
        <f t="shared" si="12"/>
        <v>-1057316.0188695658</v>
      </c>
      <c r="BQ11" s="21">
        <f t="shared" si="13"/>
        <v>-1057602.2759299316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-68623945.675592035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-1088602.8687733698</v>
      </c>
      <c r="CB11" s="21">
        <f t="shared" si="18"/>
        <v>-1091384.5972728997</v>
      </c>
      <c r="CC11" s="21" t="e">
        <f t="shared" si="19"/>
        <v>#VALUE!</v>
      </c>
      <c r="CD11" s="21" t="e">
        <f t="shared" si="20"/>
        <v>#VALUE!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-74017715.908989593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IF(CA11&gt;0,CA11*TEA!B$17-TEA!B$24,0)</f>
        <v>0</v>
      </c>
      <c r="CM11" s="21">
        <f>IF(CB11&gt;0,CB11*TEA!C$17-TEA!C$24,0)</f>
        <v>0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TEA!B$10-TEA!B$43-X11-CL11</f>
        <v>-175957.53890344949</v>
      </c>
      <c r="CX11" s="21">
        <f>TEA!C$10-TEA!C$43-Y11-CM11</f>
        <v>-177708.31845873309</v>
      </c>
      <c r="CY11" s="21" t="e">
        <f>TEA!D$10-TEA!D$43-Z11-CN11</f>
        <v>#VALUE!</v>
      </c>
      <c r="CZ11" s="21" t="e">
        <f>TEA!E$10-TEA!E$43-AA11-CO11</f>
        <v>#VALUE!</v>
      </c>
      <c r="DA11" s="21"/>
      <c r="DB11" s="21">
        <f>TEA!G$10-TEA!G$43-AC11-CQ11</f>
        <v>0</v>
      </c>
      <c r="DC11" s="21">
        <f>TEA!H$10-TEA!H$43-AD11-CR11</f>
        <v>0</v>
      </c>
      <c r="DD11" s="21">
        <f>TEA!I$10-TEA!I$43-AE11-CS11</f>
        <v>-6764870.9789499333</v>
      </c>
      <c r="DE11" s="21">
        <f>TEA!J$10-TEA!J$43-AF11-CT11</f>
        <v>0</v>
      </c>
      <c r="DF11" s="21">
        <f>TEA!K$10-TEA!K$43-AG11-CU11</f>
        <v>0</v>
      </c>
      <c r="DG11" s="21">
        <f>TEA!L$10-TEA!L$43-AH11-CV11</f>
        <v>0</v>
      </c>
      <c r="DH11" s="21">
        <f>CW11/(1+TEA!B$16)^$A11</f>
        <v>-82085.490502000423</v>
      </c>
      <c r="DI11" s="21">
        <f>CX11/(1+TEA!C$16)^$A11</f>
        <v>-82902.242085660546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-3155862.2378467862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-2032247.782897877</v>
      </c>
      <c r="C12" s="21">
        <f t="shared" si="3"/>
        <v>-2032558.5535787817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-56680919.701343238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TEA!B$10-TEA!B$43-M12-AI12</f>
        <v>19318.645361435327</v>
      </c>
      <c r="BF12" s="21">
        <f>TEA!C$10-TEA!C$43-N12-AJ12</f>
        <v>15695.029226117076</v>
      </c>
      <c r="BG12" s="21" t="e">
        <f>TEA!D$10-TEA!D$43-O12-AK12</f>
        <v>#VALUE!</v>
      </c>
      <c r="BH12" s="21" t="e">
        <f>TEA!E$10-TEA!E$43-P12-AL12</f>
        <v>#VALUE!</v>
      </c>
      <c r="BI12" s="21"/>
      <c r="BJ12" s="21">
        <f>TEA!G$10-TEA!G$43-R12-AN12</f>
        <v>0</v>
      </c>
      <c r="BK12" s="21">
        <f>TEA!H$10-TEA!H$43-S12-AO12</f>
        <v>0</v>
      </c>
      <c r="BL12" s="21">
        <f>TEA!I$10-TEA!I$43-T12-AP12</f>
        <v>-3368419.4343664558</v>
      </c>
      <c r="BM12" s="21">
        <f>TEA!J$10-TEA!J$43-U12-AQ12</f>
        <v>0</v>
      </c>
      <c r="BN12" s="21">
        <f>TEA!K$10-TEA!K$43-V12-AR12</f>
        <v>0</v>
      </c>
      <c r="BO12" s="21">
        <f>TEA!L$10-TEA!L$43-W12-AS12</f>
        <v>0</v>
      </c>
      <c r="BP12" s="21">
        <f t="shared" si="12"/>
        <v>-1088602.8687733698</v>
      </c>
      <c r="BQ12" s="21">
        <f t="shared" si="13"/>
        <v>-1091384.5972728997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-74017715.908989593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-1069284.2234119345</v>
      </c>
      <c r="CB12" s="21">
        <f t="shared" si="18"/>
        <v>-1075689.5680467826</v>
      </c>
      <c r="CC12" s="21" t="e">
        <f t="shared" si="19"/>
        <v>#VALUE!</v>
      </c>
      <c r="CD12" s="21" t="e">
        <f t="shared" si="20"/>
        <v>#VALUE!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-77386135.343356043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IF(CA12&gt;0,CA12*TEA!B$17-TEA!B$24,0)</f>
        <v>0</v>
      </c>
      <c r="CM12" s="21">
        <f>IF(CB12&gt;0,CB12*TEA!C$17-TEA!C$24,0)</f>
        <v>0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TEA!B$10-TEA!B$43-X12-CL12</f>
        <v>-175957.53890344949</v>
      </c>
      <c r="CX12" s="21">
        <f>TEA!C$10-TEA!C$43-Y12-CM12</f>
        <v>-177708.31845873309</v>
      </c>
      <c r="CY12" s="21" t="e">
        <f>TEA!D$10-TEA!D$43-Z12-CN12</f>
        <v>#VALUE!</v>
      </c>
      <c r="CZ12" s="21" t="e">
        <f>TEA!E$10-TEA!E$43-AA12-CO12</f>
        <v>#VALUE!</v>
      </c>
      <c r="DA12" s="21"/>
      <c r="DB12" s="21">
        <f>TEA!G$10-TEA!G$43-AC12-CQ12</f>
        <v>0</v>
      </c>
      <c r="DC12" s="21">
        <f>TEA!H$10-TEA!H$43-AD12-CR12</f>
        <v>0</v>
      </c>
      <c r="DD12" s="21">
        <f>TEA!I$10-TEA!I$43-AE12-CS12</f>
        <v>-6764870.9789499333</v>
      </c>
      <c r="DE12" s="21">
        <f>TEA!J$10-TEA!J$43-AF12-CT12</f>
        <v>0</v>
      </c>
      <c r="DF12" s="21">
        <f>TEA!K$10-TEA!K$43-AG12-CU12</f>
        <v>0</v>
      </c>
      <c r="DG12" s="21">
        <f>TEA!L$10-TEA!L$43-AH12-CV12</f>
        <v>0</v>
      </c>
      <c r="DH12" s="21">
        <f>CW12/(1+TEA!B$16)^$A12</f>
        <v>-74623.17318363674</v>
      </c>
      <c r="DI12" s="21">
        <f>CX12/(1+TEA!C$16)^$A12</f>
        <v>-75365.674623327752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-2868965.6707698056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-2100087.0312466379</v>
      </c>
      <c r="C13" s="21">
        <f t="shared" si="3"/>
        <v>-2101072.8032363523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-59289070.311133973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TEA!B$10-TEA!B$43-M13-AI13</f>
        <v>34940.740102626107</v>
      </c>
      <c r="BF13" s="21">
        <f>TEA!C$10-TEA!C$43-N13-AJ13</f>
        <v>31167.29704090509</v>
      </c>
      <c r="BG13" s="21" t="e">
        <f>TEA!D$10-TEA!D$43-O13-AK13</f>
        <v>#VALUE!</v>
      </c>
      <c r="BH13" s="21" t="e">
        <f>TEA!E$10-TEA!E$43-P13-AL13</f>
        <v>#VALUE!</v>
      </c>
      <c r="BI13" s="21"/>
      <c r="BJ13" s="21">
        <f>TEA!G$10-TEA!G$43-R13-AN13</f>
        <v>0</v>
      </c>
      <c r="BK13" s="21">
        <f>TEA!H$10-TEA!H$43-S13-AO13</f>
        <v>0</v>
      </c>
      <c r="BL13" s="21">
        <f>TEA!I$10-TEA!I$43-T13-AP13</f>
        <v>-3096703.3107997775</v>
      </c>
      <c r="BM13" s="21">
        <f>TEA!J$10-TEA!J$43-U13-AQ13</f>
        <v>0</v>
      </c>
      <c r="BN13" s="21">
        <f>TEA!K$10-TEA!K$43-V13-AR13</f>
        <v>0</v>
      </c>
      <c r="BO13" s="21">
        <f>TEA!L$10-TEA!L$43-W13-AS13</f>
        <v>0</v>
      </c>
      <c r="BP13" s="21">
        <f t="shared" si="12"/>
        <v>-1069284.2234119345</v>
      </c>
      <c r="BQ13" s="21">
        <f t="shared" si="13"/>
        <v>-1075689.5680467826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-77386135.343356043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-1034343.4833093083</v>
      </c>
      <c r="CB13" s="21">
        <f t="shared" si="18"/>
        <v>-1044522.2710058775</v>
      </c>
      <c r="CC13" s="21" t="e">
        <f t="shared" si="19"/>
        <v>#VALUE!</v>
      </c>
      <c r="CD13" s="21" t="e">
        <f t="shared" si="20"/>
        <v>#VALUE!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-80482838.654155821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IF(CA13&gt;0,CA13*TEA!B$17-TEA!B$24,0)</f>
        <v>0</v>
      </c>
      <c r="CM13" s="21">
        <f>IF(CB13&gt;0,CB13*TEA!C$17-TEA!C$24,0)</f>
        <v>0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TEA!B$10-TEA!B$43-X13-CL13</f>
        <v>-175957.53890344949</v>
      </c>
      <c r="CX13" s="21">
        <f>TEA!C$10-TEA!C$43-Y13-CM13</f>
        <v>-177708.31845873309</v>
      </c>
      <c r="CY13" s="21" t="e">
        <f>TEA!D$10-TEA!D$43-Z13-CN13</f>
        <v>#VALUE!</v>
      </c>
      <c r="CZ13" s="21" t="e">
        <f>TEA!E$10-TEA!E$43-AA13-CO13</f>
        <v>#VALUE!</v>
      </c>
      <c r="DA13" s="21"/>
      <c r="DB13" s="21">
        <f>TEA!G$10-TEA!G$43-AC13-CQ13</f>
        <v>0</v>
      </c>
      <c r="DC13" s="21">
        <f>TEA!H$10-TEA!H$43-AD13-CR13</f>
        <v>0</v>
      </c>
      <c r="DD13" s="21">
        <f>TEA!I$10-TEA!I$43-AE13-CS13</f>
        <v>-6764870.9789499333</v>
      </c>
      <c r="DE13" s="21">
        <f>TEA!J$10-TEA!J$43-AF13-CT13</f>
        <v>0</v>
      </c>
      <c r="DF13" s="21">
        <f>TEA!K$10-TEA!K$43-AG13-CU13</f>
        <v>0</v>
      </c>
      <c r="DG13" s="21">
        <f>TEA!L$10-TEA!L$43-AH13-CV13</f>
        <v>0</v>
      </c>
      <c r="DH13" s="21">
        <f>CW13/(1+TEA!B$16)^$A13</f>
        <v>-67839.248348760666</v>
      </c>
      <c r="DI13" s="21">
        <f>CX13/(1+TEA!C$16)^$A13</f>
        <v>-68514.249657570675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-2608150.6097907322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-2081927.0301810822</v>
      </c>
      <c r="C14" s="21">
        <f t="shared" si="3"/>
        <v>-2084292.085441547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-60271592.298876204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TEA!B$10-TEA!B$43-M14-AI14</f>
        <v>51812.602423112156</v>
      </c>
      <c r="BF14" s="21">
        <f>TEA!C$10-TEA!C$43-N14-AJ14</f>
        <v>47877.346280876147</v>
      </c>
      <c r="BG14" s="21" t="e">
        <f>TEA!D$10-TEA!D$43-O14-AK14</f>
        <v>#VALUE!</v>
      </c>
      <c r="BH14" s="21" t="e">
        <f>TEA!E$10-TEA!E$43-P14-AL14</f>
        <v>#VALUE!</v>
      </c>
      <c r="BI14" s="21"/>
      <c r="BJ14" s="21">
        <f>TEA!G$10-TEA!G$43-R14-AN14</f>
        <v>0</v>
      </c>
      <c r="BK14" s="21">
        <f>TEA!H$10-TEA!H$43-S14-AO14</f>
        <v>0</v>
      </c>
      <c r="BL14" s="21">
        <f>TEA!I$10-TEA!I$43-T14-AP14</f>
        <v>-2803249.897347765</v>
      </c>
      <c r="BM14" s="21">
        <f>TEA!J$10-TEA!J$43-U14-AQ14</f>
        <v>0</v>
      </c>
      <c r="BN14" s="21">
        <f>TEA!K$10-TEA!K$43-V14-AR14</f>
        <v>0</v>
      </c>
      <c r="BO14" s="21">
        <f>TEA!L$10-TEA!L$43-W14-AS14</f>
        <v>0</v>
      </c>
      <c r="BP14" s="21">
        <f t="shared" si="12"/>
        <v>-1034343.4833093083</v>
      </c>
      <c r="BQ14" s="21">
        <f t="shared" si="13"/>
        <v>-1044522.2710058775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-80482838.654155821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-982530.88088619616</v>
      </c>
      <c r="CB14" s="21">
        <f t="shared" si="18"/>
        <v>-996644.92472500133</v>
      </c>
      <c r="CC14" s="21" t="e">
        <f t="shared" si="19"/>
        <v>#VALUE!</v>
      </c>
      <c r="CD14" s="21" t="e">
        <f t="shared" si="20"/>
        <v>#VALUE!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-83286088.551503584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IF(CA14&gt;0,CA14*TEA!B$17-TEA!B$24,0)</f>
        <v>0</v>
      </c>
      <c r="CM14" s="21">
        <f>IF(CB14&gt;0,CB14*TEA!C$17-TEA!C$24,0)</f>
        <v>0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0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TEA!B$10-TEA!B$43-X14-CL14</f>
        <v>51812.602423112214</v>
      </c>
      <c r="CX14" s="21">
        <f>TEA!C$10-TEA!C$43-Y14-CM14</f>
        <v>47877.346280876183</v>
      </c>
      <c r="CY14" s="21" t="e">
        <f>TEA!D$10-TEA!D$43-Z14-CN14</f>
        <v>#VALUE!</v>
      </c>
      <c r="CZ14" s="21" t="e">
        <f>TEA!E$10-TEA!E$43-AA14-CO14</f>
        <v>#VALUE!</v>
      </c>
      <c r="DA14" s="21"/>
      <c r="DB14" s="21">
        <f>TEA!G$10-TEA!G$43-AC14-CQ14</f>
        <v>0</v>
      </c>
      <c r="DC14" s="21">
        <f>TEA!H$10-TEA!H$43-AD14-CR14</f>
        <v>0</v>
      </c>
      <c r="DD14" s="21">
        <f>TEA!I$10-TEA!I$43-AE14-CS14</f>
        <v>-2803249.8973477646</v>
      </c>
      <c r="DE14" s="21">
        <f>TEA!J$10-TEA!J$43-AF14-CT14</f>
        <v>0</v>
      </c>
      <c r="DF14" s="21">
        <f>TEA!K$10-TEA!K$43-AG14-CU14</f>
        <v>0</v>
      </c>
      <c r="DG14" s="21">
        <f>TEA!L$10-TEA!L$43-AH14-CV14</f>
        <v>0</v>
      </c>
      <c r="DH14" s="21">
        <f>CW14/(1+TEA!B$16)^$A14</f>
        <v>18160.001065555629</v>
      </c>
      <c r="DI14" s="21">
        <f>CX14/(1+TEA!C$16)^$A14</f>
        <v>16780.717794805223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-982521.98774223041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-2065417.9383033044</v>
      </c>
      <c r="C15" s="21">
        <f t="shared" si="3"/>
        <v>-2069036.8874462694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-61164794.105914593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TEA!B$10-TEA!B$43-M15-AI15</f>
        <v>51812.602423112156</v>
      </c>
      <c r="BF15" s="21">
        <f>TEA!C$10-TEA!C$43-N15-AJ15</f>
        <v>47877.34628087614</v>
      </c>
      <c r="BG15" s="21" t="e">
        <f>TEA!D$10-TEA!D$43-O15-AK15</f>
        <v>#VALUE!</v>
      </c>
      <c r="BH15" s="21" t="e">
        <f>TEA!E$10-TEA!E$43-P15-AL15</f>
        <v>#VALUE!</v>
      </c>
      <c r="BI15" s="21"/>
      <c r="BJ15" s="21">
        <f>TEA!G$10-TEA!G$43-R15-AN15</f>
        <v>0</v>
      </c>
      <c r="BK15" s="21">
        <f>TEA!H$10-TEA!H$43-S15-AO15</f>
        <v>0</v>
      </c>
      <c r="BL15" s="21">
        <f>TEA!I$10-TEA!I$43-T15-AP15</f>
        <v>-2803249.897347765</v>
      </c>
      <c r="BM15" s="21">
        <f>TEA!J$10-TEA!J$43-U15-AQ15</f>
        <v>0</v>
      </c>
      <c r="BN15" s="21">
        <f>TEA!K$10-TEA!K$43-V15-AR15</f>
        <v>0</v>
      </c>
      <c r="BO15" s="21">
        <f>TEA!L$10-TEA!L$43-W15-AS15</f>
        <v>0</v>
      </c>
      <c r="BP15" s="21">
        <f t="shared" si="12"/>
        <v>-982530.88088619616</v>
      </c>
      <c r="BQ15" s="21">
        <f t="shared" si="13"/>
        <v>-996644.92472500133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-83286088.551503584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-930718.27846308402</v>
      </c>
      <c r="CB15" s="21">
        <f t="shared" si="18"/>
        <v>-948767.57844412513</v>
      </c>
      <c r="CC15" s="21" t="e">
        <f t="shared" si="19"/>
        <v>#VALUE!</v>
      </c>
      <c r="CD15" s="21" t="e">
        <f t="shared" si="20"/>
        <v>#VALUE!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-86089338.448851347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IF(CA15&gt;0,CA15*TEA!B$17-TEA!B$24,0)</f>
        <v>0</v>
      </c>
      <c r="CM15" s="21">
        <f>IF(CB15&gt;0,CB15*TEA!C$17-TEA!C$24,0)</f>
        <v>0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0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TEA!B$10-TEA!B$43-X15-CL15</f>
        <v>51812.602423112214</v>
      </c>
      <c r="CX15" s="21">
        <f>TEA!C$10-TEA!C$43-Y15-CM15</f>
        <v>47877.346280876183</v>
      </c>
      <c r="CY15" s="21" t="e">
        <f>TEA!D$10-TEA!D$43-Z15-CN15</f>
        <v>#VALUE!</v>
      </c>
      <c r="CZ15" s="21" t="e">
        <f>TEA!E$10-TEA!E$43-AA15-CO15</f>
        <v>#VALUE!</v>
      </c>
      <c r="DA15" s="21"/>
      <c r="DB15" s="21">
        <f>TEA!G$10-TEA!G$43-AC15-CQ15</f>
        <v>0</v>
      </c>
      <c r="DC15" s="21">
        <f>TEA!H$10-TEA!H$43-AD15-CR15</f>
        <v>0</v>
      </c>
      <c r="DD15" s="21">
        <f>TEA!I$10-TEA!I$43-AE15-CS15</f>
        <v>-2803249.8973477646</v>
      </c>
      <c r="DE15" s="21">
        <f>TEA!J$10-TEA!J$43-AF15-CT15</f>
        <v>0</v>
      </c>
      <c r="DF15" s="21">
        <f>TEA!K$10-TEA!K$43-AG15-CU15</f>
        <v>0</v>
      </c>
      <c r="DG15" s="21">
        <f>TEA!L$10-TEA!L$43-AH15-CV15</f>
        <v>0</v>
      </c>
      <c r="DH15" s="21">
        <f>CW15/(1+TEA!B$16)^$A15</f>
        <v>16509.091877777846</v>
      </c>
      <c r="DI15" s="21">
        <f>CX15/(1+TEA!C$16)^$A15</f>
        <v>15255.197995277476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-893201.80703839124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-2050409.67295987</v>
      </c>
      <c r="C16" s="21">
        <f t="shared" si="3"/>
        <v>-2055168.5256323807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-61976795.748676769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TEA!B$10-TEA!B$43-M16-AI16</f>
        <v>51812.602423112148</v>
      </c>
      <c r="BF16" s="21">
        <f>TEA!C$10-TEA!C$43-N16-AJ16</f>
        <v>47877.34628087614</v>
      </c>
      <c r="BG16" s="21" t="e">
        <f>TEA!D$10-TEA!D$43-O16-AK16</f>
        <v>#VALUE!</v>
      </c>
      <c r="BH16" s="21" t="e">
        <f>TEA!E$10-TEA!E$43-P16-AL16</f>
        <v>#VALUE!</v>
      </c>
      <c r="BI16" s="21"/>
      <c r="BJ16" s="21">
        <f>TEA!G$10-TEA!G$43-R16-AN16</f>
        <v>0</v>
      </c>
      <c r="BK16" s="21">
        <f>TEA!H$10-TEA!H$43-S16-AO16</f>
        <v>0</v>
      </c>
      <c r="BL16" s="21">
        <f>TEA!I$10-TEA!I$43-T16-AP16</f>
        <v>-2803249.897347765</v>
      </c>
      <c r="BM16" s="21">
        <f>TEA!J$10-TEA!J$43-U16-AQ16</f>
        <v>0</v>
      </c>
      <c r="BN16" s="21">
        <f>TEA!K$10-TEA!K$43-V16-AR16</f>
        <v>0</v>
      </c>
      <c r="BO16" s="21">
        <f>TEA!L$10-TEA!L$43-W16-AS16</f>
        <v>0</v>
      </c>
      <c r="BP16" s="21">
        <f t="shared" si="12"/>
        <v>-930718.27846308402</v>
      </c>
      <c r="BQ16" s="21">
        <f t="shared" si="13"/>
        <v>-948767.57844412513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-86089338.448851347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-878905.67603997188</v>
      </c>
      <c r="CB16" s="21">
        <f t="shared" si="18"/>
        <v>-900890.23216324905</v>
      </c>
      <c r="CC16" s="21" t="e">
        <f t="shared" si="19"/>
        <v>#VALUE!</v>
      </c>
      <c r="CD16" s="21" t="e">
        <f t="shared" si="20"/>
        <v>#VALUE!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-88892588.34619911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IF(CA16&gt;0,CA16*TEA!B$17-TEA!B$24,0)</f>
        <v>0</v>
      </c>
      <c r="CM16" s="21">
        <f>IF(CB16&gt;0,CB16*TEA!C$17-TEA!C$24,0)</f>
        <v>0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0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TEA!B$10-TEA!B$43-X16-CL16</f>
        <v>51812.602423112214</v>
      </c>
      <c r="CX16" s="21">
        <f>TEA!C$10-TEA!C$43-Y16-CM16</f>
        <v>47877.346280876183</v>
      </c>
      <c r="CY16" s="21" t="e">
        <f>TEA!D$10-TEA!D$43-Z16-CN16</f>
        <v>#VALUE!</v>
      </c>
      <c r="CZ16" s="21" t="e">
        <f>TEA!E$10-TEA!E$43-AA16-CO16</f>
        <v>#VALUE!</v>
      </c>
      <c r="DA16" s="21"/>
      <c r="DB16" s="21">
        <f>TEA!G$10-TEA!G$43-AC16-CQ16</f>
        <v>0</v>
      </c>
      <c r="DC16" s="21">
        <f>TEA!H$10-TEA!H$43-AD16-CR16</f>
        <v>0</v>
      </c>
      <c r="DD16" s="21">
        <f>TEA!I$10-TEA!I$43-AE16-CS16</f>
        <v>-2803249.8973477646</v>
      </c>
      <c r="DE16" s="21">
        <f>TEA!J$10-TEA!J$43-AF16-CT16</f>
        <v>0</v>
      </c>
      <c r="DF16" s="21">
        <f>TEA!K$10-TEA!K$43-AG16-CU16</f>
        <v>0</v>
      </c>
      <c r="DG16" s="21">
        <f>TEA!L$10-TEA!L$43-AH16-CV16</f>
        <v>0</v>
      </c>
      <c r="DH16" s="21">
        <f>CW16/(1+TEA!B$16)^$A16</f>
        <v>15008.265343434405</v>
      </c>
      <c r="DI16" s="21">
        <f>CX16/(1+TEA!C$16)^$A16</f>
        <v>13868.361813888614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-812001.6427621739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-2036765.7953749297</v>
      </c>
      <c r="C17" s="21">
        <f t="shared" si="3"/>
        <v>-2042560.9239833911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-62714979.060278744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TEA!B$10-TEA!B$43-M17-AI17</f>
        <v>51812.602423112214</v>
      </c>
      <c r="BF17" s="21">
        <f>TEA!C$10-TEA!C$43-N17-AJ17</f>
        <v>47877.346280876183</v>
      </c>
      <c r="BG17" s="21" t="e">
        <f>TEA!D$10-TEA!D$43-O17-AK17</f>
        <v>#VALUE!</v>
      </c>
      <c r="BH17" s="21" t="e">
        <f>TEA!E$10-TEA!E$43-P17-AL17</f>
        <v>#VALUE!</v>
      </c>
      <c r="BI17" s="21"/>
      <c r="BJ17" s="21">
        <f>TEA!G$10-TEA!G$43-R17-AN17</f>
        <v>0</v>
      </c>
      <c r="BK17" s="21">
        <f>TEA!H$10-TEA!H$43-S17-AO17</f>
        <v>0</v>
      </c>
      <c r="BL17" s="21">
        <f>TEA!I$10-TEA!I$43-T17-AP17</f>
        <v>-2803249.8973477646</v>
      </c>
      <c r="BM17" s="21">
        <f>TEA!J$10-TEA!J$43-U17-AQ17</f>
        <v>0</v>
      </c>
      <c r="BN17" s="21">
        <f>TEA!K$10-TEA!K$43-V17-AR17</f>
        <v>0</v>
      </c>
      <c r="BO17" s="21">
        <f>TEA!L$10-TEA!L$43-W17-AS17</f>
        <v>0</v>
      </c>
      <c r="BP17" s="21">
        <f t="shared" si="12"/>
        <v>-878905.67603997188</v>
      </c>
      <c r="BQ17" s="21">
        <f t="shared" si="13"/>
        <v>-900890.23216324905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-88892588.34619911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-827093.07361685962</v>
      </c>
      <c r="CB17" s="21">
        <f t="shared" si="18"/>
        <v>-853012.88588237285</v>
      </c>
      <c r="CC17" s="21" t="e">
        <f t="shared" si="19"/>
        <v>#VALUE!</v>
      </c>
      <c r="CD17" s="21" t="e">
        <f t="shared" si="20"/>
        <v>#VALUE!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-91695838.243546873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IF(CA17&gt;0,CA17*TEA!B$17-TEA!B$24,0)</f>
        <v>0</v>
      </c>
      <c r="CM17" s="21">
        <f>IF(CB17&gt;0,CB17*TEA!C$17-TEA!C$24,0)</f>
        <v>0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0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TEA!B$10-TEA!B$43-X17-CL17</f>
        <v>51812.602423112214</v>
      </c>
      <c r="CX17" s="21">
        <f>TEA!C$10-TEA!C$43-Y17-CM17</f>
        <v>47877.346280876183</v>
      </c>
      <c r="CY17" s="21" t="e">
        <f>TEA!D$10-TEA!D$43-Z17-CN17</f>
        <v>#VALUE!</v>
      </c>
      <c r="CZ17" s="21" t="e">
        <f>TEA!E$10-TEA!E$43-AA17-CO17</f>
        <v>#VALUE!</v>
      </c>
      <c r="DA17" s="21"/>
      <c r="DB17" s="21">
        <f>TEA!G$10-TEA!G$43-AC17-CQ17</f>
        <v>0</v>
      </c>
      <c r="DC17" s="21">
        <f>TEA!H$10-TEA!H$43-AD17-CR17</f>
        <v>0</v>
      </c>
      <c r="DD17" s="21">
        <f>TEA!I$10-TEA!I$43-AE17-CS17</f>
        <v>-2803249.8973477646</v>
      </c>
      <c r="DE17" s="21">
        <f>TEA!J$10-TEA!J$43-AF17-CT17</f>
        <v>0</v>
      </c>
      <c r="DF17" s="21">
        <f>TEA!K$10-TEA!K$43-AG17-CU17</f>
        <v>0</v>
      </c>
      <c r="DG17" s="21">
        <f>TEA!L$10-TEA!L$43-AH17-CV17</f>
        <v>0</v>
      </c>
      <c r="DH17" s="21">
        <f>CW17/(1+TEA!B$16)^$A17</f>
        <v>13643.877584940366</v>
      </c>
      <c r="DI17" s="21">
        <f>CX17/(1+TEA!C$16)^$A17</f>
        <v>12607.601648989646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-738183.31160197617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-2024362.2702977112</v>
      </c>
      <c r="C18" s="21">
        <f t="shared" si="3"/>
        <v>-2031099.4679388551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-63386054.798098721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TEA!B$10-TEA!B$43-M18-AI18</f>
        <v>51812.602423112214</v>
      </c>
      <c r="BF18" s="21">
        <f>TEA!C$10-TEA!C$43-N18-AJ18</f>
        <v>47877.346280876183</v>
      </c>
      <c r="BG18" s="21" t="e">
        <f>TEA!D$10-TEA!D$43-O18-AK18</f>
        <v>#VALUE!</v>
      </c>
      <c r="BH18" s="21" t="e">
        <f>TEA!E$10-TEA!E$43-P18-AL18</f>
        <v>#VALUE!</v>
      </c>
      <c r="BI18" s="21"/>
      <c r="BJ18" s="21">
        <f>TEA!G$10-TEA!G$43-R18-AN18</f>
        <v>0</v>
      </c>
      <c r="BK18" s="21">
        <f>TEA!H$10-TEA!H$43-S18-AO18</f>
        <v>0</v>
      </c>
      <c r="BL18" s="21">
        <f>TEA!I$10-TEA!I$43-T18-AP18</f>
        <v>-2803249.8973477646</v>
      </c>
      <c r="BM18" s="21">
        <f>TEA!J$10-TEA!J$43-U18-AQ18</f>
        <v>0</v>
      </c>
      <c r="BN18" s="21">
        <f>TEA!K$10-TEA!K$43-V18-AR18</f>
        <v>0</v>
      </c>
      <c r="BO18" s="21">
        <f>TEA!L$10-TEA!L$43-W18-AS18</f>
        <v>0</v>
      </c>
      <c r="BP18" s="21">
        <f t="shared" si="12"/>
        <v>-827093.07361685962</v>
      </c>
      <c r="BQ18" s="21">
        <f t="shared" si="13"/>
        <v>-853012.88588237285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-91695838.243546873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-775280.47119374736</v>
      </c>
      <c r="CB18" s="21">
        <f t="shared" si="18"/>
        <v>-805135.53960149665</v>
      </c>
      <c r="CC18" s="21" t="e">
        <f t="shared" si="19"/>
        <v>#VALUE!</v>
      </c>
      <c r="CD18" s="21" t="e">
        <f t="shared" si="20"/>
        <v>#VALUE!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-94499088.140894637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IF(CA18&gt;0,CA18*TEA!B$17-TEA!B$24,0)</f>
        <v>0</v>
      </c>
      <c r="CM18" s="21">
        <f>IF(CB18&gt;0,CB18*TEA!C$17-TEA!C$24,0)</f>
        <v>0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0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TEA!B$10-TEA!B$43-X18-CL18</f>
        <v>51812.602423112214</v>
      </c>
      <c r="CX18" s="21">
        <f>TEA!C$10-TEA!C$43-Y18-CM18</f>
        <v>47877.346280876183</v>
      </c>
      <c r="CY18" s="21" t="e">
        <f>TEA!D$10-TEA!D$43-Z18-CN18</f>
        <v>#VALUE!</v>
      </c>
      <c r="CZ18" s="21" t="e">
        <f>TEA!E$10-TEA!E$43-AA18-CO18</f>
        <v>#VALUE!</v>
      </c>
      <c r="DA18" s="21"/>
      <c r="DB18" s="21">
        <f>TEA!G$10-TEA!G$43-AC18-CQ18</f>
        <v>0</v>
      </c>
      <c r="DC18" s="21">
        <f>TEA!H$10-TEA!H$43-AD18-CR18</f>
        <v>0</v>
      </c>
      <c r="DD18" s="21">
        <f>TEA!I$10-TEA!I$43-AE18-CS18</f>
        <v>-2803249.8973477646</v>
      </c>
      <c r="DE18" s="21">
        <f>TEA!J$10-TEA!J$43-AF18-CT18</f>
        <v>0</v>
      </c>
      <c r="DF18" s="21">
        <f>TEA!K$10-TEA!K$43-AG18-CU18</f>
        <v>0</v>
      </c>
      <c r="DG18" s="21">
        <f>TEA!L$10-TEA!L$43-AH18-CV18</f>
        <v>0</v>
      </c>
      <c r="DH18" s="21">
        <f>CW18/(1+TEA!B$16)^$A18</f>
        <v>12403.525077218514</v>
      </c>
      <c r="DI18" s="21">
        <f>CX18/(1+TEA!C$16)^$A18</f>
        <v>11461.456044536042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-671075.73781997827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-2013086.3384093307</v>
      </c>
      <c r="C19" s="21">
        <f t="shared" si="3"/>
        <v>-2020679.9624438223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-63996123.65066234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TEA!B$10-TEA!B$43-M19-AI19</f>
        <v>51812.602423112214</v>
      </c>
      <c r="BF19" s="21">
        <f>TEA!C$10-TEA!C$43-N19-AJ19</f>
        <v>47877.346280876183</v>
      </c>
      <c r="BG19" s="21" t="e">
        <f>TEA!D$10-TEA!D$43-O19-AK19</f>
        <v>#VALUE!</v>
      </c>
      <c r="BH19" s="21" t="e">
        <f>TEA!E$10-TEA!E$43-P19-AL19</f>
        <v>#VALUE!</v>
      </c>
      <c r="BI19" s="21"/>
      <c r="BJ19" s="21">
        <f>TEA!G$10-TEA!G$43-R19-AN19</f>
        <v>0</v>
      </c>
      <c r="BK19" s="21">
        <f>TEA!H$10-TEA!H$43-S19-AO19</f>
        <v>0</v>
      </c>
      <c r="BL19" s="21">
        <f>TEA!I$10-TEA!I$43-T19-AP19</f>
        <v>-2803249.8973477646</v>
      </c>
      <c r="BM19" s="21">
        <f>TEA!J$10-TEA!J$43-U19-AQ19</f>
        <v>0</v>
      </c>
      <c r="BN19" s="21">
        <f>TEA!K$10-TEA!K$43-V19-AR19</f>
        <v>0</v>
      </c>
      <c r="BO19" s="21">
        <f>TEA!L$10-TEA!L$43-W19-AS19</f>
        <v>0</v>
      </c>
      <c r="BP19" s="21">
        <f t="shared" si="12"/>
        <v>-775280.47119374736</v>
      </c>
      <c r="BQ19" s="21">
        <f t="shared" si="13"/>
        <v>-805135.53960149665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-94499088.140894637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-723467.8687706351</v>
      </c>
      <c r="CB19" s="21">
        <f t="shared" si="18"/>
        <v>-757258.19332062046</v>
      </c>
      <c r="CC19" s="21" t="e">
        <f t="shared" si="19"/>
        <v>#VALUE!</v>
      </c>
      <c r="CD19" s="21" t="e">
        <f t="shared" si="20"/>
        <v>#VALUE!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-97302338.0382424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IF(CA19&gt;0,CA19*TEA!B$17-TEA!B$24,0)</f>
        <v>0</v>
      </c>
      <c r="CM19" s="21">
        <f>IF(CB19&gt;0,CB19*TEA!C$17-TEA!C$24,0)</f>
        <v>0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0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TEA!B$10-TEA!B$43-X19-CL19</f>
        <v>51812.602423112214</v>
      </c>
      <c r="CX19" s="21">
        <f>TEA!C$10-TEA!C$43-Y19-CM19</f>
        <v>47877.346280876183</v>
      </c>
      <c r="CY19" s="21" t="e">
        <f>TEA!D$10-TEA!D$43-Z19-CN19</f>
        <v>#VALUE!</v>
      </c>
      <c r="CZ19" s="21" t="e">
        <f>TEA!E$10-TEA!E$43-AA19-CO19</f>
        <v>#VALUE!</v>
      </c>
      <c r="DA19" s="21"/>
      <c r="DB19" s="21">
        <f>TEA!G$10-TEA!G$43-AC19-CQ19</f>
        <v>0</v>
      </c>
      <c r="DC19" s="21">
        <f>TEA!H$10-TEA!H$43-AD19-CR19</f>
        <v>0</v>
      </c>
      <c r="DD19" s="21">
        <f>TEA!I$10-TEA!I$43-AE19-CS19</f>
        <v>-2803249.8973477646</v>
      </c>
      <c r="DE19" s="21">
        <f>TEA!J$10-TEA!J$43-AF19-CT19</f>
        <v>0</v>
      </c>
      <c r="DF19" s="21">
        <f>TEA!K$10-TEA!K$43-AG19-CU19</f>
        <v>0</v>
      </c>
      <c r="DG19" s="21">
        <f>TEA!L$10-TEA!L$43-AH19-CV19</f>
        <v>0</v>
      </c>
      <c r="DH19" s="21">
        <f>CW19/(1+TEA!B$16)^$A19</f>
        <v>11275.931888380466</v>
      </c>
      <c r="DI19" s="21">
        <f>CX19/(1+TEA!C$16)^$A19</f>
        <v>10419.505495032767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-610068.85256361659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-2002835.4912380758</v>
      </c>
      <c r="C20" s="21">
        <f t="shared" si="3"/>
        <v>-2011207.6847210652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-64550731.698447444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TEA!B$10-TEA!B$43-M20-AI20</f>
        <v>51812.602423112214</v>
      </c>
      <c r="BF20" s="21">
        <f>TEA!C$10-TEA!C$43-N20-AJ20</f>
        <v>47877.346280876183</v>
      </c>
      <c r="BG20" s="21" t="e">
        <f>TEA!D$10-TEA!D$43-O20-AK20</f>
        <v>#VALUE!</v>
      </c>
      <c r="BH20" s="21" t="e">
        <f>TEA!E$10-TEA!E$43-P20-AL20</f>
        <v>#VALUE!</v>
      </c>
      <c r="BI20" s="21"/>
      <c r="BJ20" s="21">
        <f>TEA!G$10-TEA!G$43-R20-AN20</f>
        <v>0</v>
      </c>
      <c r="BK20" s="21">
        <f>TEA!H$10-TEA!H$43-S20-AO20</f>
        <v>0</v>
      </c>
      <c r="BL20" s="21">
        <f>TEA!I$10-TEA!I$43-T20-AP20</f>
        <v>-2803249.8973477646</v>
      </c>
      <c r="BM20" s="21">
        <f>TEA!J$10-TEA!J$43-U20-AQ20</f>
        <v>0</v>
      </c>
      <c r="BN20" s="21">
        <f>TEA!K$10-TEA!K$43-V20-AR20</f>
        <v>0</v>
      </c>
      <c r="BO20" s="21">
        <f>TEA!L$10-TEA!L$43-W20-AS20</f>
        <v>0</v>
      </c>
      <c r="BP20" s="21">
        <f t="shared" si="12"/>
        <v>-723467.8687706351</v>
      </c>
      <c r="BQ20" s="21">
        <f t="shared" si="13"/>
        <v>-757258.19332062046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-97302338.0382424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-671655.26634752285</v>
      </c>
      <c r="CB20" s="21">
        <f t="shared" si="18"/>
        <v>-709380.84703974426</v>
      </c>
      <c r="CC20" s="21" t="e">
        <f t="shared" si="19"/>
        <v>#VALUE!</v>
      </c>
      <c r="CD20" s="21" t="e">
        <f t="shared" si="20"/>
        <v>#VALUE!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-100105587.93559016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IF(CA20&gt;0,CA20*TEA!B$17-TEA!B$24,0)</f>
        <v>0</v>
      </c>
      <c r="CM20" s="21">
        <f>IF(CB20&gt;0,CB20*TEA!C$17-TEA!C$24,0)</f>
        <v>0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0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TEA!B$10-TEA!B$43-X20-CL20</f>
        <v>51812.602423112214</v>
      </c>
      <c r="CX20" s="21">
        <f>TEA!C$10-TEA!C$43-Y20-CM20</f>
        <v>47877.346280876183</v>
      </c>
      <c r="CY20" s="21" t="e">
        <f>TEA!D$10-TEA!D$43-Z20-CN20</f>
        <v>#VALUE!</v>
      </c>
      <c r="CZ20" s="21" t="e">
        <f>TEA!E$10-TEA!E$43-AA20-CO20</f>
        <v>#VALUE!</v>
      </c>
      <c r="DA20" s="21"/>
      <c r="DB20" s="21">
        <f>TEA!G$10-TEA!G$43-AC20-CQ20</f>
        <v>0</v>
      </c>
      <c r="DC20" s="21">
        <f>TEA!H$10-TEA!H$43-AD20-CR20</f>
        <v>0</v>
      </c>
      <c r="DD20" s="21">
        <f>TEA!I$10-TEA!I$43-AE20-CS20</f>
        <v>-2803249.8973477646</v>
      </c>
      <c r="DE20" s="21">
        <f>TEA!J$10-TEA!J$43-AF20-CT20</f>
        <v>0</v>
      </c>
      <c r="DF20" s="21">
        <f>TEA!K$10-TEA!K$43-AG20-CU20</f>
        <v>0</v>
      </c>
      <c r="DG20" s="21">
        <f>TEA!L$10-TEA!L$43-AH20-CV20</f>
        <v>0</v>
      </c>
      <c r="DH20" s="21">
        <f>CW20/(1+TEA!B$16)^$A20</f>
        <v>10250.847171254969</v>
      </c>
      <c r="DI20" s="21">
        <f>CX20/(1+TEA!C$16)^$A20</f>
        <v>9472.2777227570605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-554608.047785106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-1993516.5392642077</v>
      </c>
      <c r="C21" s="21">
        <f t="shared" si="3"/>
        <v>-2002596.5231549225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-65054920.832797542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TEA!B$10-TEA!B$43-M21-AI21</f>
        <v>51812.602423112214</v>
      </c>
      <c r="BF21" s="21">
        <f>TEA!C$10-TEA!C$43-N21-AJ21</f>
        <v>47877.346280876183</v>
      </c>
      <c r="BG21" s="21" t="e">
        <f>TEA!D$10-TEA!D$43-O21-AK21</f>
        <v>#VALUE!</v>
      </c>
      <c r="BH21" s="21" t="e">
        <f>TEA!E$10-TEA!E$43-P21-AL21</f>
        <v>#VALUE!</v>
      </c>
      <c r="BI21" s="21"/>
      <c r="BJ21" s="21">
        <f>TEA!G$10-TEA!G$43-R21-AN21</f>
        <v>0</v>
      </c>
      <c r="BK21" s="21">
        <f>TEA!H$10-TEA!H$43-S21-AO21</f>
        <v>0</v>
      </c>
      <c r="BL21" s="21">
        <f>TEA!I$10-TEA!I$43-T21-AP21</f>
        <v>-2803249.8973477646</v>
      </c>
      <c r="BM21" s="21">
        <f>TEA!J$10-TEA!J$43-U21-AQ21</f>
        <v>0</v>
      </c>
      <c r="BN21" s="21">
        <f>TEA!K$10-TEA!K$43-V21-AR21</f>
        <v>0</v>
      </c>
      <c r="BO21" s="21">
        <f>TEA!L$10-TEA!L$43-W21-AS21</f>
        <v>0</v>
      </c>
      <c r="BP21" s="21">
        <f t="shared" si="12"/>
        <v>-671655.26634752285</v>
      </c>
      <c r="BQ21" s="21">
        <f t="shared" si="13"/>
        <v>-709380.84703974426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-100105587.93559016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-619842.66392441059</v>
      </c>
      <c r="CB21" s="21">
        <f t="shared" si="18"/>
        <v>-661503.50075886806</v>
      </c>
      <c r="CC21" s="21" t="e">
        <f t="shared" si="19"/>
        <v>#VALUE!</v>
      </c>
      <c r="CD21" s="21" t="e">
        <f t="shared" si="20"/>
        <v>#VALUE!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-102908837.83293793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IF(CA21&gt;0,CA21*TEA!B$17-TEA!B$24,0)</f>
        <v>0</v>
      </c>
      <c r="CM21" s="21">
        <f>IF(CB21&gt;0,CB21*TEA!C$17-TEA!C$24,0)</f>
        <v>0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0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TEA!B$10-TEA!B$43-X21-CL21</f>
        <v>51812.602423112214</v>
      </c>
      <c r="CX21" s="21">
        <f>TEA!C$10-TEA!C$43-Y21-CM21</f>
        <v>47877.346280876183</v>
      </c>
      <c r="CY21" s="21" t="e">
        <f>TEA!D$10-TEA!D$43-Z21-CN21</f>
        <v>#VALUE!</v>
      </c>
      <c r="CZ21" s="21" t="e">
        <f>TEA!E$10-TEA!E$43-AA21-CO21</f>
        <v>#VALUE!</v>
      </c>
      <c r="DA21" s="21"/>
      <c r="DB21" s="21">
        <f>TEA!G$10-TEA!G$43-AC21-CQ21</f>
        <v>0</v>
      </c>
      <c r="DC21" s="21">
        <f>TEA!H$10-TEA!H$43-AD21-CR21</f>
        <v>0</v>
      </c>
      <c r="DD21" s="21">
        <f>TEA!I$10-TEA!I$43-AE21-CS21</f>
        <v>-2803249.8973477646</v>
      </c>
      <c r="DE21" s="21">
        <f>TEA!J$10-TEA!J$43-AF21-CT21</f>
        <v>0</v>
      </c>
      <c r="DF21" s="21">
        <f>TEA!K$10-TEA!K$43-AG21-CU21</f>
        <v>0</v>
      </c>
      <c r="DG21" s="21">
        <f>TEA!L$10-TEA!L$43-AH21-CV21</f>
        <v>0</v>
      </c>
      <c r="DH21" s="21">
        <f>CW21/(1+TEA!B$16)^$A21</f>
        <v>9318.9519738681538</v>
      </c>
      <c r="DI21" s="21">
        <f>CX21/(1+TEA!C$16)^$A21</f>
        <v>8611.1615661427804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-504189.13435009634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-1985044.7647425095</v>
      </c>
      <c r="C22" s="21">
        <f t="shared" si="3"/>
        <v>-1994768.194458429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-65513274.591297626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TEA!B$10-TEA!B$43-M22-AI22</f>
        <v>51812.602423112214</v>
      </c>
      <c r="BF22" s="21">
        <f>TEA!C$10-TEA!C$43-N22-AJ22</f>
        <v>47877.346280876183</v>
      </c>
      <c r="BG22" s="21" t="e">
        <f>TEA!D$10-TEA!D$43-O22-AK22</f>
        <v>#VALUE!</v>
      </c>
      <c r="BH22" s="21" t="e">
        <f>TEA!E$10-TEA!E$43-P22-AL22</f>
        <v>#VALUE!</v>
      </c>
      <c r="BI22" s="21"/>
      <c r="BJ22" s="21">
        <f>TEA!G$10-TEA!G$43-R22-AN22</f>
        <v>0</v>
      </c>
      <c r="BK22" s="21">
        <f>TEA!H$10-TEA!H$43-S22-AO22</f>
        <v>0</v>
      </c>
      <c r="BL22" s="21">
        <f>TEA!I$10-TEA!I$43-T22-AP22</f>
        <v>-2803249.8973477646</v>
      </c>
      <c r="BM22" s="21">
        <f>TEA!J$10-TEA!J$43-U22-AQ22</f>
        <v>0</v>
      </c>
      <c r="BN22" s="21">
        <f>TEA!K$10-TEA!K$43-V22-AR22</f>
        <v>0</v>
      </c>
      <c r="BO22" s="21">
        <f>TEA!L$10-TEA!L$43-W22-AS22</f>
        <v>0</v>
      </c>
      <c r="BP22" s="21">
        <f t="shared" si="12"/>
        <v>-619842.66392441059</v>
      </c>
      <c r="BQ22" s="21">
        <f t="shared" si="13"/>
        <v>-661503.50075886806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-102908837.83293793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-568030.06150129833</v>
      </c>
      <c r="CB22" s="21">
        <f t="shared" si="18"/>
        <v>-613626.15447799186</v>
      </c>
      <c r="CC22" s="21" t="e">
        <f t="shared" si="19"/>
        <v>#VALUE!</v>
      </c>
      <c r="CD22" s="21" t="e">
        <f t="shared" si="20"/>
        <v>#VALUE!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-105712087.73028569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IF(CA22&gt;0,CA22*TEA!B$17-TEA!B$24,0)</f>
        <v>0</v>
      </c>
      <c r="CM22" s="21">
        <f>IF(CB22&gt;0,CB22*TEA!C$17-TEA!C$24,0)</f>
        <v>0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0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TEA!B$10-TEA!B$43-X22-CL22</f>
        <v>51812.602423112214</v>
      </c>
      <c r="CX22" s="21">
        <f>TEA!C$10-TEA!C$43-Y22-CM22</f>
        <v>47877.346280876183</v>
      </c>
      <c r="CY22" s="21" t="e">
        <f>TEA!D$10-TEA!D$43-Z22-CN22</f>
        <v>#VALUE!</v>
      </c>
      <c r="CZ22" s="21" t="e">
        <f>TEA!E$10-TEA!E$43-AA22-CO22</f>
        <v>#VALUE!</v>
      </c>
      <c r="DA22" s="21"/>
      <c r="DB22" s="21">
        <f>TEA!G$10-TEA!G$43-AC22-CQ22</f>
        <v>0</v>
      </c>
      <c r="DC22" s="21">
        <f>TEA!H$10-TEA!H$43-AD22-CR22</f>
        <v>0</v>
      </c>
      <c r="DD22" s="21">
        <f>TEA!I$10-TEA!I$43-AE22-CS22</f>
        <v>-2803249.8973477646</v>
      </c>
      <c r="DE22" s="21">
        <f>TEA!J$10-TEA!J$43-AF22-CT22</f>
        <v>0</v>
      </c>
      <c r="DF22" s="21">
        <f>TEA!K$10-TEA!K$43-AG22-CU22</f>
        <v>0</v>
      </c>
      <c r="DG22" s="21">
        <f>TEA!L$10-TEA!L$43-AH22-CV22</f>
        <v>0</v>
      </c>
      <c r="DH22" s="21">
        <f>CW22/(1+TEA!B$16)^$A22</f>
        <v>8471.7745216983203</v>
      </c>
      <c r="DI22" s="21">
        <f>CX22/(1+TEA!C$16)^$A22</f>
        <v>7828.328696493435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-458353.75850008748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-1977343.1515409655</v>
      </c>
      <c r="C23" s="21">
        <f t="shared" si="3"/>
        <v>-1987651.5320070714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-65929959.826297708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TEA!B$10-TEA!B$43-M23-AI23</f>
        <v>51812.602423112214</v>
      </c>
      <c r="BF23" s="21">
        <f>TEA!C$10-TEA!C$43-N23-AJ23</f>
        <v>47877.346280876183</v>
      </c>
      <c r="BG23" s="21" t="e">
        <f>TEA!D$10-TEA!D$43-O23-AK23</f>
        <v>#VALUE!</v>
      </c>
      <c r="BH23" s="21" t="e">
        <f>TEA!E$10-TEA!E$43-P23-AL23</f>
        <v>#VALUE!</v>
      </c>
      <c r="BI23" s="21"/>
      <c r="BJ23" s="21">
        <f>TEA!G$10-TEA!G$43-R23-AN23</f>
        <v>0</v>
      </c>
      <c r="BK23" s="21">
        <f>TEA!H$10-TEA!H$43-S23-AO23</f>
        <v>0</v>
      </c>
      <c r="BL23" s="21">
        <f>TEA!I$10-TEA!I$43-T23-AP23</f>
        <v>-2803249.8973477646</v>
      </c>
      <c r="BM23" s="21">
        <f>TEA!J$10-TEA!J$43-U23-AQ23</f>
        <v>0</v>
      </c>
      <c r="BN23" s="21">
        <f>TEA!K$10-TEA!K$43-V23-AR23</f>
        <v>0</v>
      </c>
      <c r="BO23" s="21">
        <f>TEA!L$10-TEA!L$43-W23-AS23</f>
        <v>0</v>
      </c>
      <c r="BP23" s="21">
        <f t="shared" si="12"/>
        <v>-568030.06150129833</v>
      </c>
      <c r="BQ23" s="21">
        <f t="shared" si="13"/>
        <v>-613626.15447799186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-105712087.73028569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-516217.45907818613</v>
      </c>
      <c r="CB23" s="21">
        <f t="shared" si="18"/>
        <v>-565748.80819711566</v>
      </c>
      <c r="CC23" s="21" t="e">
        <f t="shared" si="19"/>
        <v>#VALUE!</v>
      </c>
      <c r="CD23" s="21" t="e">
        <f t="shared" si="20"/>
        <v>#VALUE!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-108515337.62763345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IF(CA23&gt;0,CA23*TEA!B$17-TEA!B$24,0)</f>
        <v>0</v>
      </c>
      <c r="CM23" s="21">
        <f>IF(CB23&gt;0,CB23*TEA!C$17-TEA!C$24,0)</f>
        <v>0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0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TEA!B$10-TEA!B$43-X23-CL23</f>
        <v>51812.602423112214</v>
      </c>
      <c r="CX23" s="21">
        <f>TEA!C$10-TEA!C$43-Y23-CM23</f>
        <v>47877.346280876183</v>
      </c>
      <c r="CY23" s="21" t="e">
        <f>TEA!D$10-TEA!D$43-Z23-CN23</f>
        <v>#VALUE!</v>
      </c>
      <c r="CZ23" s="21" t="e">
        <f>TEA!E$10-TEA!E$43-AA23-CO23</f>
        <v>#VALUE!</v>
      </c>
      <c r="DA23" s="21"/>
      <c r="DB23" s="21">
        <f>TEA!G$10-TEA!G$43-AC23-CQ23</f>
        <v>0</v>
      </c>
      <c r="DC23" s="21">
        <f>TEA!H$10-TEA!H$43-AD23-CR23</f>
        <v>0</v>
      </c>
      <c r="DD23" s="21">
        <f>TEA!I$10-TEA!I$43-AE23-CS23</f>
        <v>-2803249.8973477646</v>
      </c>
      <c r="DE23" s="21">
        <f>TEA!J$10-TEA!J$43-AF23-CT23</f>
        <v>0</v>
      </c>
      <c r="DF23" s="21">
        <f>TEA!K$10-TEA!K$43-AG23-CU23</f>
        <v>0</v>
      </c>
      <c r="DG23" s="21">
        <f>TEA!L$10-TEA!L$43-AH23-CV23</f>
        <v>0</v>
      </c>
      <c r="DH23" s="21">
        <f>CW23/(1+TEA!B$16)^$A23</f>
        <v>7701.6132015439271</v>
      </c>
      <c r="DI23" s="21">
        <f>CX23/(1+TEA!C$16)^$A23</f>
        <v>7116.6624513576689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-416685.23500007956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-1970341.6849941073</v>
      </c>
      <c r="C24" s="21">
        <f t="shared" si="3"/>
        <v>-1981181.8388694734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-66308764.58538869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TEA!B$10-TEA!B$43-M24-AI24</f>
        <v>51812.602423112214</v>
      </c>
      <c r="BF24" s="21">
        <f>TEA!C$10-TEA!C$43-N24-AJ24</f>
        <v>47877.346280876183</v>
      </c>
      <c r="BG24" s="21" t="e">
        <f>TEA!D$10-TEA!D$43-O24-AK24</f>
        <v>#VALUE!</v>
      </c>
      <c r="BH24" s="21" t="e">
        <f>TEA!E$10-TEA!E$43-P24-AL24</f>
        <v>#VALUE!</v>
      </c>
      <c r="BI24" s="21"/>
      <c r="BJ24" s="21">
        <f>TEA!G$10-TEA!G$43-R24-AN24</f>
        <v>0</v>
      </c>
      <c r="BK24" s="21">
        <f>TEA!H$10-TEA!H$43-S24-AO24</f>
        <v>0</v>
      </c>
      <c r="BL24" s="21">
        <f>TEA!I$10-TEA!I$43-T24-AP24</f>
        <v>-2803249.8973477646</v>
      </c>
      <c r="BM24" s="21">
        <f>TEA!J$10-TEA!J$43-U24-AQ24</f>
        <v>0</v>
      </c>
      <c r="BN24" s="21">
        <f>TEA!K$10-TEA!K$43-V24-AR24</f>
        <v>0</v>
      </c>
      <c r="BO24" s="21">
        <f>TEA!L$10-TEA!L$43-W24-AS24</f>
        <v>0</v>
      </c>
      <c r="BP24" s="21">
        <f t="shared" si="12"/>
        <v>-516217.45907818613</v>
      </c>
      <c r="BQ24" s="21">
        <f t="shared" si="13"/>
        <v>-565748.80819711566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-108515337.62763345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-464404.85665507393</v>
      </c>
      <c r="CB24" s="21">
        <f t="shared" si="18"/>
        <v>-517871.46191623947</v>
      </c>
      <c r="CC24" s="21" t="e">
        <f t="shared" si="19"/>
        <v>#VALUE!</v>
      </c>
      <c r="CD24" s="21" t="e">
        <f t="shared" si="20"/>
        <v>#VALUE!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-111318587.52498122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IF(CA24&gt;0,CA24*TEA!B$17-TEA!B$24,0)</f>
        <v>0</v>
      </c>
      <c r="CM24" s="21">
        <f>IF(CB24&gt;0,CB24*TEA!C$17-TEA!C$24,0)</f>
        <v>0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0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TEA!B$10-TEA!B$43-X24-CL24</f>
        <v>51812.602423112214</v>
      </c>
      <c r="CX24" s="21">
        <f>TEA!C$10-TEA!C$43-Y24-CM24</f>
        <v>47877.346280876183</v>
      </c>
      <c r="CY24" s="21" t="e">
        <f>TEA!D$10-TEA!D$43-Z24-CN24</f>
        <v>#VALUE!</v>
      </c>
      <c r="CZ24" s="21" t="e">
        <f>TEA!E$10-TEA!E$43-AA24-CO24</f>
        <v>#VALUE!</v>
      </c>
      <c r="DA24" s="21"/>
      <c r="DB24" s="21">
        <f>TEA!G$10-TEA!G$43-AC24-CQ24</f>
        <v>0</v>
      </c>
      <c r="DC24" s="21">
        <f>TEA!H$10-TEA!H$43-AD24-CR24</f>
        <v>0</v>
      </c>
      <c r="DD24" s="21">
        <f>TEA!I$10-TEA!I$43-AE24-CS24</f>
        <v>-2803249.8973477646</v>
      </c>
      <c r="DE24" s="21">
        <f>TEA!J$10-TEA!J$43-AF24-CT24</f>
        <v>0</v>
      </c>
      <c r="DF24" s="21">
        <f>TEA!K$10-TEA!K$43-AG24-CU24</f>
        <v>0</v>
      </c>
      <c r="DG24" s="21">
        <f>TEA!L$10-TEA!L$43-AH24-CV24</f>
        <v>0</v>
      </c>
      <c r="DH24" s="21">
        <f>CW24/(1+TEA!B$16)^$A24</f>
        <v>7001.4665468581152</v>
      </c>
      <c r="DI24" s="21">
        <f>CX24/(1+TEA!C$16)^$A24</f>
        <v>6469.6931375978802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-378804.75909098133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-1963976.7154060546</v>
      </c>
      <c r="C25" s="21">
        <f t="shared" si="3"/>
        <v>-1975300.2996534754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-66653132.54819867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TEA!B$10-TEA!B$43-M25-AI25</f>
        <v>51812.602423112214</v>
      </c>
      <c r="BF25" s="21">
        <f>TEA!C$10-TEA!C$43-N25-AJ25</f>
        <v>47877.346280876183</v>
      </c>
      <c r="BG25" s="21" t="e">
        <f>TEA!D$10-TEA!D$43-O25-AK25</f>
        <v>#VALUE!</v>
      </c>
      <c r="BH25" s="21" t="e">
        <f>TEA!E$10-TEA!E$43-P25-AL25</f>
        <v>#VALUE!</v>
      </c>
      <c r="BI25" s="21"/>
      <c r="BJ25" s="21">
        <f>TEA!G$10-TEA!G$43-R25-AN25</f>
        <v>0</v>
      </c>
      <c r="BK25" s="21">
        <f>TEA!H$10-TEA!H$43-S25-AO25</f>
        <v>0</v>
      </c>
      <c r="BL25" s="21">
        <f>TEA!I$10-TEA!I$43-T25-AP25</f>
        <v>-2803249.8973477646</v>
      </c>
      <c r="BM25" s="21">
        <f>TEA!J$10-TEA!J$43-U25-AQ25</f>
        <v>0</v>
      </c>
      <c r="BN25" s="21">
        <f>TEA!K$10-TEA!K$43-V25-AR25</f>
        <v>0</v>
      </c>
      <c r="BO25" s="21">
        <f>TEA!L$10-TEA!L$43-W25-AS25</f>
        <v>0</v>
      </c>
      <c r="BP25" s="21">
        <f t="shared" si="12"/>
        <v>-464404.85665507393</v>
      </c>
      <c r="BQ25" s="21">
        <f t="shared" si="13"/>
        <v>-517871.46191623947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-111318587.52498122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-412592.25423196174</v>
      </c>
      <c r="CB25" s="21">
        <f t="shared" si="18"/>
        <v>-469994.11563536327</v>
      </c>
      <c r="CC25" s="21" t="e">
        <f t="shared" si="19"/>
        <v>#VALUE!</v>
      </c>
      <c r="CD25" s="21" t="e">
        <f t="shared" si="20"/>
        <v>#VALUE!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-114121837.42232898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IF(CA25&gt;0,CA25*TEA!B$17-TEA!B$24,0)</f>
        <v>0</v>
      </c>
      <c r="CM25" s="21">
        <f>IF(CB25&gt;0,CB25*TEA!C$17-TEA!C$24,0)</f>
        <v>0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0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TEA!B$10-TEA!B$43-X25-CL25</f>
        <v>51812.602423112214</v>
      </c>
      <c r="CX25" s="21">
        <f>TEA!C$10-TEA!C$43-Y25-CM25</f>
        <v>47877.346280876183</v>
      </c>
      <c r="CY25" s="21" t="e">
        <f>TEA!D$10-TEA!D$43-Z25-CN25</f>
        <v>#VALUE!</v>
      </c>
      <c r="CZ25" s="21" t="e">
        <f>TEA!E$10-TEA!E$43-AA25-CO25</f>
        <v>#VALUE!</v>
      </c>
      <c r="DA25" s="21"/>
      <c r="DB25" s="21">
        <f>TEA!G$10-TEA!G$43-AC25-CQ25</f>
        <v>0</v>
      </c>
      <c r="DC25" s="21">
        <f>TEA!H$10-TEA!H$43-AD25-CR25</f>
        <v>0</v>
      </c>
      <c r="DD25" s="21">
        <f>TEA!I$10-TEA!I$43-AE25-CS25</f>
        <v>-2803249.8973477646</v>
      </c>
      <c r="DE25" s="21">
        <f>TEA!J$10-TEA!J$43-AF25-CT25</f>
        <v>0</v>
      </c>
      <c r="DF25" s="21">
        <f>TEA!K$10-TEA!K$43-AG25-CU25</f>
        <v>0</v>
      </c>
      <c r="DG25" s="21">
        <f>TEA!L$10-TEA!L$43-AH25-CV25</f>
        <v>0</v>
      </c>
      <c r="DH25" s="21">
        <f>CW25/(1+TEA!B$16)^$A25</f>
        <v>6364.9695880528307</v>
      </c>
      <c r="DI25" s="21">
        <f>CX25/(1+TEA!C$16)^$A25</f>
        <v>5881.539215998072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-344367.962809983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-1958190.3794169156</v>
      </c>
      <c r="C26" s="21">
        <f t="shared" si="3"/>
        <v>-1969953.44582075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-66966194.33257138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TEA!B$10-TEA!B$43-M26-AI26</f>
        <v>51812.602423112214</v>
      </c>
      <c r="BF26" s="21">
        <f>TEA!C$10-TEA!C$43-N26-AJ26</f>
        <v>47877.346280876183</v>
      </c>
      <c r="BG26" s="21" t="e">
        <f>TEA!D$10-TEA!D$43-O26-AK26</f>
        <v>#VALUE!</v>
      </c>
      <c r="BH26" s="21" t="e">
        <f>TEA!E$10-TEA!E$43-P26-AL26</f>
        <v>#VALUE!</v>
      </c>
      <c r="BI26" s="21"/>
      <c r="BJ26" s="21">
        <f>TEA!G$10-TEA!G$43-R26-AN26</f>
        <v>0</v>
      </c>
      <c r="BK26" s="21">
        <f>TEA!H$10-TEA!H$43-S26-AO26</f>
        <v>0</v>
      </c>
      <c r="BL26" s="21">
        <f>TEA!I$10-TEA!I$43-T26-AP26</f>
        <v>-2803249.8973477646</v>
      </c>
      <c r="BM26" s="21">
        <f>TEA!J$10-TEA!J$43-U26-AQ26</f>
        <v>0</v>
      </c>
      <c r="BN26" s="21">
        <f>TEA!K$10-TEA!K$43-V26-AR26</f>
        <v>0</v>
      </c>
      <c r="BO26" s="21">
        <f>TEA!L$10-TEA!L$43-W26-AS26</f>
        <v>0</v>
      </c>
      <c r="BP26" s="21">
        <f t="shared" si="12"/>
        <v>-412592.25423196174</v>
      </c>
      <c r="BQ26" s="21">
        <f t="shared" si="13"/>
        <v>-469994.11563536327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-114121837.42232898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-360779.65180884954</v>
      </c>
      <c r="CB26" s="21">
        <f t="shared" si="18"/>
        <v>-422116.76935448707</v>
      </c>
      <c r="CC26" s="21" t="e">
        <f t="shared" si="19"/>
        <v>#VALUE!</v>
      </c>
      <c r="CD26" s="21" t="e">
        <f t="shared" si="20"/>
        <v>#VALUE!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-116925087.31967674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IF(CA26&gt;0,CA26*TEA!B$17-TEA!B$24,0)</f>
        <v>0</v>
      </c>
      <c r="CM26" s="21">
        <f>IF(CB26&gt;0,CB26*TEA!C$17-TEA!C$24,0)</f>
        <v>0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0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TEA!B$10-TEA!B$43-X26-CL26</f>
        <v>51812.602423112214</v>
      </c>
      <c r="CX26" s="21">
        <f>TEA!C$10-TEA!C$43-Y26-CM26</f>
        <v>47877.346280876183</v>
      </c>
      <c r="CY26" s="21" t="e">
        <f>TEA!D$10-TEA!D$43-Z26-CN26</f>
        <v>#VALUE!</v>
      </c>
      <c r="CZ26" s="21" t="e">
        <f>TEA!E$10-TEA!E$43-AA26-CO26</f>
        <v>#VALUE!</v>
      </c>
      <c r="DA26" s="21"/>
      <c r="DB26" s="21">
        <f>TEA!G$10-TEA!G$43-AC26-CQ26</f>
        <v>0</v>
      </c>
      <c r="DC26" s="21">
        <f>TEA!H$10-TEA!H$43-AD26-CR26</f>
        <v>0</v>
      </c>
      <c r="DD26" s="21">
        <f>TEA!I$10-TEA!I$43-AE26-CS26</f>
        <v>-2803249.8973477646</v>
      </c>
      <c r="DE26" s="21">
        <f>TEA!J$10-TEA!J$43-AF26-CT26</f>
        <v>0</v>
      </c>
      <c r="DF26" s="21">
        <f>TEA!K$10-TEA!K$43-AG26-CU26</f>
        <v>0</v>
      </c>
      <c r="DG26" s="21">
        <f>TEA!L$10-TEA!L$43-AH26-CV26</f>
        <v>0</v>
      </c>
      <c r="DH26" s="21">
        <f>CW26/(1+TEA!B$16)^$A26</f>
        <v>5786.3359891389364</v>
      </c>
      <c r="DI26" s="21">
        <f>CX26/(1+TEA!C$16)^$A26</f>
        <v>5346.8538327255192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-313061.78437271179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-1952930.0739722438</v>
      </c>
      <c r="C27" s="21">
        <f t="shared" si="3"/>
        <v>-1965092.6696091814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-67250795.954728395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TEA!B$10-TEA!B$43-M27-AI27</f>
        <v>51812.602423112214</v>
      </c>
      <c r="BF27" s="21">
        <f>TEA!C$10-TEA!C$43-N27-AJ27</f>
        <v>47877.346280876183</v>
      </c>
      <c r="BG27" s="21" t="e">
        <f>TEA!D$10-TEA!D$43-O27-AK27</f>
        <v>#VALUE!</v>
      </c>
      <c r="BH27" s="21" t="e">
        <f>TEA!E$10-TEA!E$43-P27-AL27</f>
        <v>#VALUE!</v>
      </c>
      <c r="BI27" s="21"/>
      <c r="BJ27" s="21">
        <f>TEA!G$10-TEA!G$43-R27-AN27</f>
        <v>0</v>
      </c>
      <c r="BK27" s="21">
        <f>TEA!H$10-TEA!H$43-S27-AO27</f>
        <v>0</v>
      </c>
      <c r="BL27" s="21">
        <f>TEA!I$10-TEA!I$43-T27-AP27</f>
        <v>-2803249.8973477646</v>
      </c>
      <c r="BM27" s="21">
        <f>TEA!J$10-TEA!J$43-U27-AQ27</f>
        <v>0</v>
      </c>
      <c r="BN27" s="21">
        <f>TEA!K$10-TEA!K$43-V27-AR27</f>
        <v>0</v>
      </c>
      <c r="BO27" s="21">
        <f>TEA!L$10-TEA!L$43-W27-AS27</f>
        <v>0</v>
      </c>
      <c r="BP27" s="21">
        <f t="shared" si="12"/>
        <v>-360779.65180884954</v>
      </c>
      <c r="BQ27" s="21">
        <f t="shared" si="13"/>
        <v>-422116.76935448707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-116925087.31967674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-308967.04938573734</v>
      </c>
      <c r="CB27" s="21">
        <f t="shared" si="18"/>
        <v>-374239.42307361087</v>
      </c>
      <c r="CC27" s="21" t="e">
        <f t="shared" si="19"/>
        <v>#VALUE!</v>
      </c>
      <c r="CD27" s="21" t="e">
        <f t="shared" si="20"/>
        <v>#VALUE!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-119728337.21702451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IF(CA27&gt;0,CA27*TEA!B$17-TEA!B$24,0)</f>
        <v>0</v>
      </c>
      <c r="CM27" s="21">
        <f>IF(CB27&gt;0,CB27*TEA!C$17-TEA!C$24,0)</f>
        <v>0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0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TEA!B$10-TEA!B$43-X27-CL27</f>
        <v>51812.602423112214</v>
      </c>
      <c r="CX27" s="21">
        <f>TEA!C$10-TEA!C$43-Y27-CM27</f>
        <v>47877.346280876183</v>
      </c>
      <c r="CY27" s="21" t="e">
        <f>TEA!D$10-TEA!D$43-Z27-CN27</f>
        <v>#VALUE!</v>
      </c>
      <c r="CZ27" s="21" t="e">
        <f>TEA!E$10-TEA!E$43-AA27-CO27</f>
        <v>#VALUE!</v>
      </c>
      <c r="DA27" s="21"/>
      <c r="DB27" s="21">
        <f>TEA!G$10-TEA!G$43-AC27-CQ27</f>
        <v>0</v>
      </c>
      <c r="DC27" s="21">
        <f>TEA!H$10-TEA!H$43-AD27-CR27</f>
        <v>0</v>
      </c>
      <c r="DD27" s="21">
        <f>TEA!I$10-TEA!I$43-AE27-CS27</f>
        <v>-2803249.8973477646</v>
      </c>
      <c r="DE27" s="21">
        <f>TEA!J$10-TEA!J$43-AF27-CT27</f>
        <v>0</v>
      </c>
      <c r="DF27" s="21">
        <f>TEA!K$10-TEA!K$43-AG27-CU27</f>
        <v>0</v>
      </c>
      <c r="DG27" s="21">
        <f>TEA!L$10-TEA!L$43-AH27-CV27</f>
        <v>0</v>
      </c>
      <c r="DH27" s="21">
        <f>CW27/(1+TEA!B$16)^$A27</f>
        <v>5260.3054446717615</v>
      </c>
      <c r="DI27" s="21">
        <f>CX27/(1+TEA!C$16)^$A27</f>
        <v>4860.7762115686546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-284601.62215701077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-1948147.9781134513</v>
      </c>
      <c r="C28" s="21">
        <f t="shared" si="3"/>
        <v>-1960673.782144119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-67509524.702143863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TEA!B$10-TEA!B$43-M28-AI28</f>
        <v>51812.602423112214</v>
      </c>
      <c r="BF28" s="21">
        <f>TEA!C$10-TEA!C$43-N28-AJ28</f>
        <v>47877.346280876183</v>
      </c>
      <c r="BG28" s="21" t="e">
        <f>TEA!D$10-TEA!D$43-O28-AK28</f>
        <v>#VALUE!</v>
      </c>
      <c r="BH28" s="21" t="e">
        <f>TEA!E$10-TEA!E$43-P28-AL28</f>
        <v>#VALUE!</v>
      </c>
      <c r="BI28" s="21"/>
      <c r="BJ28" s="21">
        <f>TEA!G$10-TEA!G$43-R28-AN28</f>
        <v>0</v>
      </c>
      <c r="BK28" s="21">
        <f>TEA!H$10-TEA!H$43-S28-AO28</f>
        <v>0</v>
      </c>
      <c r="BL28" s="21">
        <f>TEA!I$10-TEA!I$43-T28-AP28</f>
        <v>-2803249.8973477646</v>
      </c>
      <c r="BM28" s="21">
        <f>TEA!J$10-TEA!J$43-U28-AQ28</f>
        <v>0</v>
      </c>
      <c r="BN28" s="21">
        <f>TEA!K$10-TEA!K$43-V28-AR28</f>
        <v>0</v>
      </c>
      <c r="BO28" s="21">
        <f>TEA!L$10-TEA!L$43-W28-AS28</f>
        <v>0</v>
      </c>
      <c r="BP28" s="21">
        <f t="shared" si="12"/>
        <v>-308967.04938573734</v>
      </c>
      <c r="BQ28" s="21">
        <f t="shared" si="13"/>
        <v>-374239.42307361087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-119728337.21702451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-257154.44696262514</v>
      </c>
      <c r="CB28" s="21">
        <f t="shared" si="18"/>
        <v>-326362.07679273468</v>
      </c>
      <c r="CC28" s="21" t="e">
        <f t="shared" si="19"/>
        <v>#VALUE!</v>
      </c>
      <c r="CD28" s="21" t="e">
        <f t="shared" si="20"/>
        <v>#VALUE!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-122531587.11437227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IF(CA28&gt;0,CA28*TEA!B$17-TEA!B$24,0)</f>
        <v>0</v>
      </c>
      <c r="CM28" s="21">
        <f>IF(CB28&gt;0,CB28*TEA!C$17-TEA!C$24,0)</f>
        <v>0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0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TEA!B$10-TEA!B$43-X28-CL28</f>
        <v>51812.602423112214</v>
      </c>
      <c r="CX28" s="21">
        <f>TEA!C$10-TEA!C$43-Y28-CM28</f>
        <v>47877.346280876183</v>
      </c>
      <c r="CY28" s="21" t="e">
        <f>TEA!D$10-TEA!D$43-Z28-CN28</f>
        <v>#VALUE!</v>
      </c>
      <c r="CZ28" s="21" t="e">
        <f>TEA!E$10-TEA!E$43-AA28-CO28</f>
        <v>#VALUE!</v>
      </c>
      <c r="DA28" s="21"/>
      <c r="DB28" s="21">
        <f>TEA!G$10-TEA!G$43-AC28-CQ28</f>
        <v>0</v>
      </c>
      <c r="DC28" s="21">
        <f>TEA!H$10-TEA!H$43-AD28-CR28</f>
        <v>0</v>
      </c>
      <c r="DD28" s="21">
        <f>TEA!I$10-TEA!I$43-AE28-CS28</f>
        <v>-2803249.8973477646</v>
      </c>
      <c r="DE28" s="21">
        <f>TEA!J$10-TEA!J$43-AF28-CT28</f>
        <v>0</v>
      </c>
      <c r="DF28" s="21">
        <f>TEA!K$10-TEA!K$43-AG28-CU28</f>
        <v>0</v>
      </c>
      <c r="DG28" s="21">
        <f>TEA!L$10-TEA!L$43-AH28-CV28</f>
        <v>0</v>
      </c>
      <c r="DH28" s="21">
        <f>CW28/(1+TEA!B$16)^$A28</f>
        <v>4782.0958587925097</v>
      </c>
      <c r="DI28" s="21">
        <f>CX28/(1+TEA!C$16)^$A28</f>
        <v>4418.887465062413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-258728.74741546428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-1943800.6182418216</v>
      </c>
      <c r="C29" s="21">
        <f t="shared" si="3"/>
        <v>-1956656.611721335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-67744732.654339746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TEA!B$10-TEA!B$43-M29-AI29</f>
        <v>51812.602423112214</v>
      </c>
      <c r="BF29" s="21">
        <f>TEA!C$10-TEA!C$43-N29-AJ29</f>
        <v>47877.346280876183</v>
      </c>
      <c r="BG29" s="21" t="e">
        <f>TEA!D$10-TEA!D$43-O29-AK29</f>
        <v>#VALUE!</v>
      </c>
      <c r="BH29" s="21" t="e">
        <f>TEA!E$10-TEA!E$43-P29-AL29</f>
        <v>#VALUE!</v>
      </c>
      <c r="BI29" s="21"/>
      <c r="BJ29" s="21">
        <f>TEA!G$10-TEA!G$43-R29-AN29</f>
        <v>0</v>
      </c>
      <c r="BK29" s="21">
        <f>TEA!H$10-TEA!H$43-S29-AO29</f>
        <v>0</v>
      </c>
      <c r="BL29" s="21">
        <f>TEA!I$10-TEA!I$43-T29-AP29</f>
        <v>-2803249.8973477646</v>
      </c>
      <c r="BM29" s="21">
        <f>TEA!J$10-TEA!J$43-U29-AQ29</f>
        <v>0</v>
      </c>
      <c r="BN29" s="21">
        <f>TEA!K$10-TEA!K$43-V29-AR29</f>
        <v>0</v>
      </c>
      <c r="BO29" s="21">
        <f>TEA!L$10-TEA!L$43-W29-AS29</f>
        <v>0</v>
      </c>
      <c r="BP29" s="21">
        <f t="shared" si="12"/>
        <v>-257154.44696262514</v>
      </c>
      <c r="BQ29" s="21">
        <f t="shared" si="13"/>
        <v>-326362.07679273468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-122531587.11437227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-205341.84453951294</v>
      </c>
      <c r="CB29" s="21">
        <f t="shared" si="18"/>
        <v>-278484.73051185848</v>
      </c>
      <c r="CC29" s="21" t="e">
        <f t="shared" si="19"/>
        <v>#VALUE!</v>
      </c>
      <c r="CD29" s="21" t="e">
        <f t="shared" si="20"/>
        <v>#VALUE!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-125334837.01172003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IF(CA29&gt;0,CA29*TEA!B$17-TEA!B$24,0)</f>
        <v>0</v>
      </c>
      <c r="CM29" s="21">
        <f>IF(CB29&gt;0,CB29*TEA!C$17-TEA!C$24,0)</f>
        <v>0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0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TEA!B$10-TEA!B$43-X29-CL29</f>
        <v>51812.602423112214</v>
      </c>
      <c r="CX29" s="21">
        <f>TEA!C$10-TEA!C$43-Y29-CM29</f>
        <v>47877.346280876183</v>
      </c>
      <c r="CY29" s="21" t="e">
        <f>TEA!D$10-TEA!D$43-Z29-CN29</f>
        <v>#VALUE!</v>
      </c>
      <c r="CZ29" s="21" t="e">
        <f>TEA!E$10-TEA!E$43-AA29-CO29</f>
        <v>#VALUE!</v>
      </c>
      <c r="DA29" s="21"/>
      <c r="DB29" s="21">
        <f>TEA!G$10-TEA!G$43-AC29-CQ29</f>
        <v>0</v>
      </c>
      <c r="DC29" s="21">
        <f>TEA!H$10-TEA!H$43-AD29-CR29</f>
        <v>0</v>
      </c>
      <c r="DD29" s="21">
        <f>TEA!I$10-TEA!I$43-AE29-CS29</f>
        <v>-2803249.8973477646</v>
      </c>
      <c r="DE29" s="21">
        <f>TEA!J$10-TEA!J$43-AF29-CT29</f>
        <v>0</v>
      </c>
      <c r="DF29" s="21">
        <f>TEA!K$10-TEA!K$43-AG29-CU29</f>
        <v>0</v>
      </c>
      <c r="DG29" s="21">
        <f>TEA!L$10-TEA!L$43-AH29-CV29</f>
        <v>0</v>
      </c>
      <c r="DH29" s="21">
        <f>CW29/(1+TEA!B$16)^$A29</f>
        <v>4347.3598716295537</v>
      </c>
      <c r="DI29" s="21">
        <f>CX29/(1+TEA!C$16)^$A29</f>
        <v>4017.1704227840114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-235207.9521958766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-1939848.4729039767</v>
      </c>
      <c r="C30" s="21">
        <f t="shared" si="3"/>
        <v>-1953004.6386097132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-67958558.065426901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TEA!B$10-TEA!B$43-M30-AI30</f>
        <v>51812.602423112214</v>
      </c>
      <c r="BF30" s="21">
        <f>TEA!C$10-TEA!C$43-N30-AJ30</f>
        <v>47877.346280876183</v>
      </c>
      <c r="BG30" s="21" t="e">
        <f>TEA!D$10-TEA!D$43-O30-AK30</f>
        <v>#VALUE!</v>
      </c>
      <c r="BH30" s="21" t="e">
        <f>TEA!E$10-TEA!E$43-P30-AL30</f>
        <v>#VALUE!</v>
      </c>
      <c r="BI30" s="21"/>
      <c r="BJ30" s="21">
        <f>TEA!G$10-TEA!G$43-R30-AN30</f>
        <v>0</v>
      </c>
      <c r="BK30" s="21">
        <f>TEA!H$10-TEA!H$43-S30-AO30</f>
        <v>0</v>
      </c>
      <c r="BL30" s="21">
        <f>TEA!I$10-TEA!I$43-T30-AP30</f>
        <v>-2803249.8973477646</v>
      </c>
      <c r="BM30" s="21">
        <f>TEA!J$10-TEA!J$43-U30-AQ30</f>
        <v>0</v>
      </c>
      <c r="BN30" s="21">
        <f>TEA!K$10-TEA!K$43-V30-AR30</f>
        <v>0</v>
      </c>
      <c r="BO30" s="21">
        <f>TEA!L$10-TEA!L$43-W30-AS30</f>
        <v>0</v>
      </c>
      <c r="BP30" s="21">
        <f t="shared" si="12"/>
        <v>-205341.84453951294</v>
      </c>
      <c r="BQ30" s="21">
        <f t="shared" si="13"/>
        <v>-278484.73051185848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-125334837.01172003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-153529.24211640074</v>
      </c>
      <c r="CB30" s="21">
        <f t="shared" si="18"/>
        <v>-230607.38423098228</v>
      </c>
      <c r="CC30" s="21" t="e">
        <f t="shared" si="19"/>
        <v>#VALUE!</v>
      </c>
      <c r="CD30" s="21" t="e">
        <f t="shared" si="20"/>
        <v>#VALUE!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-128138086.90906779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IF(CA30&gt;0,CA30*TEA!B$17-TEA!B$24,0)</f>
        <v>0</v>
      </c>
      <c r="CM30" s="21">
        <f>IF(CB30&gt;0,CB30*TEA!C$17-TEA!C$24,0)</f>
        <v>0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0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TEA!B$10-TEA!B$43-X30-CL30</f>
        <v>51812.602423112214</v>
      </c>
      <c r="CX30" s="21">
        <f>TEA!C$10-TEA!C$43-Y30-CM30</f>
        <v>47877.346280876183</v>
      </c>
      <c r="CY30" s="21" t="e">
        <f>TEA!D$10-TEA!D$43-Z30-CN30</f>
        <v>#VALUE!</v>
      </c>
      <c r="CZ30" s="21" t="e">
        <f>TEA!E$10-TEA!E$43-AA30-CO30</f>
        <v>#VALUE!</v>
      </c>
      <c r="DA30" s="21"/>
      <c r="DB30" s="21">
        <f>TEA!G$10-TEA!G$43-AC30-CQ30</f>
        <v>0</v>
      </c>
      <c r="DC30" s="21">
        <f>TEA!H$10-TEA!H$43-AD30-CR30</f>
        <v>0</v>
      </c>
      <c r="DD30" s="21">
        <f>TEA!I$10-TEA!I$43-AE30-CS30</f>
        <v>-2803249.8973477646</v>
      </c>
      <c r="DE30" s="21">
        <f>TEA!J$10-TEA!J$43-AF30-CT30</f>
        <v>0</v>
      </c>
      <c r="DF30" s="21">
        <f>TEA!K$10-TEA!K$43-AG30-CU30</f>
        <v>0</v>
      </c>
      <c r="DG30" s="21">
        <f>TEA!L$10-TEA!L$43-AH30-CV30</f>
        <v>0</v>
      </c>
      <c r="DH30" s="21">
        <f>CW30/(1+TEA!B$16)^$A30</f>
        <v>3952.1453378450483</v>
      </c>
      <c r="DI30" s="21">
        <f>CX30/(1+TEA!C$16)^$A30</f>
        <v>3651.9731116218277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-213825.41108716052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-1936255.6135059358</v>
      </c>
      <c r="C31" s="21">
        <f t="shared" si="3"/>
        <v>-1949684.6630536932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-68152944.80277887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TEA!B$10-TEA!B$43-M31-AI31</f>
        <v>51812.602423112214</v>
      </c>
      <c r="BF31" s="21">
        <f>TEA!C$10-TEA!C$43-N31-AJ31</f>
        <v>47877.346280876183</v>
      </c>
      <c r="BG31" s="21" t="e">
        <f>TEA!D$10-TEA!D$43-O31-AK31</f>
        <v>#VALUE!</v>
      </c>
      <c r="BH31" s="21" t="e">
        <f>TEA!E$10-TEA!E$43-P31-AL31</f>
        <v>#VALUE!</v>
      </c>
      <c r="BI31" s="21"/>
      <c r="BJ31" s="21">
        <f>TEA!G$10-TEA!G$43-R31-AN31</f>
        <v>0</v>
      </c>
      <c r="BK31" s="21">
        <f>TEA!H$10-TEA!H$43-S31-AO31</f>
        <v>0</v>
      </c>
      <c r="BL31" s="21">
        <f>TEA!I$10-TEA!I$43-T31-AP31</f>
        <v>-2803249.8973477646</v>
      </c>
      <c r="BM31" s="21">
        <f>TEA!J$10-TEA!J$43-U31-AQ31</f>
        <v>0</v>
      </c>
      <c r="BN31" s="21">
        <f>TEA!K$10-TEA!K$43-V31-AR31</f>
        <v>0</v>
      </c>
      <c r="BO31" s="21">
        <f>TEA!L$10-TEA!L$43-W31-AS31</f>
        <v>0</v>
      </c>
      <c r="BP31" s="21">
        <f t="shared" si="12"/>
        <v>-153529.24211640074</v>
      </c>
      <c r="BQ31" s="21">
        <f t="shared" si="13"/>
        <v>-230607.38423098228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-128138086.90906779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-101716.63969328853</v>
      </c>
      <c r="CB31" s="21">
        <f t="shared" si="18"/>
        <v>-182730.03795010608</v>
      </c>
      <c r="CC31" s="21" t="e">
        <f t="shared" si="19"/>
        <v>#VALUE!</v>
      </c>
      <c r="CD31" s="21" t="e">
        <f t="shared" si="20"/>
        <v>#VALUE!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-130941336.80641556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IF(CA31&gt;0,CA31*TEA!B$17-TEA!B$24,0)</f>
        <v>0</v>
      </c>
      <c r="CM31" s="21">
        <f>IF(CB31&gt;0,CB31*TEA!C$17-TEA!C$24,0)</f>
        <v>0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0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TEA!B$10-TEA!B$43-X31-CL31</f>
        <v>51812.602423112214</v>
      </c>
      <c r="CX31" s="21">
        <f>TEA!C$10-TEA!C$43-Y31-CM31</f>
        <v>47877.346280876183</v>
      </c>
      <c r="CY31" s="21" t="e">
        <f>TEA!D$10-TEA!D$43-Z31-CN31</f>
        <v>#VALUE!</v>
      </c>
      <c r="CZ31" s="21" t="e">
        <f>TEA!E$10-TEA!E$43-AA31-CO31</f>
        <v>#VALUE!</v>
      </c>
      <c r="DA31" s="21"/>
      <c r="DB31" s="21">
        <f>TEA!G$10-TEA!G$43-AC31-CQ31</f>
        <v>0</v>
      </c>
      <c r="DC31" s="21">
        <f>TEA!H$10-TEA!H$43-AD31-CR31</f>
        <v>0</v>
      </c>
      <c r="DD31" s="21">
        <f>TEA!I$10-TEA!I$43-AE31-CS31</f>
        <v>-2803249.8973477646</v>
      </c>
      <c r="DE31" s="21">
        <f>TEA!J$10-TEA!J$43-AF31-CT31</f>
        <v>0</v>
      </c>
      <c r="DF31" s="21">
        <f>TEA!K$10-TEA!K$43-AG31-CU31</f>
        <v>0</v>
      </c>
      <c r="DG31" s="21">
        <f>TEA!L$10-TEA!L$43-AH31-CV31</f>
        <v>0</v>
      </c>
      <c r="DH31" s="21">
        <f>CW31/(1+TEA!B$16)^$A31</f>
        <v>3592.8593980409532</v>
      </c>
      <c r="DI31" s="21">
        <f>CX31/(1+TEA!C$16)^$A31</f>
        <v>3319.9755560198437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-194386.73735196411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-1932989.3776895348</v>
      </c>
      <c r="C32" s="21">
        <f t="shared" si="3"/>
        <v>-1946666.5034573115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-68329660.018553376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TEA!B$10-TEA!B$43-M32-AI32</f>
        <v>51812.602423112214</v>
      </c>
      <c r="BF32" s="21">
        <f>TEA!C$10-TEA!C$43-N32-AJ32</f>
        <v>47877.346280876183</v>
      </c>
      <c r="BG32" s="21" t="e">
        <f>TEA!D$10-TEA!D$43-O32-AK32</f>
        <v>#VALUE!</v>
      </c>
      <c r="BH32" s="21" t="e">
        <f>TEA!E$10-TEA!E$43-P32-AL32</f>
        <v>#VALUE!</v>
      </c>
      <c r="BI32" s="21"/>
      <c r="BJ32" s="21">
        <f>TEA!G$10-TEA!G$43-R32-AN32</f>
        <v>0</v>
      </c>
      <c r="BK32" s="21">
        <f>TEA!H$10-TEA!H$43-S32-AO32</f>
        <v>0</v>
      </c>
      <c r="BL32" s="21">
        <f>TEA!I$10-TEA!I$43-T32-AP32</f>
        <v>-2803249.8973477646</v>
      </c>
      <c r="BM32" s="21">
        <f>TEA!J$10-TEA!J$43-U32-AQ32</f>
        <v>0</v>
      </c>
      <c r="BN32" s="21">
        <f>TEA!K$10-TEA!K$43-V32-AR32</f>
        <v>0</v>
      </c>
      <c r="BO32" s="21">
        <f>TEA!L$10-TEA!L$43-W32-AS32</f>
        <v>0</v>
      </c>
      <c r="BP32" s="21">
        <f t="shared" si="12"/>
        <v>-101716.63969328853</v>
      </c>
      <c r="BQ32" s="21">
        <f t="shared" si="13"/>
        <v>-182730.03795010608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-130941336.80641556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-49904.037270176312</v>
      </c>
      <c r="CB32" s="21">
        <f t="shared" si="18"/>
        <v>-134852.69166922988</v>
      </c>
      <c r="CC32" s="21" t="e">
        <f t="shared" si="19"/>
        <v>#VALUE!</v>
      </c>
      <c r="CD32" s="21" t="e">
        <f t="shared" si="20"/>
        <v>#VALUE!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-133744586.70376332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IF(CA32&gt;0,CA32*TEA!B$17-TEA!B$24,0)</f>
        <v>0</v>
      </c>
      <c r="CM32" s="21">
        <f>IF(CB32&gt;0,CB32*TEA!C$17-TEA!C$24,0)</f>
        <v>0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0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TEA!B$10-TEA!B$43-X32-CL32</f>
        <v>51812.602423112214</v>
      </c>
      <c r="CX32" s="21">
        <f>TEA!C$10-TEA!C$43-Y32-CM32</f>
        <v>47877.346280876183</v>
      </c>
      <c r="CY32" s="21" t="e">
        <f>TEA!D$10-TEA!D$43-Z32-CN32</f>
        <v>#VALUE!</v>
      </c>
      <c r="CZ32" s="21" t="e">
        <f>TEA!E$10-TEA!E$43-AA32-CO32</f>
        <v>#VALUE!</v>
      </c>
      <c r="DA32" s="21"/>
      <c r="DB32" s="21">
        <f>TEA!G$10-TEA!G$43-AC32-CQ32</f>
        <v>0</v>
      </c>
      <c r="DC32" s="21">
        <f>TEA!H$10-TEA!H$43-AD32-CR32</f>
        <v>0</v>
      </c>
      <c r="DD32" s="21">
        <f>TEA!I$10-TEA!I$43-AE32-CS32</f>
        <v>-2803249.8973477646</v>
      </c>
      <c r="DE32" s="21">
        <f>TEA!J$10-TEA!J$43-AF32-CT32</f>
        <v>0</v>
      </c>
      <c r="DF32" s="21">
        <f>TEA!K$10-TEA!K$43-AG32-CU32</f>
        <v>0</v>
      </c>
      <c r="DG32" s="21">
        <f>TEA!L$10-TEA!L$43-AH32-CV32</f>
        <v>0</v>
      </c>
      <c r="DH32" s="21">
        <f>CW32/(1+TEA!B$16)^$A32</f>
        <v>3266.2358164008665</v>
      </c>
      <c r="DI32" s="21">
        <f>CX32/(1+TEA!C$16)^$A32</f>
        <v>3018.1595963816758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-176715.21577451282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-1949009.9327950773</v>
      </c>
      <c r="C33" s="34">
        <f t="shared" si="3"/>
        <v>-1961893.8207342608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-68490310.214712024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(TEA!B$10-TEA!B$43-M33-AI33)+TEA!B25</f>
        <v>1706712.6024231121</v>
      </c>
      <c r="BF33" s="21">
        <f>(TEA!C$10-TEA!C$43-N33-AJ33)+TEA!C25</f>
        <v>1702777.3462808761</v>
      </c>
      <c r="BG33" s="21" t="e">
        <f>(TEA!D$10-TEA!D$43-O33-AK33)+TEA!D25</f>
        <v>#VALUE!</v>
      </c>
      <c r="BH33" s="21" t="e">
        <f>(TEA!E$10-TEA!E$43-P33-AL33)+TEA!E25</f>
        <v>#VALUE!</v>
      </c>
      <c r="BI33" s="21"/>
      <c r="BJ33" s="21">
        <f>(TEA!G$10-TEA!G$43-R33-AN33)+TEA!G25</f>
        <v>0</v>
      </c>
      <c r="BK33" s="21">
        <f>(TEA!H$10-TEA!H$43-S33-AO33)+TEA!H25</f>
        <v>0</v>
      </c>
      <c r="BL33" s="21">
        <f>(TEA!I$10-TEA!I$43-T33-AP33)+TEA!I25</f>
        <v>-2295170.8973477646</v>
      </c>
      <c r="BM33" s="21">
        <f>(TEA!J$10-TEA!J$43-U33-AQ33)+TEA!J25</f>
        <v>0</v>
      </c>
      <c r="BN33" s="21">
        <f>(TEA!K$10-TEA!K$43-V33-AR33)+TEA!K25</f>
        <v>0</v>
      </c>
      <c r="BO33" s="21">
        <f>(TEA!L$10-TEA!L$43-W33-AS33)+TEA!L25</f>
        <v>0</v>
      </c>
      <c r="BP33" s="21">
        <f t="shared" si="12"/>
        <v>-49904.037270176312</v>
      </c>
      <c r="BQ33" s="21">
        <f t="shared" si="13"/>
        <v>-134852.69166922988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-133744586.70376332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1656808.5651529359</v>
      </c>
      <c r="CB33" s="21">
        <f t="shared" si="18"/>
        <v>1567924.6546116462</v>
      </c>
      <c r="CC33" s="21" t="e">
        <f t="shared" si="19"/>
        <v>#VALUE!</v>
      </c>
      <c r="CD33" s="21" t="e">
        <f t="shared" si="20"/>
        <v>#VALUE!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-136039757.60111108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IF(CA33&gt;0,CA33*TEA!B$17-TEA!B$24,0)</f>
        <v>331361.71303058718</v>
      </c>
      <c r="CM33" s="21">
        <f>IF(CB33&gt;0,CB33*TEA!C$17-TEA!C$24,0)</f>
        <v>313584.93092232925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0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TEA!B$10-TEA!B$43-X33-CL33</f>
        <v>-279549.11060747498</v>
      </c>
      <c r="CX33" s="21">
        <f>TEA!C$10-TEA!C$43-Y33-CM33</f>
        <v>-265707.58464145305</v>
      </c>
      <c r="CY33" s="21" t="e">
        <f>TEA!D$10-TEA!D$43-Z33-CN33</f>
        <v>#VALUE!</v>
      </c>
      <c r="CZ33" s="21" t="e">
        <f>TEA!E$10-TEA!E$43-AA33-CO33</f>
        <v>#VALUE!</v>
      </c>
      <c r="DA33" s="21"/>
      <c r="DB33" s="21">
        <f>TEA!G$10-TEA!G$43-AC33-CQ33</f>
        <v>0</v>
      </c>
      <c r="DC33" s="21">
        <f>TEA!H$10-TEA!H$43-AD33-CR33</f>
        <v>0</v>
      </c>
      <c r="DD33" s="21">
        <f>TEA!I$10-TEA!I$43-AE33-CS33</f>
        <v>-2803249.8973477646</v>
      </c>
      <c r="DE33" s="21">
        <f>TEA!J$10-TEA!J$43-AF33-CT33</f>
        <v>0</v>
      </c>
      <c r="DF33" s="21">
        <f>TEA!K$10-TEA!K$43-AG33-CU33</f>
        <v>0</v>
      </c>
      <c r="DG33" s="21">
        <f>TEA!L$10-TEA!L$43-AH33-CV33</f>
        <v>0</v>
      </c>
      <c r="DH33" s="21">
        <f>CW33/(1+TEA!B$16)^$A33</f>
        <v>-16020.555105542579</v>
      </c>
      <c r="DI33" s="21">
        <f>CX33/(1+TEA!C$16)^$A33</f>
        <v>-15227.31727694931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-160650.19615864797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E46"/>
  <sheetViews>
    <sheetView workbookViewId="0">
      <selection activeCell="B37" sqref="B37"/>
    </sheetView>
  </sheetViews>
  <sheetFormatPr defaultColWidth="11" defaultRowHeight="15.75" x14ac:dyDescent="0.25"/>
  <cols>
    <col min="1" max="1" width="51.875" bestFit="1" customWidth="1"/>
    <col min="2" max="2" width="24.375" bestFit="1" customWidth="1"/>
    <col min="3" max="3" width="27.125" bestFit="1" customWidth="1"/>
    <col min="4" max="5" width="27.625" bestFit="1" customWidth="1"/>
  </cols>
  <sheetData>
    <row r="1" spans="1:4" x14ac:dyDescent="0.25">
      <c r="A1" t="str">
        <f>I_O!Z242</f>
        <v>Total Pre-Comb Emissions (g CO2e/yr)</v>
      </c>
      <c r="B1">
        <f>I_O!AA242</f>
        <v>-6052379224349.1992</v>
      </c>
      <c r="C1" s="1"/>
    </row>
    <row r="2" spans="1:4" x14ac:dyDescent="0.25">
      <c r="A2" t="str">
        <f>I_O!Z243</f>
        <v>Total Credits for Non-Liq Trans Fuel (g CO2e/yr)</v>
      </c>
      <c r="B2" t="e">
        <f>I_O!AA243</f>
        <v>#REF!</v>
      </c>
      <c r="C2" s="1"/>
    </row>
    <row r="4" spans="1:4" x14ac:dyDescent="0.25">
      <c r="A4" s="8" t="str">
        <f>I_O!A199</f>
        <v>Outputs</v>
      </c>
      <c r="B4" t="s">
        <v>1982</v>
      </c>
      <c r="C4" t="s">
        <v>1983</v>
      </c>
      <c r="D4" t="s">
        <v>1984</v>
      </c>
    </row>
    <row r="5" spans="1:4" x14ac:dyDescent="0.25">
      <c r="A5" t="str">
        <f>I_O!A200</f>
        <v>CH4 Emissions (kg/yr)</v>
      </c>
      <c r="D5" s="11"/>
    </row>
    <row r="6" spans="1:4" x14ac:dyDescent="0.25">
      <c r="A6" t="str">
        <f>I_O!A201</f>
        <v>CO2 Emissions (kg/yr)</v>
      </c>
      <c r="B6" s="1"/>
      <c r="D6" s="11"/>
    </row>
    <row r="7" spans="1:4" x14ac:dyDescent="0.25">
      <c r="A7" t="str">
        <f>I_O!A202</f>
        <v>CO Emissions (kg/yr)</v>
      </c>
      <c r="B7" s="1"/>
      <c r="D7" s="11"/>
    </row>
    <row r="8" spans="1:4" x14ac:dyDescent="0.25">
      <c r="A8" t="str">
        <f>I_O!A203</f>
        <v>LUC Emissions (kg CO2e/yr)</v>
      </c>
      <c r="D8" s="11"/>
    </row>
    <row r="9" spans="1:4" x14ac:dyDescent="0.25">
      <c r="A9" t="str">
        <f>I_O!A204</f>
        <v>N2O Emissions (kg/yr)</v>
      </c>
      <c r="D9" s="11"/>
    </row>
    <row r="10" spans="1:4" x14ac:dyDescent="0.25">
      <c r="A10" t="str">
        <f>I_O!A205</f>
        <v>NOx Emissions (kg/yr)</v>
      </c>
      <c r="B10">
        <f>I_O!AA205</f>
        <v>0</v>
      </c>
      <c r="C10">
        <f>LCI!E65</f>
        <v>20</v>
      </c>
      <c r="D10" s="11">
        <f>I_O!I205*C10</f>
        <v>0</v>
      </c>
    </row>
    <row r="11" spans="1:4" x14ac:dyDescent="0.25">
      <c r="A11" t="str">
        <f>I_O!A206</f>
        <v>Algal Biomass, Whole (kg/yr)</v>
      </c>
      <c r="B11">
        <f>I_O!AA206</f>
        <v>0</v>
      </c>
      <c r="C11">
        <f>LCI!E69</f>
        <v>20</v>
      </c>
      <c r="D11" s="11">
        <f>I_O!I206*C11</f>
        <v>0</v>
      </c>
    </row>
    <row r="12" spans="1:4" x14ac:dyDescent="0.25">
      <c r="A12" t="str">
        <f>I_O!A207</f>
        <v>Algal Biomass, LEA Meal (kg/yr)</v>
      </c>
      <c r="B12">
        <f>I_O!AA207</f>
        <v>-3933130500000</v>
      </c>
      <c r="C12">
        <f>LCI!E71</f>
        <v>20</v>
      </c>
      <c r="D12" s="11">
        <f>I_O!I207*C12</f>
        <v>78662610</v>
      </c>
    </row>
    <row r="13" spans="1:4" x14ac:dyDescent="0.25">
      <c r="A13" t="str">
        <f>I_O!A208</f>
        <v>Algal Oil (kg/yr)</v>
      </c>
      <c r="B13">
        <f>I_O!AA208</f>
        <v>0</v>
      </c>
      <c r="C13">
        <f>LCI!E72</f>
        <v>20</v>
      </c>
      <c r="D13" s="11">
        <f>I_O!I208*C13</f>
        <v>0</v>
      </c>
    </row>
    <row r="14" spans="1:4" x14ac:dyDescent="0.25">
      <c r="A14" t="str">
        <f>I_O!A209</f>
        <v>Corn Grain (kg/yr)</v>
      </c>
      <c r="B14">
        <f>I_O!AA209</f>
        <v>0</v>
      </c>
      <c r="C14">
        <f>LCI!E73</f>
        <v>0</v>
      </c>
      <c r="D14" s="11">
        <f>I_O!I209*C14</f>
        <v>0</v>
      </c>
    </row>
    <row r="15" spans="1:4" x14ac:dyDescent="0.25">
      <c r="A15" t="str">
        <f>I_O!A210</f>
        <v>Corn Stover, Collected (kg/yr)</v>
      </c>
      <c r="B15">
        <f>I_O!AA210</f>
        <v>0</v>
      </c>
      <c r="C15">
        <f>LCI!E74</f>
        <v>0</v>
      </c>
      <c r="D15" s="11">
        <f>I_O!I210*C15</f>
        <v>0</v>
      </c>
    </row>
    <row r="16" spans="1:4" x14ac:dyDescent="0.25">
      <c r="A16" t="str">
        <f>I_O!A211</f>
        <v>Corn Stover, Left (kg/yr)</v>
      </c>
      <c r="B16">
        <f>I_O!AA211</f>
        <v>0</v>
      </c>
      <c r="C16">
        <f>LCI!E75</f>
        <v>0</v>
      </c>
      <c r="D16" s="11">
        <f>I_O!I211*C16</f>
        <v>0</v>
      </c>
    </row>
    <row r="17" spans="1:4" x14ac:dyDescent="0.25">
      <c r="A17" t="str">
        <f>I_O!A212</f>
        <v>DDGS (kg/yr)</v>
      </c>
      <c r="B17">
        <f>I_O!AA212</f>
        <v>0</v>
      </c>
      <c r="C17">
        <f>LCI!E77</f>
        <v>0</v>
      </c>
      <c r="D17" s="11">
        <f>I_O!I212*C17</f>
        <v>0</v>
      </c>
    </row>
    <row r="18" spans="1:4" x14ac:dyDescent="0.25">
      <c r="A18" t="str">
        <f>I_O!A213</f>
        <v>Glycerin (kg/yr)</v>
      </c>
      <c r="B18">
        <f>I_O!AA213</f>
        <v>0</v>
      </c>
      <c r="C18">
        <f>LCI!E78</f>
        <v>20</v>
      </c>
      <c r="D18" s="11">
        <f>I_O!I213*C18</f>
        <v>0</v>
      </c>
    </row>
    <row r="19" spans="1:4" x14ac:dyDescent="0.25">
      <c r="A19" t="str">
        <f>I_O!A214</f>
        <v>MSW Co-Products (kg/yr)</v>
      </c>
      <c r="B19">
        <f>I_O!AA214</f>
        <v>0</v>
      </c>
      <c r="C19">
        <f>LCI!E80</f>
        <v>20</v>
      </c>
      <c r="D19" s="11">
        <f>I_O!I214*C19</f>
        <v>0</v>
      </c>
    </row>
    <row r="20" spans="1:4" x14ac:dyDescent="0.25">
      <c r="A20" t="str">
        <f>I_O!A215</f>
        <v>Nitrogen Gas (kg/yr)</v>
      </c>
      <c r="B20">
        <f>I_O!AA215</f>
        <v>0</v>
      </c>
      <c r="C20">
        <f>LCI!E82</f>
        <v>0</v>
      </c>
      <c r="D20" s="11">
        <f>I_O!I215*C20</f>
        <v>0</v>
      </c>
    </row>
    <row r="21" spans="1:4" x14ac:dyDescent="0.25">
      <c r="A21" t="str">
        <f>I_O!A216</f>
        <v>Refused Derived Fuel (kg/yr)</v>
      </c>
      <c r="B21">
        <f>I_O!AA216</f>
        <v>0</v>
      </c>
      <c r="C21">
        <f>LCI!E83</f>
        <v>0</v>
      </c>
      <c r="D21" s="11">
        <f>I_O!I216*C21</f>
        <v>0</v>
      </c>
    </row>
    <row r="22" spans="1:4" x14ac:dyDescent="0.25">
      <c r="A22" t="str">
        <f>I_O!A217</f>
        <v>Slag (kg/yr)</v>
      </c>
      <c r="B22">
        <f>I_O!AA217</f>
        <v>0</v>
      </c>
      <c r="C22">
        <f>LCI!E84</f>
        <v>0</v>
      </c>
      <c r="D22" s="11">
        <f>I_O!I217*C22</f>
        <v>0</v>
      </c>
    </row>
    <row r="23" spans="1:4" x14ac:dyDescent="0.25">
      <c r="A23" t="str">
        <f>I_O!A218</f>
        <v>Soybean Meal (kg/yr)</v>
      </c>
      <c r="B23">
        <f>I_O!AA218</f>
        <v>0</v>
      </c>
      <c r="C23">
        <f>LCI!E87</f>
        <v>37.75</v>
      </c>
      <c r="D23" s="11">
        <f>I_O!I218*C23</f>
        <v>0</v>
      </c>
    </row>
    <row r="24" spans="1:4" x14ac:dyDescent="0.25">
      <c r="A24" t="str">
        <f>I_O!A219</f>
        <v>Soybean Oil (kg/yr)</v>
      </c>
      <c r="B24">
        <f>I_O!AA219</f>
        <v>0</v>
      </c>
      <c r="C24">
        <f>LCI!E88</f>
        <v>42.975000000000001</v>
      </c>
      <c r="D24" s="11">
        <f>I_O!I219*C24</f>
        <v>0</v>
      </c>
    </row>
    <row r="25" spans="1:4" x14ac:dyDescent="0.25">
      <c r="A25" t="str">
        <f>I_O!A220</f>
        <v>Soybeans (kg/yr)</v>
      </c>
      <c r="B25">
        <f>I_O!AA220</f>
        <v>0</v>
      </c>
      <c r="C25">
        <f>LCI!E89</f>
        <v>1</v>
      </c>
      <c r="D25" s="11">
        <f>I_O!I220*C25</f>
        <v>0</v>
      </c>
    </row>
    <row r="26" spans="1:4" x14ac:dyDescent="0.25">
      <c r="A26" t="str">
        <f>I_O!A221</f>
        <v>Syncrude (kg/yr)</v>
      </c>
      <c r="B26">
        <f>I_O!AA221</f>
        <v>0</v>
      </c>
      <c r="C26">
        <f>LCI!E90</f>
        <v>26.95</v>
      </c>
      <c r="D26" s="11">
        <f>I_O!I221*C26</f>
        <v>0</v>
      </c>
    </row>
    <row r="27" spans="1:4" x14ac:dyDescent="0.25">
      <c r="A27" t="str">
        <f>I_O!A222</f>
        <v>Wastewater, Gasification (kg/yr)</v>
      </c>
      <c r="B27" t="e">
        <f>I_O!AA222</f>
        <v>#REF!</v>
      </c>
      <c r="C27" t="e">
        <f>LCI!#REF!</f>
        <v>#REF!</v>
      </c>
      <c r="D27" s="11" t="e">
        <f>I_O!I222*C27</f>
        <v>#REF!</v>
      </c>
    </row>
    <row r="28" spans="1:4" x14ac:dyDescent="0.25">
      <c r="A28" t="str">
        <f>I_O!A223</f>
        <v>Water, Output (kg/yr)</v>
      </c>
      <c r="B28">
        <f>I_O!AA223</f>
        <v>-86567305499.999985</v>
      </c>
      <c r="C28">
        <f>LCI!E91</f>
        <v>43.44</v>
      </c>
      <c r="D28" s="11">
        <f>I_O!I223*C28</f>
        <v>3760483.7509199991</v>
      </c>
    </row>
    <row r="29" spans="1:4" x14ac:dyDescent="0.25">
      <c r="A29" t="str">
        <f>I_O!A224</f>
        <v>WDGS (kg/yr)</v>
      </c>
      <c r="B29">
        <f>I_O!AA224</f>
        <v>0</v>
      </c>
      <c r="C29">
        <f>LCI!E92</f>
        <v>141</v>
      </c>
      <c r="D29" s="11">
        <f>I_O!I224*C29</f>
        <v>0</v>
      </c>
    </row>
    <row r="30" spans="1:4" x14ac:dyDescent="0.25">
      <c r="A30" t="str">
        <f>I_O!A225</f>
        <v>WOG, Delivered (kg/yr)</v>
      </c>
      <c r="B30">
        <f>I_O!AA225</f>
        <v>0</v>
      </c>
      <c r="C30">
        <f>LCI!E93</f>
        <v>46</v>
      </c>
      <c r="D30" s="11">
        <f>I_O!I225*C30</f>
        <v>0</v>
      </c>
    </row>
    <row r="31" spans="1:4" x14ac:dyDescent="0.25">
      <c r="A31" t="str">
        <f>I_O!A226</f>
        <v>Woody Biomass (kg/yr)</v>
      </c>
      <c r="B31">
        <f>I_O!AA226</f>
        <v>0</v>
      </c>
      <c r="C31">
        <f>LCI!E94</f>
        <v>46</v>
      </c>
      <c r="D31" s="11">
        <f>I_O!I226*C31</f>
        <v>0</v>
      </c>
    </row>
    <row r="32" spans="1:4" x14ac:dyDescent="0.25">
      <c r="A32" t="str">
        <f>I_O!A227</f>
        <v>Biodiesel, Produced (kg/yr)</v>
      </c>
      <c r="B32">
        <f>I_O!AA227</f>
        <v>0</v>
      </c>
      <c r="C32">
        <f>LCI!E95</f>
        <v>46</v>
      </c>
      <c r="D32" s="11">
        <f>I_O!I227*C32</f>
        <v>0</v>
      </c>
    </row>
    <row r="33" spans="1:5" x14ac:dyDescent="0.25">
      <c r="A33" t="str">
        <f>I_O!A228</f>
        <v>Diesel, Produced (kg/yr)</v>
      </c>
      <c r="B33">
        <f>I_O!AA228</f>
        <v>-231841174500.00003</v>
      </c>
      <c r="C33">
        <f>LCI!E96</f>
        <v>46</v>
      </c>
      <c r="D33" s="11">
        <f>I_O!I228*C33</f>
        <v>10664694.027000001</v>
      </c>
    </row>
    <row r="34" spans="1:5" x14ac:dyDescent="0.25">
      <c r="A34" t="str">
        <f>I_O!A229</f>
        <v>Electricity, Generated (MJ/yr)</v>
      </c>
      <c r="B34">
        <f>I_O!AA229</f>
        <v>0</v>
      </c>
      <c r="C34">
        <f>LCI!E97</f>
        <v>49</v>
      </c>
      <c r="D34" s="11">
        <f>I_O!I229*C34</f>
        <v>0</v>
      </c>
    </row>
    <row r="35" spans="1:5" x14ac:dyDescent="0.25">
      <c r="A35" t="str">
        <f>I_O!A230</f>
        <v>Ethanol (kg/yr)</v>
      </c>
      <c r="B35">
        <f>I_O!AA230</f>
        <v>0</v>
      </c>
      <c r="C35">
        <f>LCI!E98</f>
        <v>48</v>
      </c>
      <c r="D35" s="11">
        <f>I_O!I230*C35</f>
        <v>0</v>
      </c>
    </row>
    <row r="36" spans="1:5" x14ac:dyDescent="0.25">
      <c r="A36" t="e">
        <f>I_O!#REF!</f>
        <v>#REF!</v>
      </c>
      <c r="B36" t="e">
        <f>I_O!#REF!</f>
        <v>#REF!</v>
      </c>
      <c r="C36">
        <f>LCI!E99</f>
        <v>50</v>
      </c>
      <c r="D36" s="11" t="e">
        <f>I_O!#REF!*C36</f>
        <v>#REF!</v>
      </c>
    </row>
    <row r="37" spans="1:5" x14ac:dyDescent="0.25">
      <c r="A37" s="5" t="s">
        <v>1985</v>
      </c>
      <c r="C37">
        <f>SUM(B6:B7)</f>
        <v>0</v>
      </c>
      <c r="E37" s="11" t="e">
        <f>SUM(D5:D36)</f>
        <v>#REF!</v>
      </c>
    </row>
    <row r="39" spans="1:5" x14ac:dyDescent="0.25">
      <c r="A39" s="2" t="s">
        <v>1986</v>
      </c>
      <c r="B39" s="74"/>
    </row>
    <row r="40" spans="1:5" x14ac:dyDescent="0.25">
      <c r="A40" s="2" t="s">
        <v>1987</v>
      </c>
      <c r="B40" s="75" t="e">
        <f>B1/E37</f>
        <v>#REF!</v>
      </c>
    </row>
    <row r="41" spans="1:5" x14ac:dyDescent="0.25">
      <c r="A41" s="2"/>
      <c r="B41" s="75"/>
    </row>
    <row r="42" spans="1:5" x14ac:dyDescent="0.25">
      <c r="A42" s="2" t="s">
        <v>1988</v>
      </c>
      <c r="B42" s="75">
        <f>B1/SUM(I_O!I226:I230)</f>
        <v>-26105713.264272645</v>
      </c>
    </row>
    <row r="43" spans="1:5" x14ac:dyDescent="0.25">
      <c r="A43" s="2"/>
      <c r="B43" s="75"/>
    </row>
    <row r="44" spans="1:5" x14ac:dyDescent="0.25">
      <c r="A44" s="2" t="s">
        <v>1989</v>
      </c>
      <c r="B44" s="75">
        <f>B1/TEA!B10</f>
        <v>-53336645.011498913</v>
      </c>
    </row>
    <row r="45" spans="1:5" x14ac:dyDescent="0.25">
      <c r="A45" s="2"/>
      <c r="B45" s="75"/>
    </row>
    <row r="46" spans="1:5" x14ac:dyDescent="0.25">
      <c r="A46" s="2" t="s">
        <v>1990</v>
      </c>
      <c r="B46" s="75" t="e">
        <f>(B1+B2)/SUM(D23:D24,D26:D28,D30:D35)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ExpData</vt:lpstr>
      <vt:lpstr>General</vt:lpstr>
      <vt:lpstr>TEA</vt:lpstr>
      <vt:lpstr>YieldsAct</vt:lpstr>
      <vt:lpstr>YieldXX</vt:lpstr>
      <vt:lpstr>NPV Solver</vt:lpstr>
      <vt:lpstr>Baseline NPV</vt:lpstr>
      <vt:lpstr>LCA</vt:lpstr>
      <vt:lpstr>LCI</vt:lpstr>
      <vt:lpstr>SubstanceList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2021-07-23T17:08:16Z</dcterms:modified>
  <cp:category/>
  <cp:contentStatus/>
</cp:coreProperties>
</file>