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putna\Documents\New Work\TEA-LCA\CSU Folders\BETO-ABM-MOEA - Jack\"/>
    </mc:Choice>
  </mc:AlternateContent>
  <xr:revisionPtr revIDLastSave="0" documentId="13_ncr:1_{6E20274C-AC74-4970-A9A0-AE4EB3BF7DD0}" xr6:coauthVersionLast="47" xr6:coauthVersionMax="47" xr10:uidLastSave="{00000000-0000-0000-0000-000000000000}"/>
  <bookViews>
    <workbookView xWindow="-96" yWindow="-96" windowWidth="23232" windowHeight="12552" tabRatio="740" activeTab="2" xr2:uid="{00000000-000D-0000-FFFF-FFFF00000000}"/>
  </bookViews>
  <sheets>
    <sheet name="Grass IO" sheetId="29" r:id="rId1"/>
    <sheet name="User Defined LCI" sheetId="30" r:id="rId2"/>
    <sheet name="NPV Parameters" sheetId="6" r:id="rId3"/>
    <sheet name="Comparisons" sheetId="14" r:id="rId4"/>
    <sheet name="Soy" sheetId="7" r:id="rId5"/>
    <sheet name="Corn data" sheetId="11" r:id="rId6"/>
    <sheet name="Forestry" sheetId="12" r:id="rId7"/>
    <sheet name="Grass" sheetId="15" r:id="rId8"/>
    <sheet name="Algae" sheetId="9" r:id="rId9"/>
    <sheet name="Forest Residue" sheetId="16" r:id="rId10"/>
    <sheet name="MSW" sheetId="13" r:id="rId11"/>
    <sheet name="WOG" sheetId="17" r:id="rId12"/>
  </sheets>
  <externalReferences>
    <externalReference r:id="rId13"/>
    <externalReference r:id="rId14"/>
    <externalReference r:id="rId15"/>
    <externalReference r:id="rId16"/>
  </externalReferences>
  <definedNames>
    <definedName name="ALLOWTOTAL">'[1]Capital Costs'!#REF!</definedName>
    <definedName name="ALLOWWHAT">'[1]Capital Costs'!#REF!</definedName>
    <definedName name="BOND">'[1]Capital Costs'!$P$402</definedName>
    <definedName name="BONDRATE">'[1]Capital Costs'!#REF!</definedName>
    <definedName name="BURDEN">'[1]Capital Costs'!$P$398</definedName>
    <definedName name="BURDENRATE">'[1]Capital Costs'!#REF!</definedName>
    <definedName name="CONTINGENCY">'[1]Capital Costs'!$P$400</definedName>
    <definedName name="CONTINGRATE">'[1]Capital Costs'!#REF!</definedName>
    <definedName name="CONTRACTSUM">'[1]Capital Costs'!#REF!</definedName>
    <definedName name="CONTRATE">'[1]Capital Costs'!#REF!</definedName>
    <definedName name="CONTRBONUS">'[1]Capital Costs'!$P$397</definedName>
    <definedName name="CONTRFEE">'[1]Capital Costs'!$P$395</definedName>
    <definedName name="CONTRPERCENT">'[1]Capital Costs'!$P$396</definedName>
    <definedName name="CornYield_TS">[2]Fuel_Prod_TS!$CA$274</definedName>
    <definedName name="CSISUBTOTAL">'[1]Capital Costs'!$P$386</definedName>
    <definedName name="EQUIPTOTAL">'[1]Capital Costs'!#REF!</definedName>
    <definedName name="EtOH_CornStover_Farming_Eff">[2]Inputs!$L$325</definedName>
    <definedName name="FEE">'[1]Capital Costs'!#REF!</definedName>
    <definedName name="FEERATE">'[1]Capital Costs'!#REF!</definedName>
    <definedName name="FREIGHTTOAL">'[1]Capital Costs'!#REF!</definedName>
    <definedName name="GETAX">'[1]Capital Costs'!$P$393</definedName>
    <definedName name="GETAXRATE">'[1]Capital Costs'!#REF!</definedName>
    <definedName name="MATERIALTOTAL">'[1]Capital Costs'!#REF!</definedName>
    <definedName name="OHRATE">'[1]Capital Costs'!#REF!</definedName>
    <definedName name="OVERHEAD">'[1]Capital Costs'!$P$394</definedName>
    <definedName name="RATE">'[1]Capital Costs'!$C$3</definedName>
    <definedName name="solver_adj" localSheetId="2" hidden="1">'NPV Parameters'!$EG$46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'NPV Parameters'!$EG$45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2</definedName>
    <definedName name="T2kg">[2]Fuel_Specs!$F$134</definedName>
    <definedName name="TOOLPURCH">'[1]Capital Costs'!$P$399</definedName>
    <definedName name="UPCOSTOTAL">'[1]Capital Costs'!#REF!</definedName>
    <definedName name="VALUESUM">'[1]Capital Costs'!#REF!</definedName>
  </definedNames>
  <calcPr calcId="181029"/>
  <pivotCaches>
    <pivotCache cacheId="0" r:id="rId1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5" l="1"/>
  <c r="D18" i="15"/>
  <c r="D19" i="15"/>
  <c r="D20" i="15"/>
  <c r="D21" i="15"/>
  <c r="D22" i="15"/>
  <c r="D23" i="15"/>
  <c r="D24" i="15"/>
  <c r="D25" i="15"/>
  <c r="C12" i="15"/>
  <c r="C13" i="15"/>
  <c r="C11" i="15"/>
  <c r="C9" i="15"/>
  <c r="E21" i="15" l="1"/>
  <c r="E20" i="15"/>
  <c r="B4" i="15"/>
  <c r="E24" i="12"/>
  <c r="E23" i="12"/>
  <c r="B4" i="12"/>
  <c r="L122" i="12" l="1"/>
  <c r="B87" i="12"/>
  <c r="N5" i="11"/>
  <c r="N15" i="11" s="1"/>
  <c r="G9" i="11"/>
  <c r="G8" i="11"/>
  <c r="G7" i="11"/>
  <c r="G6" i="11"/>
  <c r="G5" i="11"/>
  <c r="B90" i="11" s="1"/>
  <c r="B57" i="11" s="1"/>
  <c r="L79" i="12"/>
  <c r="B14" i="12" s="1"/>
  <c r="B8" i="6"/>
  <c r="B7" i="6"/>
  <c r="B5" i="6"/>
  <c r="B3" i="6"/>
  <c r="B2" i="6"/>
  <c r="E91" i="12"/>
  <c r="B35" i="12"/>
  <c r="B87" i="15"/>
  <c r="B35" i="15" s="1"/>
  <c r="B19" i="11"/>
  <c r="B9" i="15"/>
  <c r="K25" i="16"/>
  <c r="K26" i="16" s="1"/>
  <c r="E22" i="16"/>
  <c r="E23" i="16" s="1"/>
  <c r="E24" i="16" s="1"/>
  <c r="D5" i="14"/>
  <c r="B5" i="14"/>
  <c r="B4" i="14"/>
  <c r="B3" i="14"/>
  <c r="B2" i="14"/>
  <c r="E15" i="12"/>
  <c r="B24" i="12"/>
  <c r="B7" i="12"/>
  <c r="E4" i="12"/>
  <c r="G69" i="11"/>
  <c r="B25" i="17"/>
  <c r="R40" i="13"/>
  <c r="R35" i="13"/>
  <c r="R36" i="13" s="1"/>
  <c r="R37" i="13" s="1"/>
  <c r="B23" i="13" s="1"/>
  <c r="R27" i="13"/>
  <c r="R28" i="13" s="1"/>
  <c r="R29" i="13" s="1"/>
  <c r="R30" i="13" s="1"/>
  <c r="B18" i="13" s="1"/>
  <c r="E3" i="13"/>
  <c r="B25" i="16"/>
  <c r="B23" i="16"/>
  <c r="U19" i="11"/>
  <c r="G68" i="11"/>
  <c r="B37" i="11" s="1"/>
  <c r="B27" i="11"/>
  <c r="G65" i="11"/>
  <c r="G67" i="11" s="1"/>
  <c r="G66" i="11"/>
  <c r="G101" i="11"/>
  <c r="G102" i="11" s="1"/>
  <c r="U28" i="11"/>
  <c r="N76" i="11"/>
  <c r="C145" i="11" s="1"/>
  <c r="B4" i="16"/>
  <c r="B4" i="13"/>
  <c r="B87" i="16"/>
  <c r="B9" i="16"/>
  <c r="B31" i="17"/>
  <c r="B93" i="17" s="1"/>
  <c r="B83" i="17"/>
  <c r="E22" i="17"/>
  <c r="E23" i="17" s="1"/>
  <c r="E24" i="17" s="1"/>
  <c r="B9" i="17"/>
  <c r="B23" i="17"/>
  <c r="E32" i="12"/>
  <c r="E33" i="12" s="1"/>
  <c r="E63" i="12" s="1"/>
  <c r="B96" i="12" s="1"/>
  <c r="B24" i="15"/>
  <c r="F13" i="15"/>
  <c r="B13" i="15" s="1"/>
  <c r="F12" i="15"/>
  <c r="B12" i="15" s="1"/>
  <c r="N11" i="15"/>
  <c r="B11" i="15" s="1"/>
  <c r="B7" i="15"/>
  <c r="B14" i="15"/>
  <c r="B17" i="15"/>
  <c r="R19" i="15"/>
  <c r="B19" i="15" s="1"/>
  <c r="B23" i="15"/>
  <c r="B25" i="15"/>
  <c r="S13" i="12"/>
  <c r="L120" i="12" s="1"/>
  <c r="B9" i="12" s="1"/>
  <c r="G6" i="12"/>
  <c r="E6" i="12" s="1"/>
  <c r="E7" i="12"/>
  <c r="E8" i="12"/>
  <c r="L102" i="12"/>
  <c r="B17" i="12" s="1"/>
  <c r="E5" i="12"/>
  <c r="L91" i="12"/>
  <c r="L92" i="12"/>
  <c r="L93" i="12"/>
  <c r="L94" i="12"/>
  <c r="L95" i="12"/>
  <c r="L96" i="12"/>
  <c r="L97" i="12"/>
  <c r="L98" i="12"/>
  <c r="L99" i="12"/>
  <c r="L117" i="12"/>
  <c r="B25" i="12"/>
  <c r="Q19" i="15"/>
  <c r="R13" i="15"/>
  <c r="R12" i="15"/>
  <c r="R11" i="15"/>
  <c r="K4" i="15"/>
  <c r="O4" i="15" s="1"/>
  <c r="S4" i="15" s="1"/>
  <c r="Q16" i="15"/>
  <c r="Q15" i="15"/>
  <c r="Q14" i="15"/>
  <c r="Q13" i="15"/>
  <c r="Q12" i="15"/>
  <c r="Q11" i="15"/>
  <c r="Q4" i="15"/>
  <c r="M16" i="15"/>
  <c r="M15" i="15"/>
  <c r="I16" i="15"/>
  <c r="I15" i="15"/>
  <c r="K11" i="15"/>
  <c r="O11" i="15" s="1"/>
  <c r="I14" i="15"/>
  <c r="M12" i="15"/>
  <c r="M13" i="15"/>
  <c r="M14" i="15"/>
  <c r="I12" i="15"/>
  <c r="I13" i="15"/>
  <c r="M11" i="15"/>
  <c r="M7" i="15"/>
  <c r="M4" i="15"/>
  <c r="I11" i="15"/>
  <c r="I7" i="15"/>
  <c r="I4" i="15"/>
  <c r="F4" i="15"/>
  <c r="K7" i="15"/>
  <c r="B12" i="14"/>
  <c r="B7" i="14"/>
  <c r="O43" i="12"/>
  <c r="E161" i="7"/>
  <c r="E160" i="7"/>
  <c r="E155" i="7"/>
  <c r="B156" i="7"/>
  <c r="B168" i="7"/>
  <c r="B169" i="7"/>
  <c r="B170" i="7" s="1"/>
  <c r="E154" i="7"/>
  <c r="L168" i="7"/>
  <c r="E157" i="7" s="1"/>
  <c r="E165" i="7"/>
  <c r="E163" i="7"/>
  <c r="O45" i="12"/>
  <c r="O46" i="12"/>
  <c r="O47" i="12"/>
  <c r="O48" i="12"/>
  <c r="O49" i="12"/>
  <c r="O38" i="12"/>
  <c r="O39" i="12"/>
  <c r="O40" i="12"/>
  <c r="O41" i="12"/>
  <c r="O37" i="12"/>
  <c r="H16" i="12"/>
  <c r="H17" i="12" s="1"/>
  <c r="E16" i="12"/>
  <c r="E20" i="12"/>
  <c r="K9" i="11"/>
  <c r="R84" i="12"/>
  <c r="R83" i="12"/>
  <c r="R82" i="12"/>
  <c r="R81" i="12"/>
  <c r="I5" i="11"/>
  <c r="E6" i="13"/>
  <c r="E7" i="13"/>
  <c r="E8" i="13"/>
  <c r="I63" i="13"/>
  <c r="E10" i="13"/>
  <c r="E9" i="13"/>
  <c r="I8" i="13"/>
  <c r="I7" i="13"/>
  <c r="I6" i="13"/>
  <c r="I5" i="13"/>
  <c r="E5" i="13"/>
  <c r="I4" i="13"/>
  <c r="E4" i="13"/>
  <c r="E2" i="13"/>
  <c r="L75" i="12"/>
  <c r="L76" i="12" s="1"/>
  <c r="L56" i="12"/>
  <c r="L74" i="12" s="1"/>
  <c r="L35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L18" i="12"/>
  <c r="C131" i="11"/>
  <c r="G94" i="11"/>
  <c r="G93" i="11"/>
  <c r="U59" i="11"/>
  <c r="U58" i="11"/>
  <c r="N44" i="11"/>
  <c r="N23" i="11"/>
  <c r="C19" i="11"/>
  <c r="N13" i="11"/>
  <c r="G13" i="11"/>
  <c r="B136" i="7"/>
  <c r="B137" i="7" s="1"/>
  <c r="B146" i="7"/>
  <c r="B147" i="7" s="1"/>
  <c r="B140" i="7"/>
  <c r="B141" i="7" s="1"/>
  <c r="B13" i="12" l="1"/>
  <c r="B11" i="12"/>
  <c r="E43" i="12"/>
  <c r="E48" i="12" s="1"/>
  <c r="E50" i="12"/>
  <c r="E57" i="12"/>
  <c r="E62" i="12"/>
  <c r="E74" i="12"/>
  <c r="E75" i="12" s="1"/>
  <c r="E76" i="12" s="1"/>
  <c r="C140" i="11"/>
  <c r="I64" i="13"/>
  <c r="E11" i="13" s="1"/>
  <c r="B35" i="16"/>
  <c r="B16" i="12"/>
  <c r="B15" i="12"/>
  <c r="C35" i="11"/>
  <c r="B15" i="15"/>
  <c r="D15" i="15" s="1"/>
  <c r="E17" i="12"/>
  <c r="E18" i="12" s="1"/>
  <c r="E19" i="12"/>
  <c r="E25" i="17"/>
  <c r="E26" i="17" s="1"/>
  <c r="B19" i="17"/>
  <c r="B79" i="12"/>
  <c r="B56" i="17"/>
  <c r="C23" i="13"/>
  <c r="B96" i="15"/>
  <c r="B96" i="16"/>
  <c r="B59" i="12"/>
  <c r="L100" i="12"/>
  <c r="B19" i="12"/>
  <c r="H24" i="16"/>
  <c r="B79" i="15"/>
  <c r="R32" i="13"/>
  <c r="B19" i="13" s="1"/>
  <c r="C18" i="13"/>
  <c r="D9" i="16"/>
  <c r="E49" i="12"/>
  <c r="B99" i="12" s="1"/>
  <c r="E44" i="12"/>
  <c r="B102" i="12" s="1"/>
  <c r="B66" i="12"/>
  <c r="E47" i="12"/>
  <c r="E92" i="12"/>
  <c r="E80" i="12"/>
  <c r="B113" i="12" s="1"/>
  <c r="E93" i="12"/>
  <c r="F93" i="12" s="1"/>
  <c r="E94" i="12"/>
  <c r="F94" i="12" s="1"/>
  <c r="E101" i="12"/>
  <c r="E102" i="12" s="1"/>
  <c r="E104" i="12" s="1"/>
  <c r="E105" i="12" s="1"/>
  <c r="E106" i="12" s="1"/>
  <c r="E95" i="12" s="1"/>
  <c r="F95" i="12" s="1"/>
  <c r="E61" i="12"/>
  <c r="B103" i="12" s="1"/>
  <c r="E68" i="12"/>
  <c r="E69" i="12" s="1"/>
  <c r="B105" i="12" s="1"/>
  <c r="E81" i="12"/>
  <c r="E82" i="12" s="1"/>
  <c r="E54" i="12"/>
  <c r="B41" i="12" s="1"/>
  <c r="B51" i="12"/>
  <c r="B50" i="12"/>
  <c r="E56" i="12"/>
  <c r="B104" i="12" s="1"/>
  <c r="E112" i="12"/>
  <c r="E79" i="12"/>
  <c r="E72" i="12" s="1"/>
  <c r="E73" i="12" s="1"/>
  <c r="E113" i="12"/>
  <c r="B65" i="12"/>
  <c r="E60" i="12"/>
  <c r="E53" i="12"/>
  <c r="E41" i="12"/>
  <c r="E36" i="12"/>
  <c r="E55" i="12"/>
  <c r="B37" i="12" s="1"/>
  <c r="E38" i="12"/>
  <c r="B85" i="13"/>
  <c r="B25" i="13"/>
  <c r="E115" i="12"/>
  <c r="B16" i="15"/>
  <c r="D16" i="15" s="1"/>
  <c r="B84" i="13"/>
  <c r="E116" i="12"/>
  <c r="E117" i="12"/>
  <c r="E42" i="12"/>
  <c r="B46" i="12" s="1"/>
  <c r="B19" i="16"/>
  <c r="E25" i="16"/>
  <c r="E26" i="16" s="1"/>
  <c r="B119" i="16"/>
  <c r="B119" i="15"/>
  <c r="G16" i="11"/>
  <c r="C152" i="11"/>
  <c r="C59" i="11"/>
  <c r="C60" i="11"/>
  <c r="B12" i="12"/>
  <c r="C158" i="11" l="1"/>
  <c r="C90" i="11"/>
  <c r="B27" i="7"/>
  <c r="B28" i="7" s="1"/>
  <c r="C43" i="11"/>
  <c r="C78" i="11" s="1"/>
  <c r="C57" i="11"/>
  <c r="C40" i="11"/>
  <c r="C75" i="11" s="1"/>
  <c r="C37" i="11"/>
  <c r="C41" i="11"/>
  <c r="C76" i="11" s="1"/>
  <c r="C39" i="11"/>
  <c r="C74" i="11" s="1"/>
  <c r="C38" i="11"/>
  <c r="C42" i="11"/>
  <c r="C47" i="11"/>
  <c r="C82" i="11" s="1"/>
  <c r="C46" i="11"/>
  <c r="C81" i="11" s="1"/>
  <c r="C45" i="11"/>
  <c r="C48" i="11"/>
  <c r="C83" i="11" s="1"/>
  <c r="C151" i="11"/>
  <c r="C85" i="11" s="1"/>
  <c r="C44" i="11"/>
  <c r="C79" i="11" s="1"/>
  <c r="B50" i="16"/>
  <c r="B50" i="15"/>
  <c r="B51" i="15"/>
  <c r="B51" i="16"/>
  <c r="B41" i="16"/>
  <c r="B41" i="15"/>
  <c r="C19" i="13"/>
  <c r="E84" i="12"/>
  <c r="E87" i="12"/>
  <c r="E83" i="12"/>
  <c r="F86" i="12"/>
  <c r="F76" i="12"/>
  <c r="B105" i="15"/>
  <c r="B105" i="16"/>
  <c r="B103" i="16"/>
  <c r="B103" i="15"/>
  <c r="B62" i="12"/>
  <c r="B37" i="16"/>
  <c r="B37" i="15"/>
  <c r="B23" i="12"/>
  <c r="L101" i="12"/>
  <c r="B30" i="7"/>
  <c r="B31" i="7" s="1"/>
  <c r="B104" i="16"/>
  <c r="B104" i="15"/>
  <c r="B113" i="15"/>
  <c r="B113" i="16"/>
  <c r="E70" i="12"/>
  <c r="E71" i="12" s="1"/>
  <c r="E96" i="12"/>
  <c r="E98" i="12" s="1"/>
  <c r="F92" i="12"/>
  <c r="B65" i="16"/>
  <c r="B65" i="15"/>
  <c r="H25" i="16"/>
  <c r="H26" i="16" s="1"/>
  <c r="F28" i="16" s="1"/>
  <c r="H29" i="16"/>
  <c r="H30" i="16" s="1"/>
  <c r="C25" i="13"/>
  <c r="B66" i="15"/>
  <c r="B66" i="16"/>
  <c r="B9" i="13"/>
  <c r="B32" i="13"/>
  <c r="B41" i="13" s="1"/>
  <c r="B63" i="12"/>
  <c r="F73" i="12"/>
  <c r="B102" i="15"/>
  <c r="B102" i="16"/>
  <c r="B46" i="15"/>
  <c r="B46" i="16"/>
  <c r="B45" i="12"/>
  <c r="B99" i="15"/>
  <c r="B99" i="16"/>
  <c r="B59" i="16"/>
  <c r="B59" i="15"/>
  <c r="B65" i="13" l="1"/>
  <c r="C77" i="11"/>
  <c r="C80" i="11"/>
  <c r="C73" i="11"/>
  <c r="C72" i="11"/>
  <c r="C84" i="11"/>
  <c r="B50" i="13"/>
  <c r="C102" i="11"/>
  <c r="C101" i="11"/>
  <c r="C100" i="11"/>
  <c r="D159" i="11"/>
  <c r="B59" i="13"/>
  <c r="B105" i="13"/>
  <c r="B51" i="13"/>
  <c r="B46" i="13"/>
  <c r="E99" i="12"/>
  <c r="B101" i="12" s="1"/>
  <c r="F98" i="12"/>
  <c r="B106" i="13"/>
  <c r="B100" i="13"/>
  <c r="B48" i="12"/>
  <c r="F71" i="12"/>
  <c r="G76" i="12" s="1"/>
  <c r="B66" i="13"/>
  <c r="B103" i="13"/>
  <c r="B62" i="15"/>
  <c r="B62" i="16"/>
  <c r="B62" i="13"/>
  <c r="B45" i="13"/>
  <c r="B45" i="15"/>
  <c r="B45" i="16"/>
  <c r="B138" i="7"/>
  <c r="B139" i="7" s="1"/>
  <c r="B111" i="12"/>
  <c r="F83" i="12"/>
  <c r="B104" i="13"/>
  <c r="B117" i="12"/>
  <c r="E66" i="12"/>
  <c r="B47" i="12" s="1"/>
  <c r="F87" i="12"/>
  <c r="B37" i="13"/>
  <c r="E109" i="12"/>
  <c r="B121" i="12" s="1"/>
  <c r="F84" i="12"/>
  <c r="B63" i="17"/>
  <c r="B64" i="17"/>
  <c r="B60" i="17"/>
  <c r="B63" i="16"/>
  <c r="B63" i="13"/>
  <c r="B63" i="15"/>
  <c r="E85" i="12"/>
  <c r="B120" i="13"/>
  <c r="B97" i="13"/>
  <c r="B49" i="13"/>
  <c r="B114" i="13"/>
  <c r="C164" i="11" l="1"/>
  <c r="C94" i="11"/>
  <c r="C98" i="11"/>
  <c r="C162" i="11"/>
  <c r="C97" i="11"/>
  <c r="C95" i="11"/>
  <c r="C163" i="11"/>
  <c r="C161" i="11"/>
  <c r="B113" i="17"/>
  <c r="B65" i="17"/>
  <c r="B119" i="17"/>
  <c r="B122" i="13"/>
  <c r="B121" i="15"/>
  <c r="B121" i="16"/>
  <c r="B114" i="17"/>
  <c r="B62" i="17"/>
  <c r="B118" i="17"/>
  <c r="B102" i="13"/>
  <c r="B101" i="16"/>
  <c r="B101" i="15"/>
  <c r="B121" i="17"/>
  <c r="B120" i="17"/>
  <c r="B117" i="17"/>
  <c r="B111" i="17"/>
  <c r="B47" i="16"/>
  <c r="B47" i="13"/>
  <c r="B47" i="15"/>
  <c r="B48" i="13"/>
  <c r="B48" i="15"/>
  <c r="B48" i="16"/>
  <c r="B120" i="12"/>
  <c r="F85" i="12"/>
  <c r="B117" i="15"/>
  <c r="B117" i="16"/>
  <c r="B118" i="13"/>
  <c r="B112" i="13"/>
  <c r="B111" i="15"/>
  <c r="B111" i="16"/>
  <c r="B120" i="16" l="1"/>
  <c r="B120" i="15"/>
  <c r="B121" i="13"/>
  <c r="B66" i="17"/>
  <c r="B142" i="7" l="1"/>
  <c r="B143" i="7" s="1"/>
  <c r="B144" i="7" s="1"/>
  <c r="D2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  <author>amandadulcinea</author>
  </authors>
  <commentList>
    <comment ref="B19" authorId="0" shapeId="0" xr:uid="{635BF13F-4E5E-4D4C-817C-70904A4C7A7A}">
      <text>
        <r>
          <rPr>
            <b/>
            <sz val="9"/>
            <color indexed="81"/>
            <rFont val="Calibri"/>
            <family val="2"/>
          </rPr>
          <t>GREET</t>
        </r>
      </text>
    </comment>
    <comment ref="B23" authorId="1" shapeId="0" xr:uid="{33ED1EAF-2276-4936-AD59-32FCECE36810}">
      <text>
        <r>
          <rPr>
            <b/>
            <sz val="9"/>
            <color indexed="81"/>
            <rFont val="Tahoma"/>
            <family val="2"/>
          </rPr>
          <t>amandadulcinea:</t>
        </r>
        <r>
          <rPr>
            <sz val="9"/>
            <color indexed="81"/>
            <rFont val="Tahoma"/>
            <family val="2"/>
          </rPr>
          <t xml:space="preserve">
Poplar Labor costs given for 14.7 years of operation. Divided by 14.7 to give annual value.
Auc from Beal</t>
        </r>
      </text>
    </comment>
    <comment ref="B25" authorId="0" shapeId="0" xr:uid="{46D5779F-99B5-4A29-80EB-CB4BE2329101}">
      <text>
        <r>
          <rPr>
            <b/>
            <sz val="9"/>
            <color rgb="FF000000"/>
            <rFont val="Calibri"/>
            <family val="2"/>
          </rPr>
          <t>CMB: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Assumes this machinery services 1500 ha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</authors>
  <commentList>
    <comment ref="C3" authorId="0" shapeId="0" xr:uid="{DFFEFA14-CBCD-4472-B5AF-6695C4C10F62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In Capex
</t>
        </r>
      </text>
    </comment>
    <comment ref="C4" authorId="0" shapeId="0" xr:uid="{D1898736-64F3-447B-A650-CBB1966F93C3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In CapEx
</t>
        </r>
      </text>
    </comment>
    <comment ref="C20" authorId="0" shapeId="0" xr:uid="{9563EF0C-81D3-41C8-BC0B-A6FB966CF684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Billion ton report</t>
        </r>
      </text>
    </comment>
    <comment ref="C22" authorId="0" shapeId="0" xr:uid="{358CE1EC-7D16-443E-B7C4-CCBE60CB9669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USDA 2019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</authors>
  <commentList>
    <comment ref="B15" authorId="0" shapeId="0" xr:uid="{00000000-0006-0000-1000-000001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Huo p751</t>
        </r>
      </text>
    </comment>
    <comment ref="B28" authorId="0" shapeId="0" xr:uid="{00000000-0006-0000-1000-000002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Phan 2008
</t>
        </r>
      </text>
    </comment>
    <comment ref="B30" authorId="0" shapeId="0" xr:uid="{00000000-0006-0000-1000-000003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Chen 2018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  <author>amandadulcinea</author>
  </authors>
  <commentList>
    <comment ref="G4" authorId="0" shapeId="0" xr:uid="{00000000-0006-0000-1100-000001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CornCostReturn USDA excel file</t>
        </r>
      </text>
    </comment>
    <comment ref="G18" authorId="0" shapeId="0" xr:uid="{00000000-0006-0000-1100-000002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CornCostReturn USDA excel file</t>
        </r>
      </text>
    </comment>
    <comment ref="G68" authorId="1" shapeId="0" xr:uid="{00000000-0006-0000-1100-000003000000}">
      <text>
        <r>
          <rPr>
            <b/>
            <sz val="9"/>
            <color indexed="81"/>
            <rFont val="Tahoma"/>
            <family val="2"/>
          </rPr>
          <t>amandadulcinea:</t>
        </r>
        <r>
          <rPr>
            <sz val="9"/>
            <color indexed="81"/>
            <rFont val="Tahoma"/>
            <family val="2"/>
          </rPr>
          <t xml:space="preserve">
High margin of error. Kwiatkowski does not give a value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amandadulcinea</author>
    <author>CMB</author>
  </authors>
  <commentList>
    <comment ref="B17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amandadulcinea:</t>
        </r>
        <r>
          <rPr>
            <sz val="9"/>
            <color indexed="81"/>
            <rFont val="Tahoma"/>
            <family val="2"/>
          </rPr>
          <t xml:space="preserve">
Poplar cutting</t>
        </r>
      </text>
    </comment>
    <comment ref="B19" authorId="1" shapeId="0" xr:uid="{00000000-0006-0000-1200-000002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Poplar diesel value for harvest only and less than Eucalyptus value that includes transport and chipping, so used Euc</t>
        </r>
      </text>
    </comment>
    <comment ref="B23" authorId="0" shapeId="0" xr:uid="{00000000-0006-0000-1200-000003000000}">
      <text>
        <r>
          <rPr>
            <b/>
            <sz val="9"/>
            <color indexed="81"/>
            <rFont val="Tahoma"/>
            <family val="2"/>
          </rPr>
          <t>amandadulcinea:</t>
        </r>
        <r>
          <rPr>
            <sz val="9"/>
            <color indexed="81"/>
            <rFont val="Tahoma"/>
            <family val="2"/>
          </rPr>
          <t xml:space="preserve">
Poplar Labor costs given for 14.7 years of operation. Divided by 14.7 to give annual value.
Auc from Beal</t>
        </r>
      </text>
    </comment>
    <comment ref="B25" authorId="1" shapeId="0" xr:uid="{00000000-0006-0000-1200-000004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Assumes this machinery services 1500 ha</t>
        </r>
      </text>
    </comment>
    <comment ref="L105" authorId="1" shapeId="0" xr:uid="{00000000-0006-0000-1200-000005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What size is the operation that owns this machinery?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  <author>amandadulcinea</author>
  </authors>
  <commentList>
    <comment ref="B19" authorId="0" shapeId="0" xr:uid="{00000000-0006-0000-1300-000001000000}">
      <text>
        <r>
          <rPr>
            <b/>
            <sz val="9"/>
            <color indexed="81"/>
            <rFont val="Calibri"/>
            <family val="2"/>
          </rPr>
          <t>GREET</t>
        </r>
      </text>
    </comment>
    <comment ref="B23" authorId="1" shapeId="0" xr:uid="{00000000-0006-0000-1300-000002000000}">
      <text>
        <r>
          <rPr>
            <b/>
            <sz val="9"/>
            <color indexed="81"/>
            <rFont val="Tahoma"/>
            <family val="2"/>
          </rPr>
          <t>amandadulcinea:</t>
        </r>
        <r>
          <rPr>
            <sz val="9"/>
            <color indexed="81"/>
            <rFont val="Tahoma"/>
            <family val="2"/>
          </rPr>
          <t xml:space="preserve">
Poplar Labor costs given for 14.7 years of operation. Divided by 14.7 to give annual value.
Auc from Beal</t>
        </r>
      </text>
    </comment>
    <comment ref="B25" authorId="0" shapeId="0" xr:uid="{00000000-0006-0000-1300-000003000000}">
      <text>
        <r>
          <rPr>
            <b/>
            <sz val="9"/>
            <color rgb="FF000000"/>
            <rFont val="Calibri"/>
            <family val="2"/>
          </rPr>
          <t>CMB: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Assumes this machinery services 1500 ha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</authors>
  <commentList>
    <comment ref="H24" authorId="0" shapeId="0" xr:uid="{00000000-0006-0000-1500-000001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10% of forestry total</t>
        </r>
      </text>
    </comment>
    <comment ref="K24" authorId="0" shapeId="0" xr:uid="{00000000-0006-0000-1500-000002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10% of forestry total</t>
        </r>
      </text>
    </comment>
    <comment ref="B25" authorId="0" shapeId="0" xr:uid="{00000000-0006-0000-1500-000003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semi for 10 yrs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adcue</author>
    <author>CMB</author>
  </authors>
  <commentList>
    <comment ref="E5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adcue:</t>
        </r>
        <r>
          <rPr>
            <sz val="9"/>
            <color indexed="81"/>
            <rFont val="Tahoma"/>
            <family val="2"/>
          </rPr>
          <t xml:space="preserve">
negative denotes excess electricity generated</t>
        </r>
      </text>
    </comment>
    <comment ref="B9" authorId="1" shapeId="0" xr:uid="{00000000-0006-0000-1600-000002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50% of RDF
67% biogenic C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CMB</author>
  </authors>
  <commentList>
    <comment ref="B25" authorId="0" shapeId="0" xr:uid="{00000000-0006-0000-1700-000001000000}">
      <text>
        <r>
          <rPr>
            <b/>
            <sz val="9"/>
            <color indexed="81"/>
            <rFont val="Calibri"/>
            <family val="2"/>
          </rPr>
          <t>CMB:</t>
        </r>
        <r>
          <rPr>
            <sz val="9"/>
            <color indexed="81"/>
            <rFont val="Calibri"/>
            <family val="2"/>
          </rPr>
          <t xml:space="preserve">
semi for 10 yrs
</t>
        </r>
      </text>
    </comment>
  </commentList>
</comments>
</file>

<file path=xl/sharedStrings.xml><?xml version="1.0" encoding="utf-8"?>
<sst xmlns="http://schemas.openxmlformats.org/spreadsheetml/2006/main" count="2779" uniqueCount="1170">
  <si>
    <t>Notes</t>
  </si>
  <si>
    <t>MSW</t>
  </si>
  <si>
    <t>Corn grain</t>
  </si>
  <si>
    <t>Water</t>
  </si>
  <si>
    <t>Land</t>
  </si>
  <si>
    <t>Source</t>
  </si>
  <si>
    <t>Total</t>
  </si>
  <si>
    <t>Arable Land (ha)</t>
  </si>
  <si>
    <t>Woody biomass</t>
  </si>
  <si>
    <t>Corn stover</t>
  </si>
  <si>
    <t>Inputs</t>
  </si>
  <si>
    <t>Feedstock Production</t>
  </si>
  <si>
    <t>Scale for Calculations</t>
  </si>
  <si>
    <t>Freshwater (m3/yr)</t>
  </si>
  <si>
    <t>Saline Water (m3/yr)</t>
  </si>
  <si>
    <t>Herbicide (kg/yr)</t>
  </si>
  <si>
    <t>Pesticide (kg/yr)</t>
  </si>
  <si>
    <t>Electricity (MJ/yr)</t>
  </si>
  <si>
    <t>Diesel (kg/yr)</t>
  </si>
  <si>
    <t>Labor ($/yr)</t>
  </si>
  <si>
    <t>Capital Cost ($)</t>
  </si>
  <si>
    <t>Potassium in Fertilizer (kg/yr)</t>
  </si>
  <si>
    <t>Phosphorus in Fertilizer (kg/yr)</t>
  </si>
  <si>
    <t>Nitrogen in Fertilizer (kg/yr)</t>
  </si>
  <si>
    <t>Commercial CO2 (kg/yr)</t>
  </si>
  <si>
    <t>Atmospheric CO2 (kg/yr)</t>
  </si>
  <si>
    <t>Extraction/Conversion</t>
  </si>
  <si>
    <t>Heat (MJ/yr)</t>
  </si>
  <si>
    <t>Upgrading</t>
  </si>
  <si>
    <t>Outputs</t>
  </si>
  <si>
    <t>LUC Emissions (kg CO2e/yr)</t>
  </si>
  <si>
    <t>Fertilizer N2O (kg CO2e/yr)</t>
  </si>
  <si>
    <t>Equipment Disposal (kg CO2e/yr)</t>
  </si>
  <si>
    <t>Soybean Meal (kg/yr)</t>
  </si>
  <si>
    <t>Algal meal (kg/yr)</t>
  </si>
  <si>
    <t>CO2 Released from Algae Ponds (kg/yr)</t>
  </si>
  <si>
    <t>Soybeans (kg/yr)</t>
  </si>
  <si>
    <t>Algal biomass (kg/yr)</t>
  </si>
  <si>
    <t>Waste FOG (kg/yr)</t>
  </si>
  <si>
    <t>Corn grain (kg/yr)</t>
  </si>
  <si>
    <t>Corn Stover (kg/yr)</t>
  </si>
  <si>
    <t>MSW (kg/yr)</t>
  </si>
  <si>
    <t>Woody Biomass (kg/yr)</t>
  </si>
  <si>
    <t>Soybean Oil (kg/yr)</t>
  </si>
  <si>
    <t>Algal Oil (kg/yr)</t>
  </si>
  <si>
    <t>Waste FOG Oil (kg/yr)</t>
  </si>
  <si>
    <t>MSW Alkanes (kg/yr)</t>
  </si>
  <si>
    <t>Corn Stover Oil (kg/yr)</t>
  </si>
  <si>
    <t>Woody ? (kg/yr)</t>
  </si>
  <si>
    <t>Combustion</t>
  </si>
  <si>
    <t>JP-5 (kg/yr)</t>
  </si>
  <si>
    <t>JP-8 (kg/yr)</t>
  </si>
  <si>
    <t>Jet-A (kg/yr)</t>
  </si>
  <si>
    <t>Jet A-1 (kg/yr)</t>
  </si>
  <si>
    <t>Combustion Emissions (kg CO2e/yr)</t>
  </si>
  <si>
    <t>LPG</t>
  </si>
  <si>
    <t>Diesel</t>
  </si>
  <si>
    <t>Operating Days (d/yr)</t>
  </si>
  <si>
    <t>Hydrogen (kg/yr)</t>
  </si>
  <si>
    <t>Water (kg/yr)</t>
  </si>
  <si>
    <t>$/kg</t>
  </si>
  <si>
    <t>Nitrogen</t>
  </si>
  <si>
    <t>Ammonia</t>
  </si>
  <si>
    <t>P2O5</t>
  </si>
  <si>
    <t>K2O</t>
  </si>
  <si>
    <t>gal/kg</t>
  </si>
  <si>
    <t>$/MT</t>
  </si>
  <si>
    <t>$/kWh</t>
  </si>
  <si>
    <t>$/MJ</t>
  </si>
  <si>
    <t>Methane</t>
  </si>
  <si>
    <t>MJ/MJ</t>
  </si>
  <si>
    <t>MJ/kg</t>
  </si>
  <si>
    <t>water</t>
  </si>
  <si>
    <t>Energy Impact (MJ/X)</t>
  </si>
  <si>
    <t>Cost ($/X)</t>
  </si>
  <si>
    <t>WDP (m3/X)</t>
  </si>
  <si>
    <t>kg/MJ</t>
  </si>
  <si>
    <t>discount rate</t>
  </si>
  <si>
    <t>MACRS %</t>
  </si>
  <si>
    <t>t</t>
  </si>
  <si>
    <t>equity</t>
  </si>
  <si>
    <t>interest rate</t>
  </si>
  <si>
    <t>loan term, in years</t>
  </si>
  <si>
    <t>Maintenance Rate</t>
  </si>
  <si>
    <t>Insurance Rate</t>
  </si>
  <si>
    <t>TX Land Lease ($/ac-yr)</t>
  </si>
  <si>
    <t>Parameters</t>
  </si>
  <si>
    <t>Value</t>
  </si>
  <si>
    <t>Depreciable CapEx</t>
  </si>
  <si>
    <t>Plastic (kg/yr)</t>
  </si>
  <si>
    <t>Hexane Loss (kg/yr)</t>
  </si>
  <si>
    <t>Hydrogen</t>
  </si>
  <si>
    <t>$/ha</t>
  </si>
  <si>
    <t>Marginal Land (ha)</t>
  </si>
  <si>
    <t>$/ha-yr</t>
  </si>
  <si>
    <t>Carbon Dioxide (kg/yr)</t>
  </si>
  <si>
    <t>Propane (kg/yr)</t>
  </si>
  <si>
    <t>LPG (kg/yr)</t>
  </si>
  <si>
    <t>Naptha (kg/yr)</t>
  </si>
  <si>
    <t>Lime (kg/yr)</t>
  </si>
  <si>
    <t>Gasoline (kg/yr)</t>
  </si>
  <si>
    <t>Natural gas (kg/yr)</t>
  </si>
  <si>
    <t>Soybeans production costs and returns per planted acre, excluding Government payments</t>
  </si>
  <si>
    <t>(dollars per planted acre except where indicated)</t>
  </si>
  <si>
    <t>Sum of Value</t>
  </si>
  <si>
    <t>Base survey of 2012</t>
  </si>
  <si>
    <t>Base survey of 2006</t>
  </si>
  <si>
    <t>Base survey of 2002</t>
  </si>
  <si>
    <t>Base survey of 1997</t>
  </si>
  <si>
    <t>Gross value of production</t>
  </si>
  <si>
    <t>Primary product soybeans</t>
  </si>
  <si>
    <t>Total, gross value of production</t>
  </si>
  <si>
    <t>Operating costs</t>
  </si>
  <si>
    <t>Seed</t>
  </si>
  <si>
    <t xml:space="preserve">Fertilizer ᵃ </t>
  </si>
  <si>
    <t>Chemicals</t>
  </si>
  <si>
    <t>Custom services</t>
  </si>
  <si>
    <t>Fuel, lube, and electricity</t>
  </si>
  <si>
    <t>Repairs</t>
  </si>
  <si>
    <t>Purchased irrigation water</t>
  </si>
  <si>
    <t>Interest on operating capital</t>
  </si>
  <si>
    <t>Total, operating costs</t>
  </si>
  <si>
    <t>Allocated overhead</t>
  </si>
  <si>
    <t>Hired labor</t>
  </si>
  <si>
    <t>Opportunity cost of unpaid labor</t>
  </si>
  <si>
    <t>Capital recovery of machinery and equipment</t>
  </si>
  <si>
    <t>Opportunity cost of land</t>
  </si>
  <si>
    <t>Taxes and insurance</t>
  </si>
  <si>
    <t>General farm overhead</t>
  </si>
  <si>
    <t>Total, allocated overhead</t>
  </si>
  <si>
    <t>Costs listed</t>
  </si>
  <si>
    <t>Total, costs listed</t>
  </si>
  <si>
    <t>Net</t>
  </si>
  <si>
    <t>Value of production less total costs listed</t>
  </si>
  <si>
    <t>Value of production less operating costs</t>
  </si>
  <si>
    <t>Supporting information</t>
  </si>
  <si>
    <t>Yield (bushels per planted acre)</t>
  </si>
  <si>
    <t>Price (dollars per bushel at harvest)</t>
  </si>
  <si>
    <t>Enterprise size (planted acres)</t>
  </si>
  <si>
    <t>Production practices</t>
  </si>
  <si>
    <t>Dryland (percent of acres)</t>
  </si>
  <si>
    <t>Irrigated (percent of acres)</t>
  </si>
  <si>
    <t>Source: USDA, Economic Research Service using data from USDA's Agricultural Resource Management Survey and other sources.</t>
  </si>
  <si>
    <t>Survey base years are those in which a survey of producers was conducted. These years provide a baseline from which estimates in subsequent years are set.</t>
  </si>
  <si>
    <t>See documentation.</t>
  </si>
  <si>
    <t>The regions are ERS Farm Resource Regions.</t>
  </si>
  <si>
    <t>See regional map.</t>
  </si>
  <si>
    <t>ᵃ  Cost of commercial fertilizers, soil conditioners, and manure.</t>
  </si>
  <si>
    <t>Extraction</t>
  </si>
  <si>
    <t>Hexane Use (g/g soy)</t>
  </si>
  <si>
    <t>Hexane Loss (g/g used)</t>
  </si>
  <si>
    <t>Hexane Used (kg/yr)</t>
  </si>
  <si>
    <t>Hexane Used (MJ/yr)</t>
  </si>
  <si>
    <t>Soybean Seed (kg/yr)</t>
  </si>
  <si>
    <t>Land Capital Cost ($)</t>
  </si>
  <si>
    <t>OpEx $/yr</t>
  </si>
  <si>
    <t>Back of the envelope - Soybeans</t>
  </si>
  <si>
    <t>Capital cost $</t>
  </si>
  <si>
    <t>Insecticide (kg/yr)</t>
  </si>
  <si>
    <t>Gasoline</t>
  </si>
  <si>
    <t>OpEx $/ac-yr</t>
  </si>
  <si>
    <t>Labor $/yr</t>
  </si>
  <si>
    <t>Labor $/ac-yr</t>
  </si>
  <si>
    <t>Insurance + maint $/yr</t>
  </si>
  <si>
    <t>Ins + m $/ac-yr</t>
  </si>
  <si>
    <t>Capital cost ammor $/ac-yr</t>
  </si>
  <si>
    <t>Revenue $/yr</t>
  </si>
  <si>
    <t>Total Cost $/ac-yr</t>
  </si>
  <si>
    <t>Revenue $/ac-yr</t>
  </si>
  <si>
    <t xml:space="preserve">Calculated values for 100 ha </t>
  </si>
  <si>
    <t>Corn stover Pyrolysis</t>
  </si>
  <si>
    <t>Feedstock Production (kg/yr)</t>
  </si>
  <si>
    <t>Data</t>
  </si>
  <si>
    <t>Units</t>
  </si>
  <si>
    <t>Conversions</t>
  </si>
  <si>
    <t>Arable Land (ha/yr)</t>
  </si>
  <si>
    <t>Yield</t>
  </si>
  <si>
    <t>bu/acre</t>
  </si>
  <si>
    <t>GREET</t>
  </si>
  <si>
    <t>56 lbw/ bu shelled corn per USDA at 15% moisture (after drying)</t>
  </si>
  <si>
    <t>dry ton/acre</t>
  </si>
  <si>
    <t>Based on 30% corn stover removal rate</t>
  </si>
  <si>
    <t>g/ bu corn</t>
  </si>
  <si>
    <t>Marginal Land (ha/yr)</t>
  </si>
  <si>
    <t>yield for 100 ha/yr (converted)</t>
  </si>
  <si>
    <t>kg/yr</t>
  </si>
  <si>
    <t>yield for 100 ha/yr</t>
  </si>
  <si>
    <t xml:space="preserve">Canter et al., gives 2.2 dry tonne/ha </t>
  </si>
  <si>
    <t>functional unit</t>
  </si>
  <si>
    <t>ha/yr</t>
  </si>
  <si>
    <t xml:space="preserve">    Grams of Nitrogen</t>
  </si>
  <si>
    <t>g/acre</t>
  </si>
  <si>
    <t>acres to ha</t>
  </si>
  <si>
    <t>ha/acre</t>
  </si>
  <si>
    <t xml:space="preserve">    Grams of P2O5</t>
  </si>
  <si>
    <t>tons to kg</t>
  </si>
  <si>
    <t>kg/ton</t>
  </si>
  <si>
    <t>Atmospheric CO2 (kg/yr) corn grain</t>
  </si>
  <si>
    <t xml:space="preserve">    Grams of K2O</t>
  </si>
  <si>
    <t>BTU to Joule</t>
  </si>
  <si>
    <t>J/BTU</t>
  </si>
  <si>
    <t>Atmospheric CO2 (kg/yr) corn stover</t>
  </si>
  <si>
    <t xml:space="preserve">    Grams of CaCO3</t>
  </si>
  <si>
    <t>Energy allocation</t>
  </si>
  <si>
    <t>%</t>
  </si>
  <si>
    <t xml:space="preserve">    Grams of Herbicide</t>
  </si>
  <si>
    <t xml:space="preserve">    Grams of Insecticide</t>
  </si>
  <si>
    <t>Energy for corn production</t>
  </si>
  <si>
    <t>Total energy</t>
  </si>
  <si>
    <t>BTU/bushel</t>
  </si>
  <si>
    <t>N2O emissions due to N fertilizer application</t>
  </si>
  <si>
    <t>Zhang et al., 2013</t>
  </si>
  <si>
    <t>Transportation energy</t>
  </si>
  <si>
    <t>BTU/ton</t>
  </si>
  <si>
    <t>Assumes 53 mile transport from field to plant; truck transport--diesel fuel</t>
  </si>
  <si>
    <t>Total water for corn</t>
  </si>
  <si>
    <t>gal/bushel</t>
  </si>
  <si>
    <t>Water use</t>
  </si>
  <si>
    <t>gal/acre</t>
  </si>
  <si>
    <t>Energy allocation between corn grain and stover</t>
  </si>
  <si>
    <t>gallon to cubic meter</t>
  </si>
  <si>
    <t>gal/cubic meter</t>
  </si>
  <si>
    <t>CaCO3 fertilizer (kg/yr)</t>
  </si>
  <si>
    <t>Carbon content</t>
  </si>
  <si>
    <t>Ontario ministry of agirculture, food, and rural affairs</t>
  </si>
  <si>
    <t>Biomass burn characteristics for Ontario biomass; dry matter basis</t>
  </si>
  <si>
    <t>carbon atomic mass</t>
  </si>
  <si>
    <t>kg/kgmol</t>
  </si>
  <si>
    <t>Moisture content</t>
  </si>
  <si>
    <t>Renewable Fuells Association, 2009</t>
  </si>
  <si>
    <t>Ranges form 18-23% in typical corn before drying. Used average value. Assuming % is on a weight basis; Mei, 2006 states typical moisture level of #2 yellow dent corn is 15% weight</t>
  </si>
  <si>
    <t>CO2 uptake for corn stover</t>
  </si>
  <si>
    <t>CALCULATED</t>
  </si>
  <si>
    <t>Oxygen atomic mass</t>
  </si>
  <si>
    <t>CO2 uptake for corn grain</t>
  </si>
  <si>
    <t>Fast Pyrolysis hydroprocessing</t>
  </si>
  <si>
    <t>P2O5 atomic mass</t>
  </si>
  <si>
    <t>Seed (1000 kernels)</t>
  </si>
  <si>
    <t>Corn seed</t>
  </si>
  <si>
    <t>kernels/acre</t>
  </si>
  <si>
    <t>Iowa State U. Extension, 2018</t>
  </si>
  <si>
    <t>corn following corn 165 bu/acre yield</t>
  </si>
  <si>
    <t>Bio oil yield</t>
  </si>
  <si>
    <t>% (mg/mg biomass)</t>
  </si>
  <si>
    <t>Bitner et al., 2015</t>
  </si>
  <si>
    <t>P atomic mass</t>
  </si>
  <si>
    <t>labor cost</t>
  </si>
  <si>
    <t>$/acre</t>
  </si>
  <si>
    <t>For 2018 production; yield of 165 bu/acre</t>
  </si>
  <si>
    <t>fuel yield</t>
  </si>
  <si>
    <t>% (mg/mg bio oil)</t>
  </si>
  <si>
    <t>K atomic mass</t>
  </si>
  <si>
    <t>For 2018; includes seed only</t>
  </si>
  <si>
    <t>gas conversion rate</t>
  </si>
  <si>
    <t>K2O atomic mass</t>
  </si>
  <si>
    <t>Machinery: pre harvest and harvest fixed</t>
  </si>
  <si>
    <t>includes depreciation, interest, insurance, housing</t>
  </si>
  <si>
    <t>diesel conversion rate</t>
  </si>
  <si>
    <t>Steam price</t>
  </si>
  <si>
    <t>$ per 1000 kg</t>
  </si>
  <si>
    <t>Kwiatkowski et al., 2006</t>
  </si>
  <si>
    <t>equals $6/million BTU</t>
  </si>
  <si>
    <t>Natural gas (BTU/yr)</t>
  </si>
  <si>
    <t>Machinery: pre harvest and harvest variable</t>
  </si>
  <si>
    <t>includes fuel, oil, repairs</t>
  </si>
  <si>
    <t>Facility capacity</t>
  </si>
  <si>
    <t>MT/day</t>
  </si>
  <si>
    <t>dry biomass input</t>
  </si>
  <si>
    <t>equals $0.05/kWh</t>
  </si>
  <si>
    <t>LPG (BTU/yr)</t>
  </si>
  <si>
    <t xml:space="preserve">Farm machinery </t>
  </si>
  <si>
    <t>$</t>
  </si>
  <si>
    <t>Wright, et al., 2015</t>
  </si>
  <si>
    <t>Prices for producing field corn for grain in San Joaquin Valley; for a 1200 acre farm with 290 acres of corn planted; Range is up to 921 for all new equipment</t>
  </si>
  <si>
    <t>Max annual feedstock use</t>
  </si>
  <si>
    <t>MT/yr</t>
  </si>
  <si>
    <t>Nat. gas</t>
  </si>
  <si>
    <t>$/MMBTU</t>
  </si>
  <si>
    <t>Land: cash rent equivalent</t>
  </si>
  <si>
    <t>Max annual fuel production</t>
  </si>
  <si>
    <t>fuel output</t>
  </si>
  <si>
    <t>electric power cost</t>
  </si>
  <si>
    <t>Fixed costs ($/yr)</t>
  </si>
  <si>
    <t>Total cost/bushel</t>
  </si>
  <si>
    <t>$/bu</t>
  </si>
  <si>
    <t>ALL PRICES ARE ANNUAL</t>
  </si>
  <si>
    <t>Plant online time</t>
  </si>
  <si>
    <t>days/yr</t>
  </si>
  <si>
    <t>Cooling water</t>
  </si>
  <si>
    <t>$/1000 kg</t>
  </si>
  <si>
    <t>Seed ($/yr)</t>
  </si>
  <si>
    <t>Starch content</t>
  </si>
  <si>
    <t>Mei, 2006</t>
  </si>
  <si>
    <t xml:space="preserve">weight basis </t>
  </si>
  <si>
    <t>Capital costs</t>
  </si>
  <si>
    <t>Kwiatkowski plant annual corn req.</t>
  </si>
  <si>
    <t>Bu/yr</t>
  </si>
  <si>
    <t>Machinery variable ($/yr)</t>
  </si>
  <si>
    <t>EtOH yield</t>
  </si>
  <si>
    <t>gal/bu corn</t>
  </si>
  <si>
    <t>Mei, 2006; Kwiatkowski et al., 2006</t>
  </si>
  <si>
    <t>Value used in study; Max ranges from 2.5-2.85 depending on starch content of corn. Max occurs if starch conversion and glucose conversion is 100%; Kwiatkowski value calculated and agrees; Canter et al., 2016 gives 360 L/dry tonne. Mei's number equals ~473 L/dry tonne</t>
  </si>
  <si>
    <t>Total purchased equipment costs</t>
  </si>
  <si>
    <t>$/yr</t>
  </si>
  <si>
    <t>Density EtOH</t>
  </si>
  <si>
    <t>g/cm^3</t>
  </si>
  <si>
    <t>Pub Chem</t>
  </si>
  <si>
    <t>Seed (kg/yr)</t>
  </si>
  <si>
    <t>Water use, cooking</t>
  </si>
  <si>
    <t>pounds per hour</t>
  </si>
  <si>
    <t>Freshwater for cooking for a 30 Mmgpy plant; also required 12,500 pph water for CO2 scrubber</t>
  </si>
  <si>
    <t>Total installed cost</t>
  </si>
  <si>
    <t>cm3 to gal</t>
  </si>
  <si>
    <t>cm^3/gal</t>
  </si>
  <si>
    <t>Total reacted water use</t>
  </si>
  <si>
    <t>Includes water for CO2 scrubber</t>
  </si>
  <si>
    <t>Total indirect costs</t>
  </si>
  <si>
    <t>CO2/etOH weight ratio (production)</t>
  </si>
  <si>
    <t>kg/kg</t>
  </si>
  <si>
    <t>Cooking/liquefaction energy demand</t>
  </si>
  <si>
    <t>MMBTU/hr</t>
  </si>
  <si>
    <t>natural gas demand. Used in the form of steam in the process</t>
  </si>
  <si>
    <t>Project contingency</t>
  </si>
  <si>
    <t>LHV diesel</t>
  </si>
  <si>
    <t>BTU/gal</t>
  </si>
  <si>
    <t>Distillation/dehydration energy demand</t>
  </si>
  <si>
    <t>Working capital expenditure</t>
  </si>
  <si>
    <t>Nat. gas LHV</t>
  </si>
  <si>
    <t>BTU/ft^3</t>
  </si>
  <si>
    <t>Evaporator energy demand</t>
  </si>
  <si>
    <t>Total fixed capital investment</t>
  </si>
  <si>
    <t>Milling natural gas energy demand</t>
  </si>
  <si>
    <t>LPG LHV</t>
  </si>
  <si>
    <t>Total nat gas demand</t>
  </si>
  <si>
    <t>BTU/gal EtOH</t>
  </si>
  <si>
    <t>Total capital investment (w/land)</t>
  </si>
  <si>
    <t>Density gasoline</t>
  </si>
  <si>
    <t>g/gal</t>
  </si>
  <si>
    <t>Total electricity demand</t>
  </si>
  <si>
    <t>Equals 1.02 kWh/gal undenatured etOH; electricity for separate units is given but cannot be broken down by step in processing (pg. 48)</t>
  </si>
  <si>
    <t>Total fixed operating costs</t>
  </si>
  <si>
    <t>$/year</t>
  </si>
  <si>
    <t>Density diesel</t>
  </si>
  <si>
    <t>Milling electricity demand</t>
  </si>
  <si>
    <t>Feedstock cost</t>
  </si>
  <si>
    <t>Euro to dollar conversion 2013</t>
  </si>
  <si>
    <t>euro/$</t>
  </si>
  <si>
    <t>de Jong, 2015</t>
  </si>
  <si>
    <t>Cooking/liquefaction electricity demand</t>
  </si>
  <si>
    <t>Electricity price</t>
  </si>
  <si>
    <t>Hydrogen price</t>
  </si>
  <si>
    <t>Brown et al., 2013</t>
  </si>
  <si>
    <t>range is 265-298 times CO2</t>
  </si>
  <si>
    <t>sulfuric acid (kg/yr)</t>
  </si>
  <si>
    <t>SSF electricity demand</t>
  </si>
  <si>
    <t>Electricity use</t>
  </si>
  <si>
    <t>kW/hr</t>
  </si>
  <si>
    <t>MT to kg</t>
  </si>
  <si>
    <t>kg/MT</t>
  </si>
  <si>
    <t>ammonia (kg/yr)</t>
  </si>
  <si>
    <t>Distillation/dehydration electricity demand</t>
  </si>
  <si>
    <t>Electricity generation</t>
  </si>
  <si>
    <t>kWh/year</t>
  </si>
  <si>
    <t>GWP of N2O</t>
  </si>
  <si>
    <t>CO2 e</t>
  </si>
  <si>
    <t>Epa website</t>
  </si>
  <si>
    <t>Corn steep liquor</t>
  </si>
  <si>
    <t>Dryhouse electricity demand</t>
  </si>
  <si>
    <t>includes solid separation, evaporation and DDGS processing</t>
  </si>
  <si>
    <t>Catalyst cost</t>
  </si>
  <si>
    <t>kWh/MJ</t>
  </si>
  <si>
    <t>MJ/kWh</t>
  </si>
  <si>
    <t>diammonium phosphate</t>
  </si>
  <si>
    <t>Product loadout electricity demand</t>
  </si>
  <si>
    <t>Energy content renewable jet fuel</t>
  </si>
  <si>
    <t>BTU/lb</t>
  </si>
  <si>
    <t>sorbitol</t>
  </si>
  <si>
    <t>Capital costs for dry grind EtOH facility</t>
  </si>
  <si>
    <t>million $</t>
  </si>
  <si>
    <t>Price for 38 million gallon/yr EtOH facility (40 million gallon/yr denatured EtOH mixed with 5% gasoline)</t>
  </si>
  <si>
    <t>Hydrogen use</t>
  </si>
  <si>
    <t>kg/hr</t>
  </si>
  <si>
    <t>EtOH density</t>
  </si>
  <si>
    <t>glucose</t>
  </si>
  <si>
    <t>grain handling and mixing</t>
  </si>
  <si>
    <t>char production</t>
  </si>
  <si>
    <t>mass basis of biomass feedstock</t>
  </si>
  <si>
    <t>Conventional jet fuel</t>
  </si>
  <si>
    <t>GREEt</t>
  </si>
  <si>
    <t>host nutrients</t>
  </si>
  <si>
    <t>liquefaction and saccharification</t>
  </si>
  <si>
    <t>Steam for pre processing</t>
  </si>
  <si>
    <t>MT</t>
  </si>
  <si>
    <t>for a 2000 MT/day (feedstock) plant; Amt. given is per day</t>
  </si>
  <si>
    <t>MW etOH</t>
  </si>
  <si>
    <t>g/gmol</t>
  </si>
  <si>
    <t>sulfur dioxide</t>
  </si>
  <si>
    <t>Fermentation</t>
  </si>
  <si>
    <t>Electricity</t>
  </si>
  <si>
    <t>kWh</t>
  </si>
  <si>
    <t>lb per ton</t>
  </si>
  <si>
    <t>lb/ton</t>
  </si>
  <si>
    <t>caustic</t>
  </si>
  <si>
    <t>EtOH processing</t>
  </si>
  <si>
    <t>Process water for bio-oil production</t>
  </si>
  <si>
    <t>lb to kg</t>
  </si>
  <si>
    <t>lb/kg</t>
  </si>
  <si>
    <t>Boiler chems</t>
  </si>
  <si>
    <t>Coproduct processsing</t>
  </si>
  <si>
    <t>Electricity for pyrolysis</t>
  </si>
  <si>
    <t>Corn seed kernels per bushel</t>
  </si>
  <si>
    <t>kernels/bu</t>
  </si>
  <si>
    <t>https://agcrops.osu.edu/newsletter/corn-newsletter/2015-25/estimating-corn-yields</t>
  </si>
  <si>
    <t>for a 56 lb bushel</t>
  </si>
  <si>
    <t>FGD lime</t>
  </si>
  <si>
    <t>Common support systems</t>
  </si>
  <si>
    <t>CO2 emissions</t>
  </si>
  <si>
    <t>Cooling tower chems</t>
  </si>
  <si>
    <t>Raw materials costs</t>
  </si>
  <si>
    <t>N2O emissions</t>
  </si>
  <si>
    <t>makeup water</t>
  </si>
  <si>
    <t>Ash</t>
  </si>
  <si>
    <t>alpha amylase (kg/yr)</t>
  </si>
  <si>
    <t>Denaturant</t>
  </si>
  <si>
    <t>Process water for hydrotreating</t>
  </si>
  <si>
    <t>gluco amylase (kg/yr)</t>
  </si>
  <si>
    <t>Enzymes</t>
  </si>
  <si>
    <t>zeolite powder</t>
  </si>
  <si>
    <t>Catalyst bio oil upgrading</t>
  </si>
  <si>
    <t>Yeast (kg/yr)</t>
  </si>
  <si>
    <t>Yeast</t>
  </si>
  <si>
    <t>Ni based catalyst</t>
  </si>
  <si>
    <t>catalyst hydrotreating</t>
  </si>
  <si>
    <t>Steam (Kg/yr) EtOH</t>
  </si>
  <si>
    <t>Other</t>
  </si>
  <si>
    <t>Electricity for hydrotreating</t>
  </si>
  <si>
    <t>Steam (Kg/yr) Pyrolysis</t>
  </si>
  <si>
    <t>Utilities</t>
  </si>
  <si>
    <t>CO2 emisisons</t>
  </si>
  <si>
    <t>Nat. Gas MMBTU/yr</t>
  </si>
  <si>
    <t>CH4 emissions</t>
  </si>
  <si>
    <t>Electricity (MJ/yr) Pyrolysis</t>
  </si>
  <si>
    <t>Steam</t>
  </si>
  <si>
    <t>H required</t>
  </si>
  <si>
    <t>Wright et al., 2010</t>
  </si>
  <si>
    <t>For a H purchasing plant; maximizes yield of hydrocarbons</t>
  </si>
  <si>
    <t>Process water (kg/yr) stover etOH</t>
  </si>
  <si>
    <t>Nat. Gas</t>
  </si>
  <si>
    <t>electricity for upgrading</t>
  </si>
  <si>
    <t>Cooling water (1000 kg/yr)</t>
  </si>
  <si>
    <t>Fixed operating costs</t>
  </si>
  <si>
    <t>Labor ($/yr) EtOH</t>
  </si>
  <si>
    <t>Labor and supplies</t>
  </si>
  <si>
    <t>Labor</t>
  </si>
  <si>
    <t>Capital Cost ($) EtOH</t>
  </si>
  <si>
    <t>Plant operations</t>
  </si>
  <si>
    <t>Overhead/maint</t>
  </si>
  <si>
    <t>Corn grain ($/yr) EtOH</t>
  </si>
  <si>
    <t>Maintenance</t>
  </si>
  <si>
    <t>Denaturant ($/yr) EtOH</t>
  </si>
  <si>
    <t>Insurance and administration</t>
  </si>
  <si>
    <t>Variable op. costs</t>
  </si>
  <si>
    <t>Enzymes ($/yr) EtOH</t>
  </si>
  <si>
    <t>Co-product credit</t>
  </si>
  <si>
    <t>Insurance and taxes</t>
  </si>
  <si>
    <t>Yeast ($/yr) EtOH</t>
  </si>
  <si>
    <t>Total corn dry weight in</t>
  </si>
  <si>
    <t>0.3% removed as trash, 15% water content of corn</t>
  </si>
  <si>
    <t>Raw materials</t>
  </si>
  <si>
    <t>Other ($/yr) EtOH</t>
  </si>
  <si>
    <t>alpha amylase in</t>
  </si>
  <si>
    <t xml:space="preserve">0.082% alpha amylase in on dry basis </t>
  </si>
  <si>
    <t>Solid disposal costs</t>
  </si>
  <si>
    <t>Electricity ($/yr) EtOH</t>
  </si>
  <si>
    <t>gluco amylase in</t>
  </si>
  <si>
    <t>0.11% gluco amylase in</t>
  </si>
  <si>
    <t>Char credit</t>
  </si>
  <si>
    <t>Steam ($/yr) EtOH</t>
  </si>
  <si>
    <t>H2SO4 in</t>
  </si>
  <si>
    <t>kg/dry ton substrate</t>
  </si>
  <si>
    <t>H2SO4</t>
  </si>
  <si>
    <t>Nat. Gas ($/yr) EtOH</t>
  </si>
  <si>
    <t>yeast in</t>
  </si>
  <si>
    <t>0.008% yeast in for fermentation</t>
  </si>
  <si>
    <t>non-depreciated direct costs</t>
  </si>
  <si>
    <t>Cooling water ($/yr) EtOH</t>
  </si>
  <si>
    <t>DDGS</t>
  </si>
  <si>
    <t>Kg/yr</t>
  </si>
  <si>
    <t>Protein contant normally 27.8%. Price depends on protein content</t>
  </si>
  <si>
    <t>waste total from plant</t>
  </si>
  <si>
    <t>ton/yr</t>
  </si>
  <si>
    <t>Plant operations ($/yr) EtOH</t>
  </si>
  <si>
    <t>Energy use for farming</t>
  </si>
  <si>
    <t>BTU/acre</t>
  </si>
  <si>
    <t>For corn and corn stover using sinlge pass harvesting</t>
  </si>
  <si>
    <t>Maintenance ($/yr) EtOH</t>
  </si>
  <si>
    <t xml:space="preserve">     Diesel fuel</t>
  </si>
  <si>
    <t>Ratio</t>
  </si>
  <si>
    <t>Process fuel shares for corn farming and single pass harvesting</t>
  </si>
  <si>
    <t>Advanced fermentation (cellulosic)</t>
  </si>
  <si>
    <t>Sulfuric acid, 93% ($/yr)</t>
  </si>
  <si>
    <t xml:space="preserve">     Gasoline</t>
  </si>
  <si>
    <t>Feedstock in annually</t>
  </si>
  <si>
    <t>dry US ton</t>
  </si>
  <si>
    <t>Tao et al., 2016</t>
  </si>
  <si>
    <t>For a 2205 dry US ton/day plant w/ 96% up time</t>
  </si>
  <si>
    <t>Ammonia ($/yr)</t>
  </si>
  <si>
    <t xml:space="preserve">     Natural gas</t>
  </si>
  <si>
    <t xml:space="preserve">EtOH production </t>
  </si>
  <si>
    <t>MM gal etOH/yr</t>
  </si>
  <si>
    <t>NREL, 2011</t>
  </si>
  <si>
    <t>Corn steep liquor ($/yr)</t>
  </si>
  <si>
    <t xml:space="preserve">     Liquefied petroleum gas</t>
  </si>
  <si>
    <t>Jet fuel production</t>
  </si>
  <si>
    <t>MM gal jet fuel/yr</t>
  </si>
  <si>
    <t>773000 dry ton stover feedstock/yr</t>
  </si>
  <si>
    <t>diammonium phosphate ($/yr)</t>
  </si>
  <si>
    <t xml:space="preserve">     Electricity</t>
  </si>
  <si>
    <t>CO2 production</t>
  </si>
  <si>
    <t>metric tons/yr</t>
  </si>
  <si>
    <t>CALCULATED. EtOH: CO2 on mol basis is 1:1</t>
  </si>
  <si>
    <t>sorbitol ($/yr)</t>
  </si>
  <si>
    <t xml:space="preserve">Energy for transportation </t>
  </si>
  <si>
    <t>Assuming 10 miles from field to storage and 40 miles from storage to plant; truck transport--diesel fuel</t>
  </si>
  <si>
    <t>Sulfuric acid for pretreatment</t>
  </si>
  <si>
    <t>mg/g dry biomass</t>
  </si>
  <si>
    <t>glucose ($/yr)</t>
  </si>
  <si>
    <t>Gasoline Co Product</t>
  </si>
  <si>
    <t>For Ethanol to jet pathway</t>
  </si>
  <si>
    <t xml:space="preserve">Enzyme loading </t>
  </si>
  <si>
    <t>mg enzyme protein/g cellulose</t>
  </si>
  <si>
    <t>Enzyme used for 90% enzymatic hydrolysis</t>
  </si>
  <si>
    <t>host nutrients ($/yr)</t>
  </si>
  <si>
    <t>Diesel Co Product</t>
  </si>
  <si>
    <t>Variable operating costs</t>
  </si>
  <si>
    <t>Cost in MM$/yr</t>
  </si>
  <si>
    <t>Cost in $/ton</t>
  </si>
  <si>
    <t>sulfur dioxide ($/yr)</t>
  </si>
  <si>
    <t xml:space="preserve"> Ethanol feedstock</t>
  </si>
  <si>
    <t>Kg/MJ</t>
  </si>
  <si>
    <t>Sulfuric acid, 93%</t>
  </si>
  <si>
    <t>Ethanol production only</t>
  </si>
  <si>
    <t>caustic ($/yr)</t>
  </si>
  <si>
    <t xml:space="preserve">Electricity in </t>
  </si>
  <si>
    <t>Boiler chems ($/yr)</t>
  </si>
  <si>
    <t>Hydrogen in</t>
  </si>
  <si>
    <t>FGD lime ($/yr)</t>
  </si>
  <si>
    <t>Catalysts</t>
  </si>
  <si>
    <t>Cooling tower chems ($/yr)</t>
  </si>
  <si>
    <t>makeup water ($/yr)</t>
  </si>
  <si>
    <t>Carbon monoxide (non combustion emission)</t>
  </si>
  <si>
    <t>Disposal of ash ($/yr)</t>
  </si>
  <si>
    <t>Nox (non combustion emissions)</t>
  </si>
  <si>
    <t>corn steep liquor</t>
  </si>
  <si>
    <t>ammonia</t>
  </si>
  <si>
    <t>Capital costs for dry mill corn plant</t>
  </si>
  <si>
    <t>55-95</t>
  </si>
  <si>
    <t>Staples, 2014</t>
  </si>
  <si>
    <t>Price per mass of corn dry milled in the plant. Normalized literature estimates to obtain range</t>
  </si>
  <si>
    <t xml:space="preserve"> </t>
  </si>
  <si>
    <t>Corn Alcohol (gal/yr)</t>
  </si>
  <si>
    <t>Total capital investment</t>
  </si>
  <si>
    <t>million euro</t>
  </si>
  <si>
    <t>de Jong 2015</t>
  </si>
  <si>
    <t>Corn Stover EtOH (kg/yr)</t>
  </si>
  <si>
    <t>Total purchased equipment</t>
  </si>
  <si>
    <t>Total capital costs for alcohol to jet plant</t>
  </si>
  <si>
    <t>Cost is for a 500 t/day fuel product (254 MW/day) capacity plant. Prices in 2013 Euros; range is 68-72 million euros</t>
  </si>
  <si>
    <t>Zeolite (kg/yr)</t>
  </si>
  <si>
    <t>size de Jong plant</t>
  </si>
  <si>
    <t>MJ/yr</t>
  </si>
  <si>
    <t>Ni-catalyst (kg/yr)</t>
  </si>
  <si>
    <t>size 100 ha plant</t>
  </si>
  <si>
    <t>Catalyst (kg/yr) EtOH</t>
  </si>
  <si>
    <t>Disposal of ash</t>
  </si>
  <si>
    <t>Waste disposal</t>
  </si>
  <si>
    <t>Water (kg/yr) EtOH</t>
  </si>
  <si>
    <t>Total installed equipment</t>
  </si>
  <si>
    <t>$/gal jet blendstock</t>
  </si>
  <si>
    <t>Tao et al, 2016</t>
  </si>
  <si>
    <t>For ethanol purification and upgrading to jet fuel producing 53.05 million gallons of total fuel (39.64 MM gallons jet fuel) annually from 2000 dry metric tons of corn grain daily; total is $154.28 e6 for entire plant; per gallon value calculated</t>
  </si>
  <si>
    <t>grid electricity</t>
  </si>
  <si>
    <t>cost in $/kWh; Electiricy byproduct/credit</t>
  </si>
  <si>
    <t>Hydrogen (kg/yr) Pyrolysis</t>
  </si>
  <si>
    <t>Area 100 electricity</t>
  </si>
  <si>
    <t>Hydrogen (kg/yr) EtOH</t>
  </si>
  <si>
    <t>Electricity (MJ/yr) EtOH</t>
  </si>
  <si>
    <t>labor</t>
  </si>
  <si>
    <t>Labor is for entire plant from ethanol production to jet fuel; overestimate</t>
  </si>
  <si>
    <t>MM$</t>
  </si>
  <si>
    <t>Maintenance &amp; property insurance</t>
  </si>
  <si>
    <t>Labor ($/yr) stover ethanol</t>
  </si>
  <si>
    <t>total capital investment etOH plant</t>
  </si>
  <si>
    <t>For a 2205 dry US ton/day plant; includes direct and indirect costs</t>
  </si>
  <si>
    <t>Capital Cost ($) stover ethanol</t>
  </si>
  <si>
    <t>Total capital investment EtOH to jet fuel</t>
  </si>
  <si>
    <t>MM $</t>
  </si>
  <si>
    <t>Calculated. Total investment is $625 for corn stover to jet; subtracted ethanol production total capital investment to calculate etOH to jet total capital investment</t>
  </si>
  <si>
    <t>Raw materials ($/yr) stover ethanol</t>
  </si>
  <si>
    <t>Disposal costs ($/yr) Pyrolysis</t>
  </si>
  <si>
    <t>Char credit ($/yr) Pyrolysis</t>
  </si>
  <si>
    <t>Capital cost ($) EtOH</t>
  </si>
  <si>
    <t>Hydrogen ($/yr) EtOH</t>
  </si>
  <si>
    <t>Catalysts ($/yr) EtOH</t>
  </si>
  <si>
    <t>labor ($/yr) EtOH</t>
  </si>
  <si>
    <t>Process water pyrolysis (kg/yr)</t>
  </si>
  <si>
    <t>Corn stover Alcohol (kg/yr)</t>
  </si>
  <si>
    <t>CO2 (kg/yr) stover ethanol</t>
  </si>
  <si>
    <t>DDGS (kg/yr) EtOH</t>
  </si>
  <si>
    <t>CO2 (kg/yr) Pyrolysis</t>
  </si>
  <si>
    <t>Char (kg/yr) pyrolysis</t>
  </si>
  <si>
    <t>N2O (kg CO2e/yr) Pyrolysis</t>
  </si>
  <si>
    <t>Ash (kg/yr) stover ethanol</t>
  </si>
  <si>
    <t>Electricity (MJ/yr) (produced corn stove etOH</t>
  </si>
  <si>
    <t>Jet-A (kg/yr) Pyrolysis</t>
  </si>
  <si>
    <t>Jet A (kg/yr) EtOH</t>
  </si>
  <si>
    <t>Chem A</t>
  </si>
  <si>
    <t>CO2</t>
  </si>
  <si>
    <t>Gasoline (MJ/yr)</t>
  </si>
  <si>
    <t>Diesel (MJ/yr)</t>
  </si>
  <si>
    <t>CO (kg/yr)</t>
  </si>
  <si>
    <t>Nox (kg/yr)</t>
  </si>
  <si>
    <t>CO2 emisisons Pyrolysis</t>
  </si>
  <si>
    <t>CH4 emissions Pyrolysis</t>
  </si>
  <si>
    <t>Corn Seed (kg/yr)</t>
  </si>
  <si>
    <t>Fertilizer N2O (kg N2O/yr)</t>
  </si>
  <si>
    <t>Sulfuric Acid (kg/yr)</t>
  </si>
  <si>
    <t>Enzymes (kg/yr)</t>
  </si>
  <si>
    <t>Steam (kg/yr)</t>
  </si>
  <si>
    <t>Corn EtOH (kg/yr)</t>
  </si>
  <si>
    <t>Ammonia (kg/yr)</t>
  </si>
  <si>
    <t>Glucose (kg/yr)</t>
  </si>
  <si>
    <t>Sodium Hydroxide (kg/yr)</t>
  </si>
  <si>
    <t>CO2 (kg/yr)</t>
  </si>
  <si>
    <t>DDGS (kg/yr)</t>
  </si>
  <si>
    <t>Catalysts (kg/yr)</t>
  </si>
  <si>
    <t>Carbon Monoxide (kg/yr)</t>
  </si>
  <si>
    <t>NOx (kg/yr)</t>
  </si>
  <si>
    <t>$/t</t>
  </si>
  <si>
    <t>Woody Biomass</t>
  </si>
  <si>
    <t>yield</t>
  </si>
  <si>
    <t>MJ to MWh</t>
  </si>
  <si>
    <t>MJ/MWh</t>
  </si>
  <si>
    <t>Energy use (diesel)</t>
  </si>
  <si>
    <t>BTU/dry ton collected</t>
  </si>
  <si>
    <t>Energy to collect and harvest; did not include energy to produce diesel fuel</t>
  </si>
  <si>
    <t>Energy for fuel transport</t>
  </si>
  <si>
    <t>Energy to transport to processing plant; assumes 90 mile distance</t>
  </si>
  <si>
    <t>NETL report--Diesel fuel from switchgrass via gasification and FT</t>
  </si>
  <si>
    <t xml:space="preserve">Biomass feed </t>
  </si>
  <si>
    <t>ton per day</t>
  </si>
  <si>
    <t>NETL, 2009</t>
  </si>
  <si>
    <t>as received. Assuming 15% moisture content</t>
  </si>
  <si>
    <t>Total liquids produced</t>
  </si>
  <si>
    <t>barrels per day</t>
  </si>
  <si>
    <t xml:space="preserve">Atmospheric CO2 (kg/yr) </t>
  </si>
  <si>
    <t>Naphtha</t>
  </si>
  <si>
    <t>$/daily barrel produced</t>
  </si>
  <si>
    <t>Capacity factor</t>
  </si>
  <si>
    <t>CO2 atomic mass</t>
  </si>
  <si>
    <t>NREL (Phillips), 2007 report--Poplar to syngas to ethanol</t>
  </si>
  <si>
    <t>Plant size</t>
  </si>
  <si>
    <t>dry tonne/yr</t>
  </si>
  <si>
    <t>NREL, 2007</t>
  </si>
  <si>
    <t>Annual feedstock capacity of plant</t>
  </si>
  <si>
    <t>H molecular weight</t>
  </si>
  <si>
    <t>Syngas production</t>
  </si>
  <si>
    <t>million US tons/yr</t>
  </si>
  <si>
    <t>N molecular weight</t>
  </si>
  <si>
    <t>Gasifier efficiency</t>
  </si>
  <si>
    <t>LHV basis</t>
  </si>
  <si>
    <t>S molecular weight</t>
  </si>
  <si>
    <t>hydrogen</t>
  </si>
  <si>
    <t>Mass ratio</t>
  </si>
  <si>
    <t>carbon monoxide</t>
  </si>
  <si>
    <t>nitrogen</t>
  </si>
  <si>
    <t>carbon dioxide</t>
  </si>
  <si>
    <t>hydrogen sulfide (H2S)</t>
  </si>
  <si>
    <t>Ammonia (NH3)</t>
  </si>
  <si>
    <t>Capital costs ($)</t>
  </si>
  <si>
    <t>n-butane (C4H10)</t>
  </si>
  <si>
    <t>ethane (C2H6)</t>
  </si>
  <si>
    <t>ethylene (C2H4)</t>
  </si>
  <si>
    <t>acetylene (C2H2)</t>
  </si>
  <si>
    <t>C3H8</t>
  </si>
  <si>
    <t>Pentane (C5H12)</t>
  </si>
  <si>
    <t>Benzene (C8H6)</t>
  </si>
  <si>
    <t>Tar</t>
  </si>
  <si>
    <t>Gasification and reforming steam use</t>
  </si>
  <si>
    <t>lb/gal</t>
  </si>
  <si>
    <t>per gal etOH</t>
  </si>
  <si>
    <t>Gasificatin and reforming steam</t>
  </si>
  <si>
    <t>lb/yr</t>
  </si>
  <si>
    <t>Calculated; Annual EtOH production 61.97 million gal</t>
  </si>
  <si>
    <t>Total installed equipment costs</t>
  </si>
  <si>
    <t>Feed handling</t>
  </si>
  <si>
    <t>Gasification</t>
  </si>
  <si>
    <t>Gas cleanup and conditioning</t>
  </si>
  <si>
    <t>Steam and power generation</t>
  </si>
  <si>
    <t>Cooling water and other utilities</t>
  </si>
  <si>
    <t>Labor costs</t>
  </si>
  <si>
    <t>Does not include benefits and overhead. These are 95% of salaries</t>
  </si>
  <si>
    <t>Materials costs</t>
  </si>
  <si>
    <t>Per year</t>
  </si>
  <si>
    <t>Olivine</t>
  </si>
  <si>
    <t>Other raw matl.</t>
  </si>
  <si>
    <t>Kreutz et al., 2008--FT fuels from coal and switchgrass</t>
  </si>
  <si>
    <t>Plant daily capacity</t>
  </si>
  <si>
    <t>Kreutz et al., 2008</t>
  </si>
  <si>
    <t>Switchgrass, 15% moisture. Equals 3044 dry ton per day</t>
  </si>
  <si>
    <t>Plant annuay capacity</t>
  </si>
  <si>
    <t>dry tonnes per year</t>
  </si>
  <si>
    <t>Plant capacity factor</t>
  </si>
  <si>
    <t>Plant daily energy flow</t>
  </si>
  <si>
    <t>MW LHV</t>
  </si>
  <si>
    <t>For 15% moisture switchgrass. Equals 60 MW HHG</t>
  </si>
  <si>
    <t>Pure O2 in</t>
  </si>
  <si>
    <t>metric t/day</t>
  </si>
  <si>
    <t>Oxygen produced on site</t>
  </si>
  <si>
    <t>Syncrude from synthesis reactor</t>
  </si>
  <si>
    <t>kg/s</t>
  </si>
  <si>
    <t>FT diesel produced (LHV)</t>
  </si>
  <si>
    <t>Does not state if value is annual or daily production; composition: C15H32</t>
  </si>
  <si>
    <t>FT Gasoline produced (LHV)</t>
  </si>
  <si>
    <t>Does not state if value is annual or daily production. Composition:C9H20</t>
  </si>
  <si>
    <t>FT diesel crude oil derived diesel eq.</t>
  </si>
  <si>
    <t>bbl/day</t>
  </si>
  <si>
    <t>FT gasoline crude oil derived gas eq.</t>
  </si>
  <si>
    <t>Fraction of input energy converted to FTL (LHV)</t>
  </si>
  <si>
    <t>Electricity exported to grid</t>
  </si>
  <si>
    <t>MW</t>
  </si>
  <si>
    <t>Net leftover after plant requirements are fulfilled. Unclear if daily or annual value</t>
  </si>
  <si>
    <t>Carbon in char (unburned)</t>
  </si>
  <si>
    <t>of feedstock C</t>
  </si>
  <si>
    <t>Carbon in FTL</t>
  </si>
  <si>
    <t>Carbon vented to atmosphere</t>
  </si>
  <si>
    <t>Total plant capital costs</t>
  </si>
  <si>
    <t>In 2007 dollars; no CCS</t>
  </si>
  <si>
    <t>O&amp;M</t>
  </si>
  <si>
    <t>Estimated as 4% of total plant capital</t>
  </si>
  <si>
    <t>Diesel LHV (Aspen)</t>
  </si>
  <si>
    <t>Gasoline LHV (Aspen)</t>
  </si>
  <si>
    <t>FT Diesel LHV (Aspen)</t>
  </si>
  <si>
    <t>Total electricity production</t>
  </si>
  <si>
    <t>Hydrogen for upgrading</t>
  </si>
  <si>
    <t>Produced in water gas shift unit on site</t>
  </si>
  <si>
    <t>Yield (syngas)</t>
  </si>
  <si>
    <t>tons/yr</t>
  </si>
  <si>
    <t>Calculated from Kreutz</t>
  </si>
  <si>
    <t>Yield (Diesel)</t>
  </si>
  <si>
    <t>MWh/yr</t>
  </si>
  <si>
    <t>LHV diesel production annually</t>
  </si>
  <si>
    <t>Diesel fuel produced annually</t>
  </si>
  <si>
    <t>Poplar yield</t>
  </si>
  <si>
    <t>Mg/ha/yr</t>
  </si>
  <si>
    <t>Volk et al., 2017</t>
  </si>
  <si>
    <t>Average of previous studies of Poplar yield. Volk et al. found that yield is &gt;10 in most of the US</t>
  </si>
  <si>
    <t>Yield from 100 ha in dry tons</t>
  </si>
  <si>
    <t>dry ton/yr</t>
  </si>
  <si>
    <t>Calculated</t>
  </si>
  <si>
    <t>Farming and harvesting energy use</t>
  </si>
  <si>
    <t>BTU/dry ton</t>
  </si>
  <si>
    <t>per dry ton harvested; States energy is 100% from diesel</t>
  </si>
  <si>
    <t>g/dry ton</t>
  </si>
  <si>
    <t>per dry ton harvested</t>
  </si>
  <si>
    <t>Grams of Herbicide</t>
  </si>
  <si>
    <t>Grams of Insecticide</t>
  </si>
  <si>
    <t>Water for irrigation</t>
  </si>
  <si>
    <t>kg/dry ton</t>
  </si>
  <si>
    <t>GREET; Volk et al., 2017</t>
  </si>
  <si>
    <t>GREET states 0 gal water for irrigation and Volk yields are for non-irrigated poplar stands</t>
  </si>
  <si>
    <t>Poplar farming costs</t>
  </si>
  <si>
    <t>Farmbudgets.org, Poplar Reference by jrmerz</t>
  </si>
  <si>
    <t>Site prep, yr0</t>
  </si>
  <si>
    <t>Farmbudgets.org</t>
  </si>
  <si>
    <t>Planting, yr0</t>
  </si>
  <si>
    <t>Crop care, yr0</t>
  </si>
  <si>
    <t>Crop care, yr1</t>
  </si>
  <si>
    <t>Harvest, yr1</t>
  </si>
  <si>
    <t>Crop care post harvest; occurs 4 times over 9 years</t>
  </si>
  <si>
    <t>Crop care- established; occurs 8 times over 10 years</t>
  </si>
  <si>
    <t xml:space="preserve">Harvest- established; Occurs 4 times over 9 years; Noted error in data for Tandem Axle Truck labor. Assumed 1 hr labor </t>
  </si>
  <si>
    <t>Restoration</t>
  </si>
  <si>
    <t>Syncrude (kg/yr)</t>
  </si>
  <si>
    <t>TOTAL labor</t>
  </si>
  <si>
    <t>Poplar cutting</t>
  </si>
  <si>
    <t>Cuttings/acre</t>
  </si>
  <si>
    <t>California 99 acre farm planted 145000 cuttings. All other data is for this farm</t>
  </si>
  <si>
    <t>Cutting price</t>
  </si>
  <si>
    <t>$ each</t>
  </si>
  <si>
    <t>Machinery</t>
  </si>
  <si>
    <t>Machinery listed in farmbudgets.org and compared to purchase prices in Lazarus, 2019</t>
  </si>
  <si>
    <t>Challenger tractor</t>
  </si>
  <si>
    <t>Lazarus, 2019</t>
  </si>
  <si>
    <t xml:space="preserve">Matched fuel consumption per hour in farm budget to Lazarus </t>
  </si>
  <si>
    <t>Cooler/van</t>
  </si>
  <si>
    <t>Commericaltrucktrader.com; accessed 5/23/19</t>
  </si>
  <si>
    <t>Freightliner springter cargo van is $34,175-$46463; took average</t>
  </si>
  <si>
    <t>FR 6080 FH</t>
  </si>
  <si>
    <t>Price for 625 HP SP forage harvester base unit. FR machine seems to be a self propelled forage harvester from New Holland; HP appears to exceed 625</t>
  </si>
  <si>
    <t>Large Tractor</t>
  </si>
  <si>
    <t>Price for 310 HP 4WD tractor; fuel consumption matches that given in farmbudget</t>
  </si>
  <si>
    <t>Mid-size Tractor</t>
  </si>
  <si>
    <t>Price for 75 HP tractor; fuel consumption per hour is 3.3, and closest to 3.96 consumption given in farm budget</t>
  </si>
  <si>
    <t>Semi-Tractor Trailer</t>
  </si>
  <si>
    <t>Price for 2019 day cab truck is 134,417; Price for 2020 Stoughton Dry Van trailer (new) is 31,299</t>
  </si>
  <si>
    <t>Small Tractor</t>
  </si>
  <si>
    <t>Price for 60 HP tractor; Fuel consumption closest to that given in farm budget</t>
  </si>
  <si>
    <t>Support Truck</t>
  </si>
  <si>
    <t>Price range from $29k to $39k for a GMC 1500 (half ton?); Price given is average</t>
  </si>
  <si>
    <t>Tandem axle truck</t>
  </si>
  <si>
    <t>Saw listings for new trucks at $132k, $124k, $150k-- Chassis only with flatbed behind; Price is for average</t>
  </si>
  <si>
    <t>Tractor and sprayer</t>
  </si>
  <si>
    <t>Tractor accounted for (mid-size traactor) price is for sprayer only; price for pull-type sprayer, 90 ft</t>
  </si>
  <si>
    <t>TOTAl</t>
  </si>
  <si>
    <t>Carbon content of hybrid poplar feed</t>
  </si>
  <si>
    <t>wt%</t>
  </si>
  <si>
    <t>Phillips et al., 2007</t>
  </si>
  <si>
    <t>On dry basis</t>
  </si>
  <si>
    <t>Gasoline (MJ/yr) Corn stover etOH</t>
  </si>
  <si>
    <t>Diesel (MJ/yr) corn stover EtOH</t>
  </si>
  <si>
    <t>CO (kg/yr) corn stover EtOH</t>
  </si>
  <si>
    <t>Nox (kg/yr) corn stover EtOH</t>
  </si>
  <si>
    <t>RDF (refuse derived fuel)</t>
  </si>
  <si>
    <t>NOTE: Suresh uses a range of values from literature studies. Type of technology and processing method is not necessarily consistent</t>
  </si>
  <si>
    <t>dry ton to kg</t>
  </si>
  <si>
    <t>Energy Content [LHV] MSW</t>
  </si>
  <si>
    <t>MJ/kg processed msw</t>
  </si>
  <si>
    <t>Suresh, 2016</t>
  </si>
  <si>
    <t>Uniform; [19.99,21.79]</t>
  </si>
  <si>
    <t>Barrel</t>
  </si>
  <si>
    <t>liters/barrel</t>
  </si>
  <si>
    <t xml:space="preserve">MWh </t>
  </si>
  <si>
    <t>Carbon content MSW</t>
  </si>
  <si>
    <t>kg/kg processed MSW</t>
  </si>
  <si>
    <t>Uniform; [0.48,0.54]</t>
  </si>
  <si>
    <t>water density</t>
  </si>
  <si>
    <t>kg/m^3</t>
  </si>
  <si>
    <t>Non-biogenic proportion of carbon MSW</t>
  </si>
  <si>
    <t>kg/kg C</t>
  </si>
  <si>
    <t>Uniform; [0.37,0.48]</t>
  </si>
  <si>
    <t>m^3 to liter</t>
  </si>
  <si>
    <t>L/m3</t>
  </si>
  <si>
    <t>gasoline</t>
  </si>
  <si>
    <t>Sulfur content MSW</t>
  </si>
  <si>
    <t>g/kg processed MSW</t>
  </si>
  <si>
    <t>Uniform; [1.5, 3.4]</t>
  </si>
  <si>
    <t>Kerosene/jet fuel</t>
  </si>
  <si>
    <t>Ash/inorganic content MSW</t>
  </si>
  <si>
    <t>Uniform; [0.07,0.14]</t>
  </si>
  <si>
    <t>Vented CO2</t>
  </si>
  <si>
    <t>Utility for MSW pre processing</t>
  </si>
  <si>
    <t>MJ/kg msw</t>
  </si>
  <si>
    <t>Triangular distribution; [0.06,0.13,0.15]</t>
  </si>
  <si>
    <t>Natural gas</t>
  </si>
  <si>
    <t>Normal; [6,0.6]</t>
  </si>
  <si>
    <t>Petroleum coke</t>
  </si>
  <si>
    <t>Normal; [50,5]</t>
  </si>
  <si>
    <t>gallons</t>
  </si>
  <si>
    <t>Triangular distribution; [1.37,2.07,4.96]</t>
  </si>
  <si>
    <t>Tar reforming catalyst</t>
  </si>
  <si>
    <t>Triangular distribution; [0.005,0.006,0.045]</t>
  </si>
  <si>
    <t xml:space="preserve">Fuel yield </t>
  </si>
  <si>
    <t>% MJfuels/MJMSW</t>
  </si>
  <si>
    <t>Pert; [49.70,53.54,57.16]</t>
  </si>
  <si>
    <t>Kerosene LHV</t>
  </si>
  <si>
    <t>$/tonne</t>
  </si>
  <si>
    <t>Triangular; [234,254,332]</t>
  </si>
  <si>
    <t>Triangular; [12655,15112,20788]</t>
  </si>
  <si>
    <t>M$</t>
  </si>
  <si>
    <t>Pert; [473,598,887]</t>
  </si>
  <si>
    <t>Pressley et al., 2014</t>
  </si>
  <si>
    <t>MSW LHV</t>
  </si>
  <si>
    <t>15.7-43.6</t>
  </si>
  <si>
    <t>Biogenic carbon content</t>
  </si>
  <si>
    <t>% of total solids</t>
  </si>
  <si>
    <t>Fossil carbon content</t>
  </si>
  <si>
    <t>CO</t>
  </si>
  <si>
    <t>10^3 mol/Mg MSW</t>
  </si>
  <si>
    <t>Syngas yield-- atmospheric pressure 900C fluidized bed gasifier</t>
  </si>
  <si>
    <t>H2</t>
  </si>
  <si>
    <t>Syngas yield</t>
  </si>
  <si>
    <t>CH4</t>
  </si>
  <si>
    <t>Diesel yield</t>
  </si>
  <si>
    <t>kg produced/Mg MSW</t>
  </si>
  <si>
    <t>Kerosene yield</t>
  </si>
  <si>
    <t>kWh/Mg MSW</t>
  </si>
  <si>
    <t>Syncrude yield</t>
  </si>
  <si>
    <t>kg/Mg MSW</t>
  </si>
  <si>
    <t>Niziolek et al., 2015</t>
  </si>
  <si>
    <t>LHV processed MSW</t>
  </si>
  <si>
    <t>MMBTU/ton</t>
  </si>
  <si>
    <t>Niziolek et al, 2015</t>
  </si>
  <si>
    <t>From Jones et al., 2009</t>
  </si>
  <si>
    <t>Facility size (energy output)</t>
  </si>
  <si>
    <t>barrels per day gasoline eq.</t>
  </si>
  <si>
    <t>Based on LHV of gasoline-- Using D-10 scenario</t>
  </si>
  <si>
    <t>Total plant costs by section</t>
  </si>
  <si>
    <t>Syngas generation</t>
  </si>
  <si>
    <t>D-10 scenario</t>
  </si>
  <si>
    <t>Syngas cleaning</t>
  </si>
  <si>
    <t>Hydrocarbon production</t>
  </si>
  <si>
    <t>Hydrocarbon upgrading</t>
  </si>
  <si>
    <t>Hydrogen/oxygen production</t>
  </si>
  <si>
    <t>Heat and power integration</t>
  </si>
  <si>
    <t>Wastewater treatment</t>
  </si>
  <si>
    <t>Material balance</t>
  </si>
  <si>
    <t>RDF</t>
  </si>
  <si>
    <t>dry ton/h</t>
  </si>
  <si>
    <t>thousand barrels/day</t>
  </si>
  <si>
    <t>Kerosene</t>
  </si>
  <si>
    <t>tons/h</t>
  </si>
  <si>
    <t>Energy balance</t>
  </si>
  <si>
    <t>Butane</t>
  </si>
  <si>
    <t>Negative value indicates electricity is sold</t>
  </si>
  <si>
    <t>O&amp;M costs</t>
  </si>
  <si>
    <t>$/GJ</t>
  </si>
  <si>
    <t>days/ year</t>
  </si>
  <si>
    <t>Days in operation annually</t>
  </si>
  <si>
    <t>RDF moisture content</t>
  </si>
  <si>
    <t>MSW removed from RDF</t>
  </si>
  <si>
    <t>NREL report energy content of fuel produced</t>
  </si>
  <si>
    <t>Niziolek energy content of fuel</t>
  </si>
  <si>
    <t>Pre-treat w/ removing metal and glass</t>
  </si>
  <si>
    <t>Shredded, dried</t>
  </si>
  <si>
    <t>Gasified</t>
  </si>
  <si>
    <t>Yields syngas (H2, CO)</t>
  </si>
  <si>
    <t>Due to scale, FT not good</t>
  </si>
  <si>
    <t>Produce methanol (CH3OH) w catalyst and temp and pressure</t>
  </si>
  <si>
    <t>Process:</t>
  </si>
  <si>
    <t>Catalyst process yields HC in gas, diesel, kerosene range</t>
  </si>
  <si>
    <t>Could alter to make jet?</t>
  </si>
  <si>
    <t>Alternatively could do FT + Hydrotreating</t>
  </si>
  <si>
    <t>Forestry Seed (cuttings/yr)</t>
  </si>
  <si>
    <t>Beal 2018 = 48.6%</t>
  </si>
  <si>
    <t>CO2 content of feedstock poplar</t>
  </si>
  <si>
    <t>CO2 content of feedstock Euc</t>
  </si>
  <si>
    <t>Carbon Poplar</t>
  </si>
  <si>
    <t>Carbon Euc</t>
  </si>
  <si>
    <t>Beal 2018 ABECCS</t>
  </si>
  <si>
    <t>Eucalyptus Yield</t>
  </si>
  <si>
    <t>g/kg</t>
  </si>
  <si>
    <t>Seed/Cuttings</t>
  </si>
  <si>
    <t>Eucalyptus Labor</t>
  </si>
  <si>
    <t>$/acre for 14.7 years</t>
  </si>
  <si>
    <t>Eucalyptus Equipment</t>
  </si>
  <si>
    <t>Machinery Cost ($/yr)</t>
  </si>
  <si>
    <t>USDA CornCostReturn Excel File</t>
  </si>
  <si>
    <t>Machinery Cost ($)</t>
  </si>
  <si>
    <t>$/ac</t>
  </si>
  <si>
    <t>$/ac-yr</t>
  </si>
  <si>
    <t>Harvesting Cost</t>
  </si>
  <si>
    <t>Gonzalez 2011</t>
  </si>
  <si>
    <t>kg diesel/kg wood</t>
  </si>
  <si>
    <t>Scaled Costs</t>
  </si>
  <si>
    <t>GREET Data</t>
  </si>
  <si>
    <t>GREET Soy data</t>
  </si>
  <si>
    <t>Converted data</t>
  </si>
  <si>
    <t>Quantity</t>
  </si>
  <si>
    <t>Fertilizer use</t>
  </si>
  <si>
    <t>52.2 lb/bu</t>
  </si>
  <si>
    <t>g/bushel</t>
  </si>
  <si>
    <t>CaCO3</t>
  </si>
  <si>
    <t>Pesticide use</t>
  </si>
  <si>
    <t>herbicide</t>
  </si>
  <si>
    <t>insecticide</t>
  </si>
  <si>
    <t>Farming energy</t>
  </si>
  <si>
    <t>Diesel?</t>
  </si>
  <si>
    <t>M^3/yr</t>
  </si>
  <si>
    <t>bushel/acre</t>
  </si>
  <si>
    <t xml:space="preserve">gal </t>
  </si>
  <si>
    <t>kg/ac</t>
  </si>
  <si>
    <t>kg/ha</t>
  </si>
  <si>
    <t>g/kg soy</t>
  </si>
  <si>
    <t>Chen = ~273,000 MJ/yr</t>
  </si>
  <si>
    <t>This is probably an average of the 90/10 split</t>
  </si>
  <si>
    <t>Hydrothermal Liquefaction</t>
  </si>
  <si>
    <t>Zhu et al. 2014</t>
  </si>
  <si>
    <t>Biomass Input (t/d)</t>
  </si>
  <si>
    <t>NEED TO DO FT</t>
  </si>
  <si>
    <t>Bann, Staples, Fulcrum, Nizolek</t>
  </si>
  <si>
    <t>See Swanson</t>
  </si>
  <si>
    <t>dry US ton/yr</t>
  </si>
  <si>
    <t>Air (kg/yr)</t>
  </si>
  <si>
    <t>Swanson, 2010</t>
  </si>
  <si>
    <t>Biomass dry throughput (t/yr)</t>
  </si>
  <si>
    <t>Capacity Factor (d/yr)</t>
  </si>
  <si>
    <t>Scaling Factor to 100-ha Facility</t>
  </si>
  <si>
    <t>Preprocessing</t>
  </si>
  <si>
    <t>Steam recycled</t>
  </si>
  <si>
    <t>Condensate H2O produced (t/yr)</t>
  </si>
  <si>
    <t>Air Separation Unit</t>
  </si>
  <si>
    <t>Air input (t/yr)</t>
  </si>
  <si>
    <t>Oxygen produced for gasifier (t/yr)</t>
  </si>
  <si>
    <t>Oxygen from ASU (t/yr)</t>
  </si>
  <si>
    <t>Nitrogen produced (t/yr)</t>
  </si>
  <si>
    <t>Slag produced (t/yr)</t>
  </si>
  <si>
    <t>Syngas produced (t/yr)</t>
  </si>
  <si>
    <t>Gas Cleaning</t>
  </si>
  <si>
    <t>Electricity onsite (MW)</t>
  </si>
  <si>
    <t>Steam (t/yr)</t>
  </si>
  <si>
    <t>Process Water (t/yr)</t>
  </si>
  <si>
    <t>Wastewater produced (t/yr)</t>
  </si>
  <si>
    <t>Clean Syngas (t/yr)</t>
  </si>
  <si>
    <t>Fischer-Tropsch</t>
  </si>
  <si>
    <t>Hydrogen yield (t/yr)</t>
  </si>
  <si>
    <t>Unreacted syngas to power gen (t/yr)</t>
  </si>
  <si>
    <t>Power Generation</t>
  </si>
  <si>
    <t>Unreaacred syngas from FT onsite</t>
  </si>
  <si>
    <t>Exported Electricity (MW)</t>
  </si>
  <si>
    <t>Exported Electricity (MJ/d)</t>
  </si>
  <si>
    <t>Exported Electricity (MJ/yr)</t>
  </si>
  <si>
    <t>Hydroprocessing</t>
  </si>
  <si>
    <t>Process water produced (t/yr)</t>
  </si>
  <si>
    <t>Liquid fuels (t/yr)</t>
  </si>
  <si>
    <t>Liquid fuels (kg/yr)</t>
  </si>
  <si>
    <t>Propane sent to Power Gen (kg/yr)</t>
  </si>
  <si>
    <t>Estimate</t>
  </si>
  <si>
    <t>Scaled to Swanson</t>
  </si>
  <si>
    <t>Slag (kg/yr)</t>
  </si>
  <si>
    <t>Nitrogen Gas (kg/yr)</t>
  </si>
  <si>
    <t>Wastewater (kg/yr)</t>
  </si>
  <si>
    <t>Electricity Generated (MJ/yr)</t>
  </si>
  <si>
    <t>Carbon Balance</t>
  </si>
  <si>
    <t>Carbon Input in Biomass (t/yr)</t>
  </si>
  <si>
    <t>Carbon out in Slag (t/yr)</t>
  </si>
  <si>
    <t>Carbon out in boiler flue gas (t/yr)</t>
  </si>
  <si>
    <t>Carbon out in power gen flue (t/yr)</t>
  </si>
  <si>
    <t>Carbon out in liquid fuels (t/yr)</t>
  </si>
  <si>
    <t>Total out</t>
  </si>
  <si>
    <t>Electricity produced (MJ/d)</t>
  </si>
  <si>
    <t>HHV methane (MJ/kg)</t>
  </si>
  <si>
    <t>Energy input assuming 35% yield (MJ/d)</t>
  </si>
  <si>
    <t>Amount of methane for this elec. (kg/d)</t>
  </si>
  <si>
    <t>Carbon in this methane (kg/d)</t>
  </si>
  <si>
    <t>Carbon in this methane (t/yr)</t>
  </si>
  <si>
    <t>Syncrude (alkanes/wax) for Hydroproc. (t/yr)</t>
  </si>
  <si>
    <t>Total CO2 yield (t/yr)</t>
  </si>
  <si>
    <t>Other carbon out assumed in CO2 (t/yr)</t>
  </si>
  <si>
    <t>Produced onsite</t>
  </si>
  <si>
    <t>Hydrogen Produced (kg/yr)</t>
  </si>
  <si>
    <t>Produced in conversion</t>
  </si>
  <si>
    <t>Electricit Generated (MW)</t>
  </si>
  <si>
    <t>Electricit Generated (MJ/yr)</t>
  </si>
  <si>
    <t>Electricit sent to onsite conversion steps (MW)</t>
  </si>
  <si>
    <t>Electricit sent to onsite conversion steps (MJ/yr)</t>
  </si>
  <si>
    <t>Electricit sent to hydrotreating (MW)</t>
  </si>
  <si>
    <t>Electricit sent to hydrotreating (MJ/yr)</t>
  </si>
  <si>
    <t>Electricity from Conversion (MW)</t>
  </si>
  <si>
    <t>Propane from Hydrotreating onsite (kg/yr)</t>
  </si>
  <si>
    <t>Produced in upgrading</t>
  </si>
  <si>
    <t>EtOH Catalysts (kg/yr)</t>
  </si>
  <si>
    <t>FT Catalysts (kg/yr)</t>
  </si>
  <si>
    <t>AFIT Study Inputs and Outputs</t>
  </si>
  <si>
    <t>GHG Impact (g CO2e/X)</t>
  </si>
  <si>
    <t>WOG (kg/yr)</t>
  </si>
  <si>
    <t>MSW Co-Products (kg/yr)</t>
  </si>
  <si>
    <t>Soybeans</t>
  </si>
  <si>
    <t>Corn Grain ($/t)</t>
  </si>
  <si>
    <t>Tao</t>
  </si>
  <si>
    <t>Corn Stover ($/t)</t>
  </si>
  <si>
    <t>Swanson, Tao</t>
  </si>
  <si>
    <t>Dedicated Forestry ($/t)</t>
  </si>
  <si>
    <t>Jones</t>
  </si>
  <si>
    <t>Ag Lime (CaCO3) (kg/yr)</t>
  </si>
  <si>
    <t>Grass</t>
  </si>
  <si>
    <t>WOG</t>
  </si>
  <si>
    <t>Vadas 2008</t>
  </si>
  <si>
    <t>Nelson, 2006</t>
  </si>
  <si>
    <t>25" rain US plains</t>
  </si>
  <si>
    <t>Rain</t>
  </si>
  <si>
    <t>mm/yr</t>
  </si>
  <si>
    <t>Stephenville</t>
  </si>
  <si>
    <t>N in Fertilizer</t>
  </si>
  <si>
    <t>Sanderson, 1999</t>
  </si>
  <si>
    <t>Manhattan</t>
  </si>
  <si>
    <t>P in Fert</t>
  </si>
  <si>
    <t>K in Fert</t>
  </si>
  <si>
    <t>Monti</t>
  </si>
  <si>
    <t>t/ha-yr</t>
  </si>
  <si>
    <t>Lime</t>
  </si>
  <si>
    <t>Same as corn</t>
  </si>
  <si>
    <t>5 lbs/ac every 5 yrs</t>
  </si>
  <si>
    <t>Grass Seed (kg/yr)</t>
  </si>
  <si>
    <t>Forestry Residue</t>
  </si>
  <si>
    <t>1,000 tonnes per year</t>
  </si>
  <si>
    <t>mpg</t>
  </si>
  <si>
    <t>miles</t>
  </si>
  <si>
    <t>kg/truck</t>
  </si>
  <si>
    <t>gal/trip</t>
  </si>
  <si>
    <t>kg diesel/kg residue</t>
  </si>
  <si>
    <t>50 tonnes per year</t>
  </si>
  <si>
    <t>kg diesel/kg WOG</t>
  </si>
  <si>
    <t>2,000 tonnes/yr</t>
  </si>
  <si>
    <t>Forestry Residue (kg/yr)</t>
  </si>
  <si>
    <t>Gasoline yield (kg/yr)</t>
  </si>
  <si>
    <t>Naphtha Catalytic Reforming (Trippe, Khor)</t>
  </si>
  <si>
    <t>Naptha to gasoline</t>
  </si>
  <si>
    <t>Transport</t>
  </si>
  <si>
    <t>Chipping</t>
  </si>
  <si>
    <t>kg diesel/t</t>
  </si>
  <si>
    <t>2 salaries</t>
  </si>
  <si>
    <t>Rain Water (Blue Water) (m3/yr)</t>
  </si>
  <si>
    <t>Ecoinvent 3.5, CED, IPCC2013, Recipe midpoint H</t>
  </si>
  <si>
    <t>Energy required for RDF production</t>
  </si>
  <si>
    <t>0.031-0.046</t>
  </si>
  <si>
    <t>Million BTU/short ton MSW</t>
  </si>
  <si>
    <t>Valkenburg et al., 2008</t>
  </si>
  <si>
    <t>J/ton</t>
  </si>
  <si>
    <t>J/tonne</t>
  </si>
  <si>
    <t>MJ/t MSW</t>
  </si>
  <si>
    <t>Fixed (labor) costs MSW to etOH</t>
  </si>
  <si>
    <t>Jones et al., 2009</t>
  </si>
  <si>
    <t>includes labor for entire plant. Text notes that etOH plant is mostly automated and the majority of labor costs are for RDF facility; for 2000 metric tons/day RDF (2400 metric tons/day MSW) or 702 million dry kg RDF/yr (877 million dry kg/yr MSW)</t>
  </si>
  <si>
    <t>RDF production (capital costs)</t>
  </si>
  <si>
    <t>price for sorting facility</t>
  </si>
  <si>
    <t>Refuse Derived Fuel, dry (kg/yr)</t>
  </si>
  <si>
    <t>Refuse Derived Fuel, Dry (kg/yr)</t>
  </si>
  <si>
    <t>$/kg WOG</t>
  </si>
  <si>
    <t>$/t WOG</t>
  </si>
  <si>
    <t>Ecoinvent 3.5, CED, IPCC2013, Recipe midpoint H, Production of liquid CO2</t>
  </si>
  <si>
    <t>Ecoinvent 3.5, CED, IPCC2013, Recipe midpoint H, UAN</t>
  </si>
  <si>
    <t>gal/gal etOH</t>
  </si>
  <si>
    <t>Does not include cooling water</t>
  </si>
  <si>
    <t>Ecoinvent 3.5, CED, IPCC2013, Recipe midpoint H, SSP</t>
  </si>
  <si>
    <t>Ecoinvent 3.5, CED, IPCC2013, Recipe midpoint H, nutrient supply from potassium nitrate</t>
  </si>
  <si>
    <t>Ecoinvent 3.5, CED, IPCC2013, Recipe midpoint H, calcium carbonate, Price USDA spread lime</t>
  </si>
  <si>
    <t>Ecoinvent 3.5, CED, IPCC2013, Recipe midpoint H, chemical production, inorganic, Price remedy ultra</t>
  </si>
  <si>
    <t>Ecoinvent 3.5, CED, IPCC2013, Recipe midpoint H, chemical production, inorganic, Price $100/gal</t>
  </si>
  <si>
    <t>Ecoinvent 3.5, CED, IPCC2013, Recipe midpoint H, soybean seed</t>
  </si>
  <si>
    <t>Ecoinvent 3.5, CED, IPCC2013, Recipe midpoint H, maize seed</t>
  </si>
  <si>
    <t>Ecoinvent 3.5, CED, IPCC2013, Recipe midpoint H, willow stem cutting</t>
  </si>
  <si>
    <t>Ecoinvent 3.5, CED, IPCC2013, Recipe midpoint H, grass seed production Swiss, Price local grass supplier</t>
  </si>
  <si>
    <t>Ecoinvent 3.5, CED, IPCC2013, Recipe midpoint H, LDPE</t>
  </si>
  <si>
    <t>Ecoinvent 3.5, CED, IPCC2013, Recipe midpoint H, diesel burned in ag machinery</t>
  </si>
  <si>
    <t>Diesel on Farm (kg/yr)</t>
  </si>
  <si>
    <t>Gasoline on Farm (kg/yr)</t>
  </si>
  <si>
    <t>Ecoinvent 3.5, CED, IPCC2013, Recipe midpoint H,cyclohexane</t>
  </si>
  <si>
    <t>Ecoinvent 3.5, CED, IPCC2013, Recipe midpoint H, enzymes, Price NREL 2000</t>
  </si>
  <si>
    <t>Ecoinvent 3.5, CED, IPCC2013, Recipe midpoint H, sulfuric acid, Price Tao</t>
  </si>
  <si>
    <t>Generic chemical, Price NREL 2000</t>
  </si>
  <si>
    <t>Ecoinvent 3.5, CED, IPCC2013, Recipe midpoint H, market for steam, Price NREL 2011</t>
  </si>
  <si>
    <t>Ecoinvent 3.5, CED, IPCC2013, Recipe midpoint H, ammonia, Price NREL 2011</t>
  </si>
  <si>
    <t>Ecoinvent 3.5, CED, IPCC2013, Recipe midpoint H, glucose</t>
  </si>
  <si>
    <t>Ecoinvent 3.5, CED, IPCC2013, Recipe midpoint H, sodium hydroxide</t>
  </si>
  <si>
    <t>Ecoinvent 3.5, CED, IPCC2013, Recipe midpoint H, cobalt</t>
  </si>
  <si>
    <t>Price from various, Tao 2017</t>
  </si>
  <si>
    <t>Ecoinvent 3.5, CED, IPCC2013, Recipe midpoint H, liquid hydrogen</t>
  </si>
  <si>
    <t>Ecoinvent 3.5, CED, IPCC2013, Recipe midpoint H, market group for electricity, high voltage, US</t>
  </si>
  <si>
    <t>Ecoinvent 3.5, CED, IPCC2013, Recipe midpoint H, heat production natural gas</t>
  </si>
  <si>
    <t>Catalyst Consumption per 3 year period:</t>
  </si>
  <si>
    <t>WGS HT catalyst: 14,375 lb</t>
  </si>
  <si>
    <t>FT Co catalyst HT: 512,467 lb</t>
  </si>
  <si>
    <t>WGS LT catalyst: 13,125 lb</t>
  </si>
  <si>
    <t>FT Co catalyst LT: 408,533 lb</t>
  </si>
  <si>
    <t>Steam reforming catalyst LT: 6,867 lb</t>
  </si>
  <si>
    <t>Our Model Result ($/t)</t>
  </si>
  <si>
    <t>Soybean Oil</t>
  </si>
  <si>
    <t>commodity markets</t>
  </si>
  <si>
    <t>USDA excel</t>
  </si>
  <si>
    <t>Market Price ($/t)</t>
  </si>
  <si>
    <t>Soybean Land ($/ac)</t>
  </si>
  <si>
    <t>With extra for stover harvest</t>
  </si>
  <si>
    <t>MJ/t</t>
  </si>
  <si>
    <t>BTU/t</t>
  </si>
  <si>
    <t>Collection</t>
  </si>
  <si>
    <t>transport, chipping, collection</t>
  </si>
  <si>
    <t>Commercial PV Solar Power (MJ/yr)</t>
  </si>
  <si>
    <t>Ecoinvent 3.6, CED, IPCC2013, Recipe midpoint H, electricity production, photovoltaic, 570kWp open ground installation, multi-Si, RoW</t>
  </si>
  <si>
    <t>(L122 Also)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</si>
</sst>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&quot;$&quot;#,##0"/>
    <numFmt numFmtId="168" formatCode="0.0000"/>
    <numFmt numFmtId="169" formatCode="0.000"/>
    <numFmt numFmtId="171" formatCode="_(&quot;$&quot;* #,##0_);_(&quot;$&quot;* \(#,##0\);_(&quot;$&quot;* &quot;-&quot;??_);_(@_)"/>
    <numFmt numFmtId="172" formatCode="0.0"/>
    <numFmt numFmtId="174" formatCode="0.E+00"/>
    <numFmt numFmtId="175" formatCode="0.0000000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Helv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3F3F3F"/>
      <name val="Calibri"/>
      <family val="2"/>
      <scheme val="minor"/>
    </font>
    <font>
      <sz val="11"/>
      <color rgb="FF222222"/>
      <name val="Calibri"/>
      <family val="2"/>
    </font>
    <font>
      <sz val="10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3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8" fontId="11" fillId="0" borderId="0" applyFont="0" applyFill="0" applyBorder="0" applyAlignment="0" applyProtection="0"/>
    <xf numFmtId="0" fontId="11" fillId="0" borderId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6" borderId="0" applyNumberFormat="0" applyBorder="0" applyAlignment="0" applyProtection="0"/>
    <xf numFmtId="0" fontId="14" fillId="7" borderId="1" applyNumberFormat="0" applyAlignment="0" applyProtection="0"/>
    <xf numFmtId="0" fontId="2" fillId="8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8" borderId="0" applyNumberFormat="0" applyBorder="0" applyAlignment="0" applyProtection="0"/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3" fillId="6" borderId="0" applyNumberFormat="0" applyBorder="0" applyAlignment="0" applyProtection="0"/>
    <xf numFmtId="0" fontId="14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3">
    <xf numFmtId="0" fontId="0" fillId="0" borderId="0" xfId="0"/>
    <xf numFmtId="0" fontId="0" fillId="0" borderId="0" xfId="0" applyFill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/>
    <xf numFmtId="2" fontId="0" fillId="0" borderId="0" xfId="0" applyNumberFormat="1" applyAlignment="1">
      <alignment horizontal="center"/>
    </xf>
    <xf numFmtId="0" fontId="8" fillId="0" borderId="0" xfId="0" applyFont="1"/>
    <xf numFmtId="0" fontId="9" fillId="0" borderId="0" xfId="0" applyFont="1"/>
    <xf numFmtId="9" fontId="9" fillId="0" borderId="0" xfId="111" applyNumberFormat="1" applyFont="1"/>
    <xf numFmtId="169" fontId="9" fillId="0" borderId="0" xfId="0" applyNumberFormat="1" applyFont="1"/>
    <xf numFmtId="0" fontId="9" fillId="0" borderId="0" xfId="0" applyFont="1" applyFill="1"/>
    <xf numFmtId="0" fontId="15" fillId="0" borderId="0" xfId="0" applyFont="1"/>
    <xf numFmtId="1" fontId="0" fillId="0" borderId="0" xfId="0" applyNumberFormat="1"/>
    <xf numFmtId="171" fontId="13" fillId="6" borderId="0" xfId="112" applyNumberFormat="1"/>
    <xf numFmtId="171" fontId="0" fillId="0" borderId="0" xfId="110" applyNumberFormat="1" applyFont="1"/>
    <xf numFmtId="1" fontId="0" fillId="0" borderId="0" xfId="0" applyNumberFormat="1" applyAlignment="1">
      <alignment wrapText="1"/>
    </xf>
    <xf numFmtId="171" fontId="13" fillId="6" borderId="0" xfId="112" applyNumberFormat="1" applyAlignment="1">
      <alignment horizontal="center"/>
    </xf>
    <xf numFmtId="1" fontId="0" fillId="0" borderId="0" xfId="0" applyNumberFormat="1" applyFill="1" applyAlignment="1">
      <alignment wrapText="1"/>
    </xf>
    <xf numFmtId="171" fontId="13" fillId="0" borderId="0" xfId="112" applyNumberFormat="1" applyFill="1" applyAlignment="1">
      <alignment horizontal="center"/>
    </xf>
    <xf numFmtId="171" fontId="0" fillId="0" borderId="0" xfId="0" applyNumberFormat="1"/>
    <xf numFmtId="171" fontId="0" fillId="0" borderId="0" xfId="110" applyNumberFormat="1" applyFont="1" applyAlignment="1">
      <alignment horizontal="center"/>
    </xf>
    <xf numFmtId="0" fontId="8" fillId="0" borderId="0" xfId="0" applyFont="1" applyFill="1"/>
    <xf numFmtId="164" fontId="0" fillId="0" borderId="0" xfId="0" applyNumberFormat="1"/>
    <xf numFmtId="44" fontId="0" fillId="0" borderId="0" xfId="0" applyNumberFormat="1"/>
    <xf numFmtId="44" fontId="13" fillId="0" borderId="0" xfId="112" applyNumberFormat="1" applyFill="1" applyAlignment="1">
      <alignment horizontal="center"/>
    </xf>
    <xf numFmtId="171" fontId="9" fillId="0" borderId="0" xfId="112" applyNumberFormat="1" applyFont="1" applyFill="1" applyAlignment="1">
      <alignment horizontal="center"/>
    </xf>
    <xf numFmtId="164" fontId="13" fillId="0" borderId="0" xfId="112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1" fontId="0" fillId="0" borderId="0" xfId="0" applyNumberFormat="1" applyFill="1"/>
    <xf numFmtId="171" fontId="0" fillId="0" borderId="0" xfId="0" applyNumberFormat="1" applyFill="1"/>
    <xf numFmtId="0" fontId="16" fillId="0" borderId="0" xfId="0" applyFont="1"/>
    <xf numFmtId="44" fontId="0" fillId="0" borderId="0" xfId="110" applyNumberFormat="1" applyFont="1"/>
    <xf numFmtId="11" fontId="0" fillId="0" borderId="0" xfId="0" applyNumberFormat="1"/>
    <xf numFmtId="171" fontId="0" fillId="5" borderId="0" xfId="0" applyNumberFormat="1" applyFill="1"/>
    <xf numFmtId="2" fontId="0" fillId="4" borderId="0" xfId="0" quotePrefix="1" applyNumberFormat="1" applyFill="1"/>
    <xf numFmtId="0" fontId="0" fillId="0" borderId="0" xfId="0" quotePrefix="1"/>
    <xf numFmtId="2" fontId="0" fillId="0" borderId="0" xfId="0" quotePrefix="1" applyNumberFormat="1"/>
    <xf numFmtId="3" fontId="0" fillId="0" borderId="0" xfId="109" applyNumberFormat="1" applyFont="1" applyAlignment="1"/>
    <xf numFmtId="0" fontId="0" fillId="0" borderId="0" xfId="0" applyFill="1" applyBorder="1"/>
    <xf numFmtId="3" fontId="0" fillId="0" borderId="0" xfId="110" applyNumberFormat="1" applyFont="1"/>
    <xf numFmtId="0" fontId="8" fillId="0" borderId="0" xfId="0" applyFont="1" applyFill="1" applyBorder="1"/>
    <xf numFmtId="167" fontId="0" fillId="0" borderId="0" xfId="0" applyNumberFormat="1"/>
    <xf numFmtId="44" fontId="0" fillId="0" borderId="0" xfId="0" applyNumberFormat="1" applyFill="1" applyBorder="1"/>
    <xf numFmtId="0" fontId="0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44" fontId="14" fillId="0" borderId="0" xfId="113" applyNumberFormat="1" applyFill="1" applyBorder="1"/>
    <xf numFmtId="2" fontId="0" fillId="0" borderId="0" xfId="0" applyNumberFormat="1"/>
    <xf numFmtId="0" fontId="0" fillId="4" borderId="0" xfId="0" applyFill="1"/>
    <xf numFmtId="166" fontId="0" fillId="0" borderId="0" xfId="0" applyNumberFormat="1"/>
    <xf numFmtId="44" fontId="2" fillId="0" borderId="0" xfId="114" applyNumberFormat="1" applyFill="1" applyBorder="1"/>
    <xf numFmtId="44" fontId="0" fillId="0" borderId="0" xfId="114" applyNumberFormat="1" applyFont="1" applyFill="1" applyBorder="1"/>
    <xf numFmtId="167" fontId="0" fillId="0" borderId="0" xfId="0" applyNumberFormat="1" applyFill="1" applyBorder="1"/>
    <xf numFmtId="11" fontId="8" fillId="0" borderId="0" xfId="0" applyNumberFormat="1" applyFont="1" applyFill="1" applyBorder="1"/>
    <xf numFmtId="0" fontId="0" fillId="0" borderId="0" xfId="0" applyFill="1" applyBorder="1" applyAlignment="1">
      <alignment horizontal="left"/>
    </xf>
    <xf numFmtId="4" fontId="0" fillId="0" borderId="0" xfId="0" applyNumberFormat="1" applyFill="1" applyBorder="1"/>
    <xf numFmtId="0" fontId="18" fillId="9" borderId="0" xfId="0" applyFont="1" applyFill="1" applyBorder="1"/>
    <xf numFmtId="0" fontId="0" fillId="9" borderId="0" xfId="0" applyFill="1"/>
    <xf numFmtId="0" fontId="5" fillId="9" borderId="0" xfId="0" applyFont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8" fillId="9" borderId="2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/>
    </xf>
    <xf numFmtId="0" fontId="0" fillId="9" borderId="2" xfId="0" applyNumberFormat="1" applyFill="1" applyBorder="1"/>
    <xf numFmtId="0" fontId="0" fillId="9" borderId="6" xfId="0" applyNumberFormat="1" applyFill="1" applyBorder="1"/>
    <xf numFmtId="0" fontId="0" fillId="9" borderId="7" xfId="0" applyNumberFormat="1" applyFill="1" applyBorder="1"/>
    <xf numFmtId="0" fontId="8" fillId="10" borderId="5" xfId="0" applyFont="1" applyFill="1" applyBorder="1" applyAlignment="1">
      <alignment horizontal="left" indent="1"/>
    </xf>
    <xf numFmtId="0" fontId="8" fillId="10" borderId="5" xfId="0" applyNumberFormat="1" applyFont="1" applyFill="1" applyBorder="1"/>
    <xf numFmtId="0" fontId="8" fillId="10" borderId="9" xfId="0" applyNumberFormat="1" applyFont="1" applyFill="1" applyBorder="1"/>
    <xf numFmtId="0" fontId="8" fillId="10" borderId="10" xfId="0" applyNumberFormat="1" applyFont="1" applyFill="1" applyBorder="1"/>
    <xf numFmtId="0" fontId="0" fillId="9" borderId="5" xfId="0" applyFill="1" applyBorder="1" applyAlignment="1">
      <alignment horizontal="left" indent="2"/>
    </xf>
    <xf numFmtId="0" fontId="0" fillId="9" borderId="5" xfId="0" applyNumberFormat="1" applyFill="1" applyBorder="1"/>
    <xf numFmtId="0" fontId="0" fillId="9" borderId="9" xfId="0" applyNumberFormat="1" applyFill="1" applyBorder="1"/>
    <xf numFmtId="0" fontId="0" fillId="9" borderId="10" xfId="0" applyNumberFormat="1" applyFill="1" applyBorder="1"/>
    <xf numFmtId="0" fontId="0" fillId="9" borderId="5" xfId="0" applyFill="1" applyBorder="1" applyAlignment="1">
      <alignment horizontal="left" indent="3"/>
    </xf>
    <xf numFmtId="4" fontId="0" fillId="9" borderId="11" xfId="0" applyNumberFormat="1" applyFill="1" applyBorder="1"/>
    <xf numFmtId="0" fontId="0" fillId="9" borderId="5" xfId="0" applyFill="1" applyBorder="1" applyAlignment="1">
      <alignment horizontal="left"/>
    </xf>
    <xf numFmtId="3" fontId="0" fillId="9" borderId="11" xfId="0" applyNumberFormat="1" applyFill="1" applyBorder="1"/>
    <xf numFmtId="0" fontId="0" fillId="9" borderId="11" xfId="0" applyNumberFormat="1" applyFill="1" applyBorder="1"/>
    <xf numFmtId="3" fontId="0" fillId="9" borderId="8" xfId="0" applyNumberFormat="1" applyFill="1" applyBorder="1"/>
    <xf numFmtId="0" fontId="0" fillId="9" borderId="12" xfId="0" applyFill="1" applyBorder="1" applyAlignment="1">
      <alignment horizontal="left" indent="3"/>
    </xf>
    <xf numFmtId="0" fontId="0" fillId="9" borderId="0" xfId="0" applyFill="1" applyBorder="1" applyAlignment="1">
      <alignment horizontal="left" indent="3"/>
    </xf>
    <xf numFmtId="3" fontId="0" fillId="9" borderId="0" xfId="0" applyNumberFormat="1" applyFill="1" applyBorder="1"/>
    <xf numFmtId="0" fontId="8" fillId="9" borderId="0" xfId="0" applyFont="1" applyFill="1"/>
    <xf numFmtId="0" fontId="0" fillId="9" borderId="0" xfId="0" applyFill="1" applyBorder="1"/>
    <xf numFmtId="0" fontId="0" fillId="9" borderId="0" xfId="0" applyFont="1" applyFill="1" applyBorder="1"/>
    <xf numFmtId="0" fontId="3" fillId="9" borderId="0" xfId="414" applyFill="1" applyBorder="1"/>
    <xf numFmtId="0" fontId="3" fillId="9" borderId="0" xfId="414" applyFill="1"/>
    <xf numFmtId="0" fontId="0" fillId="9" borderId="2" xfId="0" pivotButton="1" applyFill="1" applyBorder="1" applyAlignment="1">
      <alignment horizontal="center"/>
    </xf>
    <xf numFmtId="0" fontId="0" fillId="9" borderId="3" xfId="0" pivotButton="1" applyFill="1" applyBorder="1" applyAlignment="1">
      <alignment horizontal="center"/>
    </xf>
    <xf numFmtId="0" fontId="0" fillId="9" borderId="0" xfId="0" pivotButton="1" applyFont="1" applyFill="1" applyBorder="1" applyAlignment="1">
      <alignment vertical="center"/>
    </xf>
    <xf numFmtId="164" fontId="13" fillId="6" borderId="0" xfId="112" applyNumberFormat="1" applyAlignment="1">
      <alignment horizontal="center"/>
    </xf>
    <xf numFmtId="1" fontId="0" fillId="2" borderId="0" xfId="0" applyNumberFormat="1" applyFill="1"/>
    <xf numFmtId="0" fontId="0" fillId="2" borderId="0" xfId="0" applyFill="1"/>
    <xf numFmtId="171" fontId="0" fillId="2" borderId="0" xfId="110" applyNumberFormat="1" applyFont="1" applyFill="1"/>
    <xf numFmtId="0" fontId="8" fillId="2" borderId="0" xfId="0" applyFont="1" applyFill="1" applyBorder="1"/>
    <xf numFmtId="0" fontId="0" fillId="2" borderId="0" xfId="0" applyFill="1" applyBorder="1"/>
    <xf numFmtId="11" fontId="0" fillId="2" borderId="0" xfId="0" applyNumberFormat="1" applyFill="1"/>
    <xf numFmtId="1" fontId="0" fillId="3" borderId="0" xfId="0" applyNumberFormat="1" applyFill="1"/>
    <xf numFmtId="0" fontId="0" fillId="3" borderId="0" xfId="0" applyFill="1"/>
    <xf numFmtId="171" fontId="0" fillId="3" borderId="0" xfId="110" applyNumberFormat="1" applyFont="1" applyFill="1"/>
    <xf numFmtId="11" fontId="0" fillId="3" borderId="0" xfId="0" applyNumberFormat="1" applyFill="1"/>
    <xf numFmtId="172" fontId="0" fillId="0" borderId="0" xfId="0" applyNumberFormat="1"/>
    <xf numFmtId="0" fontId="0" fillId="0" borderId="13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0" borderId="13" xfId="0" applyNumberFormat="1" applyFont="1" applyBorder="1" applyAlignment="1"/>
    <xf numFmtId="0" fontId="0" fillId="0" borderId="14" xfId="0" applyNumberFormat="1" applyFont="1" applyFill="1" applyBorder="1" applyAlignment="1"/>
    <xf numFmtId="0" fontId="0" fillId="0" borderId="14" xfId="0" applyNumberFormat="1" applyFont="1" applyBorder="1" applyAlignment="1"/>
    <xf numFmtId="0" fontId="0" fillId="0" borderId="13" xfId="0" applyNumberFormat="1" applyFont="1" applyFill="1" applyBorder="1" applyAlignment="1">
      <alignment horizontal="left"/>
    </xf>
    <xf numFmtId="0" fontId="0" fillId="0" borderId="13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/>
    <xf numFmtId="0" fontId="19" fillId="0" borderId="0" xfId="0" applyFont="1" applyFill="1"/>
    <xf numFmtId="1" fontId="19" fillId="0" borderId="0" xfId="0" applyNumberFormat="1" applyFont="1" applyFill="1"/>
    <xf numFmtId="6" fontId="0" fillId="0" borderId="0" xfId="0" applyNumberFormat="1"/>
    <xf numFmtId="40" fontId="0" fillId="0" borderId="0" xfId="0" applyNumberFormat="1"/>
    <xf numFmtId="3" fontId="0" fillId="0" borderId="0" xfId="0" applyNumberFormat="1"/>
    <xf numFmtId="0" fontId="0" fillId="12" borderId="0" xfId="0" applyFill="1"/>
    <xf numFmtId="1" fontId="0" fillId="12" borderId="0" xfId="0" applyNumberFormat="1" applyFill="1"/>
    <xf numFmtId="0" fontId="0" fillId="12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2" borderId="13" xfId="0" applyNumberFormat="1" applyFont="1" applyFill="1" applyBorder="1" applyAlignment="1">
      <alignment horizontal="right"/>
    </xf>
    <xf numFmtId="0" fontId="0" fillId="2" borderId="13" xfId="0" applyNumberFormat="1" applyFont="1" applyFill="1" applyBorder="1" applyAlignment="1">
      <alignment horizontal="left"/>
    </xf>
    <xf numFmtId="38" fontId="0" fillId="12" borderId="0" xfId="0" applyNumberFormat="1" applyFill="1"/>
    <xf numFmtId="0" fontId="0" fillId="4" borderId="0" xfId="0" applyNumberFormat="1" applyFont="1" applyFill="1" applyBorder="1" applyAlignment="1">
      <alignment horizontal="left"/>
    </xf>
    <xf numFmtId="168" fontId="0" fillId="0" borderId="0" xfId="0" applyNumberFormat="1" applyFont="1" applyFill="1" applyBorder="1" applyAlignment="1"/>
    <xf numFmtId="0" fontId="0" fillId="12" borderId="0" xfId="0" applyNumberFormat="1" applyFont="1" applyFill="1" applyBorder="1" applyAlignment="1">
      <alignment horizontal="right"/>
    </xf>
    <xf numFmtId="169" fontId="0" fillId="0" borderId="0" xfId="0" applyNumberFormat="1" applyFont="1" applyBorder="1" applyAlignment="1"/>
    <xf numFmtId="0" fontId="8" fillId="0" borderId="0" xfId="0" applyNumberFormat="1" applyFont="1" applyFill="1" applyBorder="1" applyAlignment="1">
      <alignment horizontal="right"/>
    </xf>
    <xf numFmtId="11" fontId="0" fillId="0" borderId="0" xfId="0" applyNumberFormat="1" applyFont="1" applyBorder="1" applyAlignment="1"/>
    <xf numFmtId="1" fontId="0" fillId="0" borderId="0" xfId="0" applyNumberFormat="1" applyFill="1"/>
    <xf numFmtId="0" fontId="0" fillId="0" borderId="0" xfId="0" applyNumberFormat="1" applyFont="1" applyFill="1" applyBorder="1" applyAlignment="1">
      <alignment horizontal="center"/>
    </xf>
    <xf numFmtId="11" fontId="0" fillId="12" borderId="0" xfId="0" applyNumberFormat="1" applyFill="1"/>
    <xf numFmtId="0" fontId="0" fillId="0" borderId="0" xfId="0" applyFont="1"/>
    <xf numFmtId="174" fontId="0" fillId="0" borderId="0" xfId="0" applyNumberFormat="1"/>
    <xf numFmtId="0" fontId="17" fillId="0" borderId="0" xfId="0" applyFont="1"/>
    <xf numFmtId="167" fontId="0" fillId="4" borderId="0" xfId="0" applyNumberFormat="1" applyFill="1"/>
    <xf numFmtId="0" fontId="0" fillId="0" borderId="13" xfId="0" applyBorder="1"/>
    <xf numFmtId="9" fontId="0" fillId="0" borderId="0" xfId="0" applyNumberFormat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0" fontId="0" fillId="0" borderId="0" xfId="0" applyNumberFormat="1"/>
    <xf numFmtId="166" fontId="0" fillId="0" borderId="0" xfId="0" applyNumberFormat="1" applyFont="1" applyFill="1" applyBorder="1"/>
    <xf numFmtId="166" fontId="0" fillId="0" borderId="0" xfId="114" applyNumberFormat="1" applyFont="1" applyFill="1" applyBorder="1"/>
    <xf numFmtId="167" fontId="0" fillId="0" borderId="0" xfId="0" applyNumberFormat="1" applyFill="1"/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4" fontId="0" fillId="0" borderId="0" xfId="0" applyNumberFormat="1" applyFill="1"/>
    <xf numFmtId="44" fontId="22" fillId="0" borderId="0" xfId="113" applyNumberFormat="1" applyFont="1" applyFill="1" applyBorder="1"/>
    <xf numFmtId="175" fontId="0" fillId="0" borderId="0" xfId="0" applyNumberFormat="1" applyAlignment="1">
      <alignment horizontal="center"/>
    </xf>
    <xf numFmtId="3" fontId="0" fillId="4" borderId="0" xfId="0" applyNumberFormat="1" applyFill="1"/>
    <xf numFmtId="0" fontId="0" fillId="13" borderId="0" xfId="0" applyFill="1"/>
    <xf numFmtId="0" fontId="0" fillId="14" borderId="0" xfId="0" applyFill="1"/>
    <xf numFmtId="0" fontId="0" fillId="15" borderId="0" xfId="0" applyFill="1" applyAlignment="1">
      <alignment horizontal="right"/>
    </xf>
    <xf numFmtId="0" fontId="0" fillId="15" borderId="0" xfId="0" applyFill="1"/>
    <xf numFmtId="2" fontId="0" fillId="16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169" fontId="0" fillId="16" borderId="0" xfId="0" applyNumberFormat="1" applyFill="1" applyAlignment="1">
      <alignment horizontal="center"/>
    </xf>
    <xf numFmtId="2" fontId="0" fillId="16" borderId="0" xfId="0" applyNumberFormat="1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19" fillId="16" borderId="0" xfId="0" applyNumberFormat="1" applyFont="1" applyFill="1" applyAlignment="1">
      <alignment horizontal="center"/>
    </xf>
    <xf numFmtId="168" fontId="0" fillId="16" borderId="0" xfId="0" applyNumberFormat="1" applyFill="1" applyAlignment="1">
      <alignment horizontal="center"/>
    </xf>
    <xf numFmtId="0" fontId="5" fillId="0" borderId="0" xfId="0" applyFont="1"/>
    <xf numFmtId="0" fontId="23" fillId="0" borderId="0" xfId="0" applyFont="1"/>
    <xf numFmtId="168" fontId="0" fillId="0" borderId="0" xfId="0" applyNumberFormat="1" applyFill="1" applyAlignment="1">
      <alignment horizontal="center"/>
    </xf>
    <xf numFmtId="172" fontId="0" fillId="4" borderId="0" xfId="0" applyNumberFormat="1" applyFill="1"/>
    <xf numFmtId="0" fontId="0" fillId="17" borderId="0" xfId="0" applyFill="1"/>
    <xf numFmtId="0" fontId="8" fillId="9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0" fillId="11" borderId="13" xfId="0" applyNumberFormat="1" applyFont="1" applyFill="1" applyBorder="1" applyAlignment="1">
      <alignment horizontal="center"/>
    </xf>
    <xf numFmtId="0" fontId="0" fillId="11" borderId="0" xfId="0" applyNumberFormat="1" applyFont="1" applyFill="1" applyBorder="1" applyAlignment="1">
      <alignment horizontal="center"/>
    </xf>
    <xf numFmtId="0" fontId="0" fillId="11" borderId="0" xfId="0" applyFill="1" applyAlignment="1">
      <alignment horizontal="center"/>
    </xf>
  </cellXfs>
  <cellStyles count="1324">
    <cellStyle name="40% - Accent2" xfId="114" builtinId="35"/>
    <cellStyle name="40% - Accent2 2" xfId="409" xr:uid="{00000000-0005-0000-0000-000001000000}"/>
    <cellStyle name="Comma" xfId="109" builtinId="3"/>
    <cellStyle name="Comma 2" xfId="410" xr:uid="{00000000-0005-0000-0000-000003000000}"/>
    <cellStyle name="Comma 2 2" xfId="1219" xr:uid="{00000000-0005-0000-0000-000004000000}"/>
    <cellStyle name="Currency" xfId="110" builtinId="4"/>
    <cellStyle name="Currency 2" xfId="107" xr:uid="{00000000-0005-0000-0000-000006000000}"/>
    <cellStyle name="Currency 3" xfId="411" xr:uid="{00000000-0005-0000-0000-000007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Good" xfId="112" builtinId="26"/>
    <cellStyle name="Good 2" xfId="412" xr:uid="{00000000-0005-0000-0000-00005D040000}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14" builtinId="8"/>
    <cellStyle name="Normal" xfId="0" builtinId="0"/>
    <cellStyle name="Normal 2" xfId="108" xr:uid="{00000000-0005-0000-0000-000028050000}"/>
    <cellStyle name="Output" xfId="113" builtinId="21"/>
    <cellStyle name="Output 2" xfId="413" xr:uid="{00000000-0005-0000-0000-00002A050000}"/>
    <cellStyle name="Percent" xfId="111" builtinId="5"/>
  </cellStyles>
  <dxfs count="74"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</font>
    </dxf>
    <dxf>
      <font>
        <b/>
      </font>
    </dxf>
    <dxf>
      <fill>
        <patternFill>
          <bgColor theme="4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  <border>
        <top style="thin">
          <color rgb="FFABABAB"/>
        </top>
        <vertical style="thin">
          <color rgb="FFABABAB"/>
        </vertical>
        <horizontal style="thin">
          <color rgb="FFABABAB"/>
        </horizontal>
      </border>
    </dxf>
    <dxf>
      <numFmt numFmtId="3" formatCode="#,##0"/>
      <border>
        <top style="thin">
          <color rgb="FFABABAB"/>
        </top>
        <vertical style="thin">
          <color rgb="FFABABAB"/>
        </vertical>
        <horizontal style="thin">
          <color rgb="FFABABAB"/>
        </horizontal>
      </border>
    </dxf>
    <dxf>
      <numFmt numFmtId="3" formatCode="#,##0"/>
      <border>
        <top style="thin">
          <color rgb="FFABABAB"/>
        </top>
        <vertical style="thin">
          <color rgb="FFABABAB"/>
        </vertical>
        <horizontal style="thin">
          <color rgb="FFABABAB"/>
        </horizontal>
      </border>
    </dxf>
    <dxf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numFmt numFmtId="4" formatCode="#,##0.00"/>
      <border>
        <top style="thin">
          <color rgb="FFABABAB"/>
        </top>
        <bottom style="thin">
          <color rgb="FFABABAB"/>
        </bottom>
        <vertical style="thin">
          <color rgb="FFABABAB"/>
        </vertical>
        <horizontal style="thin">
          <color rgb="FFABABAB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vertical style="thin">
          <color rgb="FFABABAB"/>
        </vertical>
      </border>
    </dxf>
    <dxf>
      <border>
        <vertical style="thin">
          <color rgb="FFABABAB"/>
        </vertical>
      </border>
    </dxf>
    <dxf>
      <border>
        <vertical style="thin">
          <color rgb="FFABABAB"/>
        </vertical>
      </border>
    </dxf>
    <dxf>
      <border>
        <vertical style="thin">
          <color rgb="FFABABAB"/>
        </vertical>
      </border>
    </dxf>
    <dxf>
      <fill>
        <patternFill patternType="solid">
          <bgColor theme="4" tint="0.59999389629810485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29</xdr:row>
      <xdr:rowOff>152400</xdr:rowOff>
    </xdr:from>
    <xdr:to>
      <xdr:col>9</xdr:col>
      <xdr:colOff>444500</xdr:colOff>
      <xdr:row>53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0800" y="5308600"/>
          <a:ext cx="5537200" cy="4241800"/>
        </a:xfrm>
        <a:prstGeom prst="rect">
          <a:avLst/>
        </a:prstGeom>
      </xdr:spPr>
    </xdr:pic>
    <xdr:clientData/>
  </xdr:twoCellAnchor>
  <xdr:twoCellAnchor editAs="oneCell">
    <xdr:from>
      <xdr:col>2</xdr:col>
      <xdr:colOff>787400</xdr:colOff>
      <xdr:row>0</xdr:row>
      <xdr:rowOff>63500</xdr:rowOff>
    </xdr:from>
    <xdr:to>
      <xdr:col>9</xdr:col>
      <xdr:colOff>482600</xdr:colOff>
      <xdr:row>29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0" y="63500"/>
          <a:ext cx="5473700" cy="5156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B/Desktop/MAGIC/ABECCS/Design%20Parameters%20Algae%20Forest%201-21-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ndadulcinea/Documents/Consultant%20work/GREET/GREET1_201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inmbeal/Desktop/Torrey%20AF/Model/B&amp;D%20AltJet%20TEA_LCA%20052919-ADC%20CM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inmbeal/Desktop/Torrey%20AF/Model/B&amp;D%20AltJet%20TEA_LCA%20062519-AD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Costs"/>
      <sheetName val="Harvesting"/>
      <sheetName val="Energy and Cost Balance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_Prod_TS"/>
      <sheetName val="Inputs"/>
      <sheetName val="Fuel_Spec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Outpu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ody biomass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MB/Library/Application%20Support/Microsoft/Office/Office%202011%20AutoRecovery/Macintosh%20HD:Users:CMB:Desktop:Torrey%20AF:AF%20Lit:SoybeansCostReturn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565.470239351853" createdVersion="5" refreshedVersion="4" minRefreshableVersion="3" recordCount="4576" xr:uid="{00000000-000A-0000-FFFF-FFFF00000000}">
  <cacheSource type="worksheet">
    <worksheetSource name="Table_View_PublishData" r:id="rId2"/>
  </cacheSource>
  <cacheFields count="19">
    <cacheField name="Commodity" numFmtId="0">
      <sharedItems/>
    </cacheField>
    <cacheField name="CommodityId" numFmtId="0">
      <sharedItems containsSemiMixedTypes="0" containsString="0" containsNumber="1" containsInteger="1" minValue="80" maxValue="80"/>
    </cacheField>
    <cacheField name="Category" numFmtId="0">
      <sharedItems count="7">
        <s v="Gross value of production"/>
        <s v="Operating costs"/>
        <s v="Allocated overhead"/>
        <s v="Costs listed"/>
        <s v="Net"/>
        <s v="Supporting information"/>
        <s v="Production practices"/>
      </sharedItems>
    </cacheField>
    <cacheField name="CategoryId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Item" numFmtId="0">
      <sharedItems/>
    </cacheField>
    <cacheField name="Item2" numFmtId="0">
      <sharedItems count="26">
        <s v="Primary product soybeans"/>
        <s v="Total, gross value of production"/>
        <s v="Seed"/>
        <s v="Fertilizer ᵃ "/>
        <s v="Chemicals"/>
        <s v="Custom services"/>
        <s v="Fuel, lube, and electricity"/>
        <s v="Repairs"/>
        <s v="Purchased irrigation water"/>
        <s v="Interest on operating capital"/>
        <s v="Total, operating costs"/>
        <s v="Hired labor"/>
        <s v="Opportunity cost of unpaid labor"/>
        <s v="Capital recovery of machinery and equipment"/>
        <s v="Opportunity cost of land"/>
        <s v="Taxes and insurance"/>
        <s v="General farm overhead"/>
        <s v="Total, allocated overhead"/>
        <s v="Total, costs listed"/>
        <s v="Value of production less total costs listed"/>
        <s v="Value of production less operating costs"/>
        <s v="Yield (bushels per planted acre)"/>
        <s v="Price (dollars per bushel at harvest)"/>
        <s v="Enterprise size (planted acres)"/>
        <s v="Dryland (percent of acres)"/>
        <s v="Irrigated (percent of acres)"/>
      </sharedItems>
    </cacheField>
    <cacheField name="ItemId" numFmtId="0">
      <sharedItems containsSemiMixedTypes="0" containsString="0" containsNumber="1" containsInteger="1" minValue="37" maxValue="1190" count="26">
        <n v="37"/>
        <n v="380"/>
        <n v="580"/>
        <n v="590"/>
        <n v="620"/>
        <n v="700"/>
        <n v="710"/>
        <n v="720"/>
        <n v="780"/>
        <n v="830"/>
        <n v="840"/>
        <n v="850"/>
        <n v="860"/>
        <n v="870"/>
        <n v="880"/>
        <n v="900"/>
        <n v="910"/>
        <n v="930"/>
        <n v="940"/>
        <n v="950"/>
        <n v="960"/>
        <n v="970"/>
        <n v="980"/>
        <n v="1030"/>
        <n v="1180"/>
        <n v="1190"/>
      </sharedItems>
    </cacheField>
    <cacheField name="Units" numFmtId="0">
      <sharedItems/>
    </cacheField>
    <cacheField name="UnitsAbr" numFmtId="0">
      <sharedItems/>
    </cacheField>
    <cacheField name="UnitsId" numFmtId="0">
      <sharedItems containsSemiMixedTypes="0" containsString="0" containsNumber="1" containsInteger="1" minValue="10" maxValue="70"/>
    </cacheField>
    <cacheField name="Region" numFmtId="0">
      <sharedItems count="8">
        <s v="U.S. total"/>
        <s v="Heartland"/>
        <s v="Northern Crescent"/>
        <s v="Northern Great Plains"/>
        <s v="Prairie Gateway"/>
        <s v="Eastern Uplands"/>
        <s v="Southern Seaboard"/>
        <s v="Mississippi Portal"/>
      </sharedItems>
    </cacheField>
    <cacheField name="RegionId" numFmtId="0">
      <sharedItems containsSemiMixedTypes="0" containsString="0" containsNumber="1" containsInteger="1" minValue="10" maxValue="100"/>
    </cacheField>
    <cacheField name="Country" numFmtId="0">
      <sharedItems/>
    </cacheField>
    <cacheField name="CountryId" numFmtId="0">
      <sharedItems containsSemiMixedTypes="0" containsString="0" containsNumber="1" containsInteger="1" minValue="10" maxValue="10"/>
    </cacheField>
    <cacheField name="Year" numFmtId="0">
      <sharedItems containsSemiMixedTypes="0" containsString="0" containsNumber="1" containsInteger="1" minValue="1997" maxValue="2018" count="22"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Value" numFmtId="0">
      <sharedItems containsSemiMixedTypes="0" containsString="0" containsNumber="1" minValue="-136.44" maxValue="676"/>
    </cacheField>
    <cacheField name="SurveyBaseYear" numFmtId="0">
      <sharedItems count="4">
        <s v="Base survey of 1997"/>
        <s v="Base survey of 2002"/>
        <s v="Base survey of 2006"/>
        <s v="Base survey of 2012"/>
      </sharedItems>
    </cacheField>
    <cacheField name="Note" numFmtId="0">
      <sharedItems containsBlank="1" count="2">
        <m/>
        <s v="ᵃ  Cost of commercial fertilizers, soil conditioners, and manure."/>
      </sharedItems>
    </cacheField>
    <cacheField name="Order" numFmtId="0">
      <sharedItems containsSemiMixedTypes="0" containsString="0" containsNumber="1" containsInteger="1" minValue="60" maxValue="1360"/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76"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0"/>
    <n v="281.22000000000003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"/>
    <n v="223.17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2"/>
    <n v="17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3"/>
    <n v="182.45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4"/>
    <n v="178.62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5"/>
    <n v="208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6"/>
    <n v="233.47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7"/>
    <n v="253.46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8"/>
    <n v="264.57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9"/>
    <n v="254.8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0"/>
    <n v="357.75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1"/>
    <n v="450.6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2"/>
    <n v="437.1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3"/>
    <n v="449.3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4"/>
    <n v="525.3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5"/>
    <n v="596.8200000000000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6"/>
    <n v="571.0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7"/>
    <n v="522.2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8"/>
    <n v="430.56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19"/>
    <n v="491.9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20"/>
    <n v="454.7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0"/>
    <n v="10"/>
    <s v="United States"/>
    <n v="10"/>
    <x v="21"/>
    <n v="444.21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0"/>
    <n v="292.05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"/>
    <n v="237.3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2"/>
    <n v="186.0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3"/>
    <n v="199.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4"/>
    <n v="189.7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5"/>
    <n v="223.17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6"/>
    <n v="237.11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7"/>
    <n v="272.08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8"/>
    <n v="282.08999999999997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9"/>
    <n v="276.5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0"/>
    <n v="393.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1"/>
    <n v="507.8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2"/>
    <n v="502.8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3"/>
    <n v="505.41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4"/>
    <n v="615.92999999999995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5"/>
    <n v="612.3200000000000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6"/>
    <n v="603.9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7"/>
    <n v="554.37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8"/>
    <n v="463.8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19"/>
    <n v="53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20"/>
    <n v="492.37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1"/>
    <n v="20"/>
    <s v="United States"/>
    <n v="10"/>
    <x v="21"/>
    <n v="486.0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0"/>
    <n v="280.3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"/>
    <n v="224.84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2"/>
    <n v="189.2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3"/>
    <n v="182.04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4"/>
    <n v="149.97999999999999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5"/>
    <n v="213.96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6"/>
    <n v="194.48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7"/>
    <n v="213.54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8"/>
    <n v="248.25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9"/>
    <n v="252.0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0"/>
    <n v="344.8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1"/>
    <n v="384.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2"/>
    <n v="415.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3"/>
    <n v="46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4"/>
    <n v="572.2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5"/>
    <n v="633.1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6"/>
    <n v="547.6799999999999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7"/>
    <n v="49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8"/>
    <n v="430.2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19"/>
    <n v="499.79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20"/>
    <n v="416.2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2"/>
    <n v="30"/>
    <s v="United States"/>
    <n v="10"/>
    <x v="21"/>
    <n v="427.2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0"/>
    <n v="235.22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"/>
    <n v="204.12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2"/>
    <n v="168.4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3"/>
    <n v="161.5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4"/>
    <n v="142.12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5"/>
    <n v="175.39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6"/>
    <n v="184.7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7"/>
    <n v="168.42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8"/>
    <n v="220.66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9"/>
    <n v="180.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0"/>
    <n v="303.81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1"/>
    <n v="332.63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2"/>
    <n v="323.3999999999999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3"/>
    <n v="352.9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4"/>
    <n v="373.1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5"/>
    <n v="519.4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6"/>
    <n v="420.09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7"/>
    <n v="376.66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8"/>
    <n v="318.9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19"/>
    <n v="393.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20"/>
    <n v="325.97000000000003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3"/>
    <n v="40"/>
    <s v="United States"/>
    <n v="10"/>
    <x v="21"/>
    <n v="318.8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0"/>
    <n v="262.81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"/>
    <n v="188.33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2"/>
    <n v="154.35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3"/>
    <n v="114.6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4"/>
    <n v="157.03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5"/>
    <n v="169.54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6"/>
    <n v="226.2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7"/>
    <n v="258.6600000000000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8"/>
    <n v="270.56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9"/>
    <n v="227.2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0"/>
    <n v="353.03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1"/>
    <n v="482.2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2"/>
    <n v="482.4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3"/>
    <n v="410.3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4"/>
    <n v="449.9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5"/>
    <n v="438.6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6"/>
    <n v="548.1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7"/>
    <n v="452.76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8"/>
    <n v="393.3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19"/>
    <n v="484.6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20"/>
    <n v="383.13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4"/>
    <n v="50"/>
    <s v="United States"/>
    <n v="10"/>
    <x v="21"/>
    <n v="395.5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0"/>
    <n v="248.7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"/>
    <n v="175.3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2"/>
    <n v="100.9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3"/>
    <n v="155.3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4"/>
    <n v="166.14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5"/>
    <n v="158.6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6"/>
    <n v="253.84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7"/>
    <n v="213.38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8"/>
    <n v="201.59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9"/>
    <n v="208.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0"/>
    <n v="216.3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1"/>
    <n v="388.4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2"/>
    <n v="393.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3"/>
    <n v="327.67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4"/>
    <n v="49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5"/>
    <n v="617.91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6"/>
    <n v="490.6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7"/>
    <n v="461.16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8"/>
    <n v="345.2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19"/>
    <n v="379.0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20"/>
    <n v="421.5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5"/>
    <n v="60"/>
    <s v="United States"/>
    <n v="10"/>
    <x v="21"/>
    <n v="351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0"/>
    <n v="212.6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"/>
    <n v="217.2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2"/>
    <n v="120.9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3"/>
    <n v="174.33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4"/>
    <n v="160.63999999999999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5"/>
    <n v="124.4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6"/>
    <n v="223.9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7"/>
    <n v="199.3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8"/>
    <n v="162.57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9"/>
    <n v="194.48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0"/>
    <n v="206.5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1"/>
    <n v="387.3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2"/>
    <n v="373.92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3"/>
    <n v="310.3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4"/>
    <n v="443.1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5"/>
    <n v="558.4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6"/>
    <n v="447.1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7"/>
    <n v="44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8"/>
    <n v="304.6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19"/>
    <n v="338.8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20"/>
    <n v="395.6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6"/>
    <n v="70"/>
    <s v="United States"/>
    <n v="10"/>
    <x v="21"/>
    <n v="315.3500000000000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0"/>
    <n v="216.3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"/>
    <n v="143.5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2"/>
    <n v="120.75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3"/>
    <n v="112.8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4"/>
    <n v="140.96"/>
    <x v="0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5"/>
    <n v="200.17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6"/>
    <n v="303.20999999999998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7"/>
    <n v="265.10000000000002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8"/>
    <n v="243.38"/>
    <x v="1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9"/>
    <n v="213.8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0"/>
    <n v="251.8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1"/>
    <n v="353.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2"/>
    <n v="341.6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3"/>
    <n v="332.64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4"/>
    <n v="416.5"/>
    <x v="2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5"/>
    <n v="514.08000000000004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6"/>
    <n v="578.16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7"/>
    <n v="563.5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8"/>
    <n v="451.26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19"/>
    <n v="449.42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20"/>
    <n v="496.23"/>
    <x v="3"/>
    <x v="0"/>
    <n v="60"/>
  </r>
  <r>
    <s v="Soybean"/>
    <n v="80"/>
    <x v="0"/>
    <x v="0"/>
    <s v="Primary product soybeans"/>
    <x v="0"/>
    <x v="0"/>
    <s v="dollars per planted acre"/>
    <s v="$ / planted ac"/>
    <n v="10"/>
    <x v="7"/>
    <n v="100"/>
    <s v="United States"/>
    <n v="10"/>
    <x v="21"/>
    <n v="473"/>
    <x v="3"/>
    <x v="0"/>
    <n v="6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0"/>
    <n v="281.22000000000003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"/>
    <n v="223.17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2"/>
    <n v="17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3"/>
    <n v="182.45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4"/>
    <n v="178.62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5"/>
    <n v="208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6"/>
    <n v="233.47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7"/>
    <n v="253.46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8"/>
    <n v="264.57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9"/>
    <n v="254.8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0"/>
    <n v="357.75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1"/>
    <n v="450.6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2"/>
    <n v="437.1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3"/>
    <n v="449.3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4"/>
    <n v="525.3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5"/>
    <n v="596.8200000000000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6"/>
    <n v="571.0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7"/>
    <n v="522.2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8"/>
    <n v="430.56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19"/>
    <n v="491.9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20"/>
    <n v="454.7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0"/>
    <n v="10"/>
    <s v="United States"/>
    <n v="10"/>
    <x v="21"/>
    <n v="444.21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0"/>
    <n v="292.05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"/>
    <n v="237.3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2"/>
    <n v="186.0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3"/>
    <n v="199.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4"/>
    <n v="189.7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5"/>
    <n v="223.17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6"/>
    <n v="237.11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7"/>
    <n v="272.08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8"/>
    <n v="282.08999999999997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9"/>
    <n v="276.5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0"/>
    <n v="393.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1"/>
    <n v="507.8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2"/>
    <n v="502.8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3"/>
    <n v="505.41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4"/>
    <n v="615.92999999999995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5"/>
    <n v="612.3200000000000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6"/>
    <n v="603.9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7"/>
    <n v="554.37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8"/>
    <n v="463.8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19"/>
    <n v="53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20"/>
    <n v="492.37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1"/>
    <n v="20"/>
    <s v="United States"/>
    <n v="10"/>
    <x v="21"/>
    <n v="486.0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0"/>
    <n v="280.3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"/>
    <n v="224.84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2"/>
    <n v="189.2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3"/>
    <n v="182.04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4"/>
    <n v="149.97999999999999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5"/>
    <n v="213.96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6"/>
    <n v="194.48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7"/>
    <n v="213.54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8"/>
    <n v="248.25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9"/>
    <n v="252.0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0"/>
    <n v="344.8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1"/>
    <n v="384.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2"/>
    <n v="415.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3"/>
    <n v="46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4"/>
    <n v="572.2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5"/>
    <n v="633.1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6"/>
    <n v="547.6799999999999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7"/>
    <n v="49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8"/>
    <n v="430.2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19"/>
    <n v="499.79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20"/>
    <n v="416.2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2"/>
    <n v="30"/>
    <s v="United States"/>
    <n v="10"/>
    <x v="21"/>
    <n v="427.2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0"/>
    <n v="235.22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"/>
    <n v="204.12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2"/>
    <n v="168.4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3"/>
    <n v="161.5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4"/>
    <n v="142.12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5"/>
    <n v="175.39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6"/>
    <n v="184.7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7"/>
    <n v="168.42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8"/>
    <n v="220.66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9"/>
    <n v="180.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0"/>
    <n v="303.81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1"/>
    <n v="332.63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2"/>
    <n v="323.3999999999999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3"/>
    <n v="352.9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4"/>
    <n v="373.1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5"/>
    <n v="519.4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6"/>
    <n v="420.09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7"/>
    <n v="376.66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8"/>
    <n v="318.9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19"/>
    <n v="393.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20"/>
    <n v="325.97000000000003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3"/>
    <n v="40"/>
    <s v="United States"/>
    <n v="10"/>
    <x v="21"/>
    <n v="318.8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0"/>
    <n v="262.81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"/>
    <n v="188.33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2"/>
    <n v="154.35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3"/>
    <n v="114.6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4"/>
    <n v="157.03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5"/>
    <n v="169.54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6"/>
    <n v="226.2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7"/>
    <n v="258.6600000000000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8"/>
    <n v="270.56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9"/>
    <n v="227.2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0"/>
    <n v="353.03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1"/>
    <n v="482.2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2"/>
    <n v="482.4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3"/>
    <n v="410.3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4"/>
    <n v="449.9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5"/>
    <n v="438.6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6"/>
    <n v="548.1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7"/>
    <n v="452.76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8"/>
    <n v="393.3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19"/>
    <n v="484.6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20"/>
    <n v="383.13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4"/>
    <n v="50"/>
    <s v="United States"/>
    <n v="10"/>
    <x v="21"/>
    <n v="395.5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0"/>
    <n v="248.7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"/>
    <n v="175.3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2"/>
    <n v="100.9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3"/>
    <n v="155.3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4"/>
    <n v="166.14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5"/>
    <n v="158.6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6"/>
    <n v="253.84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7"/>
    <n v="213.38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8"/>
    <n v="201.59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9"/>
    <n v="208.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0"/>
    <n v="216.3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1"/>
    <n v="388.4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2"/>
    <n v="393.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3"/>
    <n v="327.67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4"/>
    <n v="49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5"/>
    <n v="617.91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6"/>
    <n v="490.6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7"/>
    <n v="461.16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8"/>
    <n v="345.2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19"/>
    <n v="379.0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20"/>
    <n v="421.5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5"/>
    <n v="60"/>
    <s v="United States"/>
    <n v="10"/>
    <x v="21"/>
    <n v="351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0"/>
    <n v="212.6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"/>
    <n v="217.2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2"/>
    <n v="120.9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3"/>
    <n v="174.33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4"/>
    <n v="160.63999999999999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5"/>
    <n v="124.4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6"/>
    <n v="223.9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7"/>
    <n v="199.3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8"/>
    <n v="162.57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9"/>
    <n v="194.48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0"/>
    <n v="206.5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1"/>
    <n v="387.3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2"/>
    <n v="373.92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3"/>
    <n v="310.3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4"/>
    <n v="443.1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5"/>
    <n v="558.4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6"/>
    <n v="447.1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7"/>
    <n v="44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8"/>
    <n v="304.6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19"/>
    <n v="338.8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20"/>
    <n v="395.6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6"/>
    <n v="70"/>
    <s v="United States"/>
    <n v="10"/>
    <x v="21"/>
    <n v="315.3500000000000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0"/>
    <n v="216.3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"/>
    <n v="143.5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2"/>
    <n v="120.75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3"/>
    <n v="112.8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4"/>
    <n v="140.96"/>
    <x v="0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5"/>
    <n v="200.17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6"/>
    <n v="303.20999999999998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7"/>
    <n v="265.10000000000002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8"/>
    <n v="243.38"/>
    <x v="1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9"/>
    <n v="213.8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0"/>
    <n v="251.8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1"/>
    <n v="353.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2"/>
    <n v="341.6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3"/>
    <n v="332.64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4"/>
    <n v="416.5"/>
    <x v="2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5"/>
    <n v="514.08000000000004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6"/>
    <n v="578.16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7"/>
    <n v="563.5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8"/>
    <n v="451.26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19"/>
    <n v="449.42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20"/>
    <n v="496.23"/>
    <x v="3"/>
    <x v="0"/>
    <n v="510"/>
  </r>
  <r>
    <s v="Soybean"/>
    <n v="80"/>
    <x v="0"/>
    <x v="0"/>
    <s v="Total, gross value of production"/>
    <x v="1"/>
    <x v="1"/>
    <s v="dollars per planted acre"/>
    <s v="$ / planted ac"/>
    <n v="10"/>
    <x v="7"/>
    <n v="100"/>
    <s v="United States"/>
    <n v="10"/>
    <x v="21"/>
    <n v="473"/>
    <x v="3"/>
    <x v="0"/>
    <n v="51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0"/>
    <n v="19.72"/>
    <x v="0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"/>
    <n v="20.46"/>
    <x v="0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2"/>
    <n v="19.25"/>
    <x v="0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3"/>
    <n v="19.18"/>
    <x v="0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4"/>
    <n v="22.59"/>
    <x v="0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5"/>
    <n v="25.45"/>
    <x v="1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6"/>
    <n v="27.42"/>
    <x v="1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7"/>
    <n v="29.71"/>
    <x v="1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8"/>
    <n v="32.619999999999997"/>
    <x v="1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9"/>
    <n v="32.299999999999997"/>
    <x v="2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0"/>
    <n v="39.770000000000003"/>
    <x v="2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1"/>
    <n v="44.35"/>
    <x v="2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2"/>
    <n v="55.26"/>
    <x v="2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3"/>
    <n v="59.2"/>
    <x v="2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4"/>
    <n v="55.55"/>
    <x v="2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5"/>
    <n v="55.32"/>
    <x v="3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6"/>
    <n v="58.18"/>
    <x v="3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7"/>
    <n v="58.78"/>
    <x v="3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8"/>
    <n v="59.21"/>
    <x v="3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19"/>
    <n v="58.79"/>
    <x v="3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20"/>
    <n v="58.07"/>
    <x v="3"/>
    <x v="0"/>
    <n v="730"/>
  </r>
  <r>
    <s v="Soybean"/>
    <n v="80"/>
    <x v="1"/>
    <x v="1"/>
    <s v="Seed"/>
    <x v="2"/>
    <x v="2"/>
    <s v="dollars per planted acre"/>
    <s v="$ / planted ac"/>
    <n v="10"/>
    <x v="0"/>
    <n v="10"/>
    <s v="United States"/>
    <n v="10"/>
    <x v="21"/>
    <n v="57.4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0"/>
    <n v="19.59"/>
    <x v="0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"/>
    <n v="19.77"/>
    <x v="0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2"/>
    <n v="18.41"/>
    <x v="0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3"/>
    <n v="18.3"/>
    <x v="0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4"/>
    <n v="21.72"/>
    <x v="0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5"/>
    <n v="25.72"/>
    <x v="1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6"/>
    <n v="27.78"/>
    <x v="1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7"/>
    <n v="29.56"/>
    <x v="1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8"/>
    <n v="32.590000000000003"/>
    <x v="1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9"/>
    <n v="32.01"/>
    <x v="2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0"/>
    <n v="38.54"/>
    <x v="2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1"/>
    <n v="60.81"/>
    <x v="2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2"/>
    <n v="53.5"/>
    <x v="2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3"/>
    <n v="57.49"/>
    <x v="2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4"/>
    <n v="55.05"/>
    <x v="2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5"/>
    <n v="54.37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6"/>
    <n v="57.24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7"/>
    <n v="57.83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8"/>
    <n v="59.45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19"/>
    <n v="57.89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20"/>
    <n v="57.17"/>
    <x v="3"/>
    <x v="0"/>
    <n v="730"/>
  </r>
  <r>
    <s v="Soybean"/>
    <n v="80"/>
    <x v="1"/>
    <x v="1"/>
    <s v="Seed"/>
    <x v="2"/>
    <x v="2"/>
    <s v="dollars per planted acre"/>
    <s v="$ / planted ac"/>
    <n v="10"/>
    <x v="1"/>
    <n v="20"/>
    <s v="United States"/>
    <n v="10"/>
    <x v="21"/>
    <n v="56.5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0"/>
    <n v="22.81"/>
    <x v="0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"/>
    <n v="24.21"/>
    <x v="0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2"/>
    <n v="20.65"/>
    <x v="0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3"/>
    <n v="19.37"/>
    <x v="0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4"/>
    <n v="25.34"/>
    <x v="0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5"/>
    <n v="25.65"/>
    <x v="1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6"/>
    <n v="27.46"/>
    <x v="1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7"/>
    <n v="29.56"/>
    <x v="1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8"/>
    <n v="31.69"/>
    <x v="1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9"/>
    <n v="34.67"/>
    <x v="2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0"/>
    <n v="41.75"/>
    <x v="2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1"/>
    <n v="46.55"/>
    <x v="2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2"/>
    <n v="57.94"/>
    <x v="2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3"/>
    <n v="62.26"/>
    <x v="2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4"/>
    <n v="59.62"/>
    <x v="2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5"/>
    <n v="59.21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6"/>
    <n v="62.34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7"/>
    <n v="62.99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8"/>
    <n v="64.760000000000005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19"/>
    <n v="63.06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20"/>
    <n v="62.28"/>
    <x v="3"/>
    <x v="0"/>
    <n v="730"/>
  </r>
  <r>
    <s v="Soybean"/>
    <n v="80"/>
    <x v="1"/>
    <x v="1"/>
    <s v="Seed"/>
    <x v="2"/>
    <x v="2"/>
    <s v="dollars per planted acre"/>
    <s v="$ / planted ac"/>
    <n v="10"/>
    <x v="2"/>
    <n v="30"/>
    <s v="United States"/>
    <n v="10"/>
    <x v="21"/>
    <n v="61.55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0"/>
    <n v="17.600000000000001"/>
    <x v="0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"/>
    <n v="16.13"/>
    <x v="0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2"/>
    <n v="17.11"/>
    <x v="0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3"/>
    <n v="15.33"/>
    <x v="0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4"/>
    <n v="19.59"/>
    <x v="0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5"/>
    <n v="22.39"/>
    <x v="1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6"/>
    <n v="26.76"/>
    <x v="1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7"/>
    <n v="29.96"/>
    <x v="1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8"/>
    <n v="31.98"/>
    <x v="1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9"/>
    <n v="34.36"/>
    <x v="2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0"/>
    <n v="41.37"/>
    <x v="2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1"/>
    <n v="46.13"/>
    <x v="2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2"/>
    <n v="57.43"/>
    <x v="2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3"/>
    <n v="61.71"/>
    <x v="2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4"/>
    <n v="59.09"/>
    <x v="2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5"/>
    <n v="54.63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6"/>
    <n v="57.52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7"/>
    <n v="58.12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8"/>
    <n v="59.75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19"/>
    <n v="58.18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20"/>
    <n v="57.46"/>
    <x v="3"/>
    <x v="0"/>
    <n v="730"/>
  </r>
  <r>
    <s v="Soybean"/>
    <n v="80"/>
    <x v="1"/>
    <x v="1"/>
    <s v="Seed"/>
    <x v="2"/>
    <x v="2"/>
    <s v="dollars per planted acre"/>
    <s v="$ / planted ac"/>
    <n v="10"/>
    <x v="3"/>
    <n v="40"/>
    <s v="United States"/>
    <n v="10"/>
    <x v="21"/>
    <n v="56.79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0"/>
    <n v="20.82"/>
    <x v="0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"/>
    <n v="22.86"/>
    <x v="0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2"/>
    <n v="23.37"/>
    <x v="0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3"/>
    <n v="26.26"/>
    <x v="0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4"/>
    <n v="26.06"/>
    <x v="0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5"/>
    <n v="26.94"/>
    <x v="1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6"/>
    <n v="25.92"/>
    <x v="1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7"/>
    <n v="26.57"/>
    <x v="1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8"/>
    <n v="30.66"/>
    <x v="1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9"/>
    <n v="30.69"/>
    <x v="2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0"/>
    <n v="36.96"/>
    <x v="2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1"/>
    <n v="41.2"/>
    <x v="2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2"/>
    <n v="51.29"/>
    <x v="2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3"/>
    <n v="55.11"/>
    <x v="2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4"/>
    <n v="52.78"/>
    <x v="2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5"/>
    <n v="54.94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6"/>
    <n v="57.84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7"/>
    <n v="58.44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8"/>
    <n v="60.08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19"/>
    <n v="58.51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20"/>
    <n v="57.79"/>
    <x v="3"/>
    <x v="0"/>
    <n v="730"/>
  </r>
  <r>
    <s v="Soybean"/>
    <n v="80"/>
    <x v="1"/>
    <x v="1"/>
    <s v="Seed"/>
    <x v="2"/>
    <x v="2"/>
    <s v="dollars per planted acre"/>
    <s v="$ / planted ac"/>
    <n v="10"/>
    <x v="4"/>
    <n v="50"/>
    <s v="United States"/>
    <n v="10"/>
    <x v="21"/>
    <n v="57.12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0"/>
    <n v="20.83"/>
    <x v="0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"/>
    <n v="21.32"/>
    <x v="0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2"/>
    <n v="22.85"/>
    <x v="0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3"/>
    <n v="22.73"/>
    <x v="0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4"/>
    <n v="24.81"/>
    <x v="0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5"/>
    <n v="22.76"/>
    <x v="1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6"/>
    <n v="25.03"/>
    <x v="1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7"/>
    <n v="28.79"/>
    <x v="1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8"/>
    <n v="32.450000000000003"/>
    <x v="1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9"/>
    <n v="31.44"/>
    <x v="2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0"/>
    <n v="37.86"/>
    <x v="2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1"/>
    <n v="42.21"/>
    <x v="2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2"/>
    <n v="52.55"/>
    <x v="2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3"/>
    <n v="56.46"/>
    <x v="2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4"/>
    <n v="54.07"/>
    <x v="2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5"/>
    <n v="52.35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6"/>
    <n v="55.12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7"/>
    <n v="55.69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8"/>
    <n v="57.25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19"/>
    <n v="55.75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20"/>
    <n v="55.06"/>
    <x v="3"/>
    <x v="0"/>
    <n v="730"/>
  </r>
  <r>
    <s v="Soybean"/>
    <n v="80"/>
    <x v="1"/>
    <x v="1"/>
    <s v="Seed"/>
    <x v="2"/>
    <x v="2"/>
    <s v="dollars per planted acre"/>
    <s v="$ / planted ac"/>
    <n v="10"/>
    <x v="5"/>
    <n v="60"/>
    <s v="United States"/>
    <n v="10"/>
    <x v="21"/>
    <n v="54.42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0"/>
    <n v="17.96"/>
    <x v="0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"/>
    <n v="21.24"/>
    <x v="0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2"/>
    <n v="23.46"/>
    <x v="0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3"/>
    <n v="20.57"/>
    <x v="0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4"/>
    <n v="28.01"/>
    <x v="0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5"/>
    <n v="26.18"/>
    <x v="1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6"/>
    <n v="21.72"/>
    <x v="1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7"/>
    <n v="31.72"/>
    <x v="1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8"/>
    <n v="33.57"/>
    <x v="1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9"/>
    <n v="30.23"/>
    <x v="2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0"/>
    <n v="36.4"/>
    <x v="2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1"/>
    <n v="40.590000000000003"/>
    <x v="2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2"/>
    <n v="50.52"/>
    <x v="2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3"/>
    <n v="54.29"/>
    <x v="2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4"/>
    <n v="51.99"/>
    <x v="2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5"/>
    <n v="52.37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6"/>
    <n v="55.14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7"/>
    <n v="55.71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8"/>
    <n v="56.1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19"/>
    <n v="54.63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20"/>
    <n v="53.96"/>
    <x v="3"/>
    <x v="0"/>
    <n v="730"/>
  </r>
  <r>
    <s v="Soybean"/>
    <n v="80"/>
    <x v="1"/>
    <x v="1"/>
    <s v="Seed"/>
    <x v="2"/>
    <x v="2"/>
    <s v="dollars per planted acre"/>
    <s v="$ / planted ac"/>
    <n v="10"/>
    <x v="6"/>
    <n v="70"/>
    <s v="United States"/>
    <n v="10"/>
    <x v="21"/>
    <n v="53.33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0"/>
    <n v="18.72"/>
    <x v="0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"/>
    <n v="21.57"/>
    <x v="0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2"/>
    <n v="20.64"/>
    <x v="0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3"/>
    <n v="20.67"/>
    <x v="0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4"/>
    <n v="23.78"/>
    <x v="0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5"/>
    <n v="24.99"/>
    <x v="1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6"/>
    <n v="29.25"/>
    <x v="1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7"/>
    <n v="32.44"/>
    <x v="1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8"/>
    <n v="35.56"/>
    <x v="1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9"/>
    <n v="32.590000000000003"/>
    <x v="2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0"/>
    <n v="39.24"/>
    <x v="2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1"/>
    <n v="43.75"/>
    <x v="2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2"/>
    <n v="54.47"/>
    <x v="2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3"/>
    <n v="58.53"/>
    <x v="2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4"/>
    <n v="56.05"/>
    <x v="2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5"/>
    <n v="60.36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6"/>
    <n v="63.55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7"/>
    <n v="64.209999999999994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8"/>
    <n v="66.010000000000005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19"/>
    <n v="64.28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20"/>
    <n v="63.49"/>
    <x v="3"/>
    <x v="0"/>
    <n v="730"/>
  </r>
  <r>
    <s v="Soybean"/>
    <n v="80"/>
    <x v="1"/>
    <x v="1"/>
    <s v="Seed"/>
    <x v="2"/>
    <x v="2"/>
    <s v="dollars per planted acre"/>
    <s v="$ / planted ac"/>
    <n v="10"/>
    <x v="7"/>
    <n v="100"/>
    <s v="United States"/>
    <n v="10"/>
    <x v="21"/>
    <n v="62.75"/>
    <x v="3"/>
    <x v="0"/>
    <n v="73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0"/>
    <n v="8.9600000000000009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"/>
    <n v="8.9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2"/>
    <n v="8.85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3"/>
    <n v="8.85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4"/>
    <n v="9.52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5"/>
    <n v="7.3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6"/>
    <n v="7.97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7"/>
    <n v="8.6999999999999993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8"/>
    <n v="10.79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9"/>
    <n v="13.05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0"/>
    <n v="15.3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1"/>
    <n v="25.12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2"/>
    <n v="23.65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3"/>
    <n v="17.87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4"/>
    <n v="22.84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5"/>
    <n v="37.5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6"/>
    <n v="37.450000000000003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7"/>
    <n v="35.92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8"/>
    <n v="33.450000000000003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19"/>
    <n v="28.1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20"/>
    <n v="25.06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0"/>
    <n v="10"/>
    <s v="United States"/>
    <n v="10"/>
    <x v="21"/>
    <n v="24.0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0"/>
    <n v="8.2899999999999991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"/>
    <n v="8.220000000000000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2"/>
    <n v="8.2100000000000009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3"/>
    <n v="8.31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4"/>
    <n v="8.69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5"/>
    <n v="6.97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6"/>
    <n v="7.44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7"/>
    <n v="8.1999999999999993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8"/>
    <n v="10.2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9"/>
    <n v="12.73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0"/>
    <n v="14.2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1"/>
    <n v="23.98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2"/>
    <n v="22.0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3"/>
    <n v="16.88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4"/>
    <n v="22.37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5"/>
    <n v="37.7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6"/>
    <n v="36.97999999999999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7"/>
    <n v="35.53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8"/>
    <n v="32.9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19"/>
    <n v="27.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20"/>
    <n v="25.08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1"/>
    <n v="20"/>
    <s v="United States"/>
    <n v="10"/>
    <x v="21"/>
    <n v="24.0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0"/>
    <n v="15.4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"/>
    <n v="15.4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2"/>
    <n v="15.51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3"/>
    <n v="15.33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4"/>
    <n v="17.1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5"/>
    <n v="12.1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6"/>
    <n v="13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7"/>
    <n v="14.28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8"/>
    <n v="17.850000000000001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9"/>
    <n v="19.62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0"/>
    <n v="21.9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1"/>
    <n v="36.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2"/>
    <n v="33.93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3"/>
    <n v="26.02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4"/>
    <n v="34.47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5"/>
    <n v="52.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6"/>
    <n v="51.4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7"/>
    <n v="49.4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8"/>
    <n v="45.9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19"/>
    <n v="38.8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20"/>
    <n v="34.93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2"/>
    <n v="30"/>
    <s v="United States"/>
    <n v="10"/>
    <x v="21"/>
    <n v="33.4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0"/>
    <n v="6.02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"/>
    <n v="5.4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2"/>
    <n v="5.31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3"/>
    <n v="5.32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4"/>
    <n v="6.67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5"/>
    <n v="5.7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6"/>
    <n v="7.49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7"/>
    <n v="7.9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8"/>
    <n v="9.1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9"/>
    <n v="6.15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0"/>
    <n v="6.86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1"/>
    <n v="11.3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2"/>
    <n v="10.64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3"/>
    <n v="8.15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4"/>
    <n v="10.8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5"/>
    <n v="20.0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6"/>
    <n v="19.68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7"/>
    <n v="18.9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8"/>
    <n v="17.55999999999999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19"/>
    <n v="14.8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20"/>
    <n v="13.3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3"/>
    <n v="40"/>
    <s v="United States"/>
    <n v="10"/>
    <x v="21"/>
    <n v="12.8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0"/>
    <n v="4.7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"/>
    <n v="4.3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2"/>
    <n v="4.33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3"/>
    <n v="4.269999999999999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4"/>
    <n v="5.13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5"/>
    <n v="4.12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6"/>
    <n v="5.09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7"/>
    <n v="5.12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8"/>
    <n v="6.18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9"/>
    <n v="7.63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0"/>
    <n v="8.52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1"/>
    <n v="14.04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2"/>
    <n v="13.19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3"/>
    <n v="10.119999999999999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4"/>
    <n v="13.4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5"/>
    <n v="23.52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6"/>
    <n v="23.0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7"/>
    <n v="22.1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8"/>
    <n v="20.5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19"/>
    <n v="17.4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20"/>
    <n v="15.6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4"/>
    <n v="50"/>
    <s v="United States"/>
    <n v="10"/>
    <x v="21"/>
    <n v="15.0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0"/>
    <n v="20.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"/>
    <n v="20.4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2"/>
    <n v="20.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3"/>
    <n v="19.32999999999999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4"/>
    <n v="21.14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5"/>
    <n v="12.7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6"/>
    <n v="14.02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7"/>
    <n v="15.54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8"/>
    <n v="18.97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9"/>
    <n v="21.1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0"/>
    <n v="23.56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1"/>
    <n v="38.840000000000003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2"/>
    <n v="36.5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3"/>
    <n v="27.99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4"/>
    <n v="37.090000000000003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5"/>
    <n v="71.760000000000005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6"/>
    <n v="70.38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7"/>
    <n v="67.62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8"/>
    <n v="62.7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19"/>
    <n v="53.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20"/>
    <n v="47.7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5"/>
    <n v="60"/>
    <s v="United States"/>
    <n v="10"/>
    <x v="21"/>
    <n v="45.7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0"/>
    <n v="23.88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"/>
    <n v="23.57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2"/>
    <n v="22.3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3"/>
    <n v="22.4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4"/>
    <n v="26.55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5"/>
    <n v="12.09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6"/>
    <n v="12.57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7"/>
    <n v="14.0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8"/>
    <n v="17.11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9"/>
    <n v="34.76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0"/>
    <n v="38.79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1"/>
    <n v="63.95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2"/>
    <n v="60.1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3"/>
    <n v="46.09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4"/>
    <n v="61.07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5"/>
    <n v="72.86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6"/>
    <n v="71.45999999999999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7"/>
    <n v="68.66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8"/>
    <n v="63.7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19"/>
    <n v="53.9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20"/>
    <n v="48.4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6"/>
    <n v="70"/>
    <s v="United States"/>
    <n v="10"/>
    <x v="21"/>
    <n v="46.49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0"/>
    <n v="7.7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"/>
    <n v="7.93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2"/>
    <n v="8.0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3"/>
    <n v="7.72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4"/>
    <n v="8.2200000000000006"/>
    <x v="0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5"/>
    <n v="7.12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6"/>
    <n v="7.6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7"/>
    <n v="8.26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8"/>
    <n v="10.29"/>
    <x v="1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9"/>
    <n v="13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0"/>
    <n v="14.51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1"/>
    <n v="23.92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2"/>
    <n v="22.48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3"/>
    <n v="17.239999999999998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4"/>
    <n v="22.84"/>
    <x v="2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5"/>
    <n v="38.2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6"/>
    <n v="37.479999999999997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7"/>
    <n v="36.01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8"/>
    <n v="33.44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19"/>
    <n v="28.28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20"/>
    <n v="25.42"/>
    <x v="3"/>
    <x v="1"/>
    <n v="740"/>
  </r>
  <r>
    <s v="Soybean"/>
    <n v="80"/>
    <x v="1"/>
    <x v="1"/>
    <s v="Fertilizer ᵃ "/>
    <x v="3"/>
    <x v="3"/>
    <s v="dollars per planted acre"/>
    <s v="$ / planted ac"/>
    <n v="10"/>
    <x v="7"/>
    <n v="100"/>
    <s v="United States"/>
    <n v="10"/>
    <x v="21"/>
    <n v="24.37"/>
    <x v="3"/>
    <x v="1"/>
    <n v="74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0"/>
    <n v="26.37"/>
    <x v="0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"/>
    <n v="26.65"/>
    <x v="0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2"/>
    <n v="24.88"/>
    <x v="0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3"/>
    <n v="22.32"/>
    <x v="0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4"/>
    <n v="22.89"/>
    <x v="0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5"/>
    <n v="17.12"/>
    <x v="1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6"/>
    <n v="16.920000000000002"/>
    <x v="1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7"/>
    <n v="16.07"/>
    <x v="1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8"/>
    <n v="13.59"/>
    <x v="1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9"/>
    <n v="14.46"/>
    <x v="2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0"/>
    <n v="15"/>
    <x v="2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1"/>
    <n v="15.73"/>
    <x v="2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2"/>
    <n v="17.38"/>
    <x v="2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3"/>
    <n v="17.04"/>
    <x v="2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4"/>
    <n v="16.420000000000002"/>
    <x v="2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5"/>
    <n v="26.38"/>
    <x v="3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6"/>
    <n v="27.63"/>
    <x v="3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7"/>
    <n v="28"/>
    <x v="3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8"/>
    <n v="26.96"/>
    <x v="3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19"/>
    <n v="27.64"/>
    <x v="3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20"/>
    <n v="26.83"/>
    <x v="3"/>
    <x v="0"/>
    <n v="770"/>
  </r>
  <r>
    <s v="Soybean"/>
    <n v="80"/>
    <x v="1"/>
    <x v="1"/>
    <s v="Chemicals"/>
    <x v="4"/>
    <x v="4"/>
    <s v="dollars per planted acre"/>
    <s v="$ / planted ac"/>
    <n v="10"/>
    <x v="0"/>
    <n v="10"/>
    <s v="United States"/>
    <n v="10"/>
    <x v="21"/>
    <n v="26.59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0"/>
    <n v="26.85"/>
    <x v="0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"/>
    <n v="27.31"/>
    <x v="0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2"/>
    <n v="25.56"/>
    <x v="0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3"/>
    <n v="22.58"/>
    <x v="0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4"/>
    <n v="22.82"/>
    <x v="0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5"/>
    <n v="17.29"/>
    <x v="1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6"/>
    <n v="17.399999999999999"/>
    <x v="1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7"/>
    <n v="16.61"/>
    <x v="1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8"/>
    <n v="14"/>
    <x v="1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9"/>
    <n v="14.38"/>
    <x v="2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0"/>
    <n v="14.61"/>
    <x v="2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1"/>
    <n v="17.100000000000001"/>
    <x v="2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2"/>
    <n v="16.87"/>
    <x v="2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3"/>
    <n v="16.64"/>
    <x v="2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4"/>
    <n v="16.3"/>
    <x v="2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5"/>
    <n v="26.31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6"/>
    <n v="27.32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7"/>
    <n v="27.83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8"/>
    <n v="26.73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19"/>
    <n v="27.59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20"/>
    <n v="26.87"/>
    <x v="3"/>
    <x v="0"/>
    <n v="770"/>
  </r>
  <r>
    <s v="Soybean"/>
    <n v="80"/>
    <x v="1"/>
    <x v="1"/>
    <s v="Chemicals"/>
    <x v="4"/>
    <x v="4"/>
    <s v="dollars per planted acre"/>
    <s v="$ / planted ac"/>
    <n v="10"/>
    <x v="1"/>
    <n v="20"/>
    <s v="United States"/>
    <n v="10"/>
    <x v="21"/>
    <n v="26.63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0"/>
    <n v="25.7"/>
    <x v="0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"/>
    <n v="25.78"/>
    <x v="0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2"/>
    <n v="25.87"/>
    <x v="0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3"/>
    <n v="25.07"/>
    <x v="0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4"/>
    <n v="26.51"/>
    <x v="0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5"/>
    <n v="17.29"/>
    <x v="1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6"/>
    <n v="16.96"/>
    <x v="1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7"/>
    <n v="16.73"/>
    <x v="1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8"/>
    <n v="13.64"/>
    <x v="1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9"/>
    <n v="13.92"/>
    <x v="2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0"/>
    <n v="14.14"/>
    <x v="2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1"/>
    <n v="14.8"/>
    <x v="2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2"/>
    <n v="16.329999999999998"/>
    <x v="2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3"/>
    <n v="16.11"/>
    <x v="2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4"/>
    <n v="15.78"/>
    <x v="2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5"/>
    <n v="21.3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6"/>
    <n v="22.12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7"/>
    <n v="22.53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8"/>
    <n v="21.64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19"/>
    <n v="22.34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20"/>
    <n v="21.75"/>
    <x v="3"/>
    <x v="0"/>
    <n v="770"/>
  </r>
  <r>
    <s v="Soybean"/>
    <n v="80"/>
    <x v="1"/>
    <x v="1"/>
    <s v="Chemicals"/>
    <x v="4"/>
    <x v="4"/>
    <s v="dollars per planted acre"/>
    <s v="$ / planted ac"/>
    <n v="10"/>
    <x v="2"/>
    <n v="30"/>
    <s v="United States"/>
    <n v="10"/>
    <x v="21"/>
    <n v="21.56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0"/>
    <n v="20.420000000000002"/>
    <x v="0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"/>
    <n v="20.239999999999998"/>
    <x v="0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2"/>
    <n v="19.21"/>
    <x v="0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3"/>
    <n v="16.64"/>
    <x v="0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4"/>
    <n v="16.73"/>
    <x v="0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5"/>
    <n v="14.47"/>
    <x v="1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6"/>
    <n v="13.83"/>
    <x v="1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7"/>
    <n v="12.78"/>
    <x v="1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8"/>
    <n v="11.4"/>
    <x v="1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9"/>
    <n v="12.47"/>
    <x v="2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0"/>
    <n v="12.67"/>
    <x v="2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1"/>
    <n v="13.26"/>
    <x v="2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2"/>
    <n v="14.63"/>
    <x v="2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3"/>
    <n v="14.43"/>
    <x v="2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4"/>
    <n v="14.14"/>
    <x v="2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5"/>
    <n v="16.07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6"/>
    <n v="16.690000000000001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7"/>
    <n v="17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8"/>
    <n v="16.329999999999998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19"/>
    <n v="16.86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20"/>
    <n v="16.420000000000002"/>
    <x v="3"/>
    <x v="0"/>
    <n v="770"/>
  </r>
  <r>
    <s v="Soybean"/>
    <n v="80"/>
    <x v="1"/>
    <x v="1"/>
    <s v="Chemicals"/>
    <x v="4"/>
    <x v="4"/>
    <s v="dollars per planted acre"/>
    <s v="$ / planted ac"/>
    <n v="10"/>
    <x v="3"/>
    <n v="40"/>
    <s v="United States"/>
    <n v="10"/>
    <x v="21"/>
    <n v="16.27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0"/>
    <n v="24.41"/>
    <x v="0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"/>
    <n v="24.31"/>
    <x v="0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2"/>
    <n v="23.02"/>
    <x v="0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3"/>
    <n v="20.38"/>
    <x v="0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4"/>
    <n v="21.52"/>
    <x v="0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5"/>
    <n v="15.25"/>
    <x v="1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6"/>
    <n v="14.53"/>
    <x v="1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7"/>
    <n v="13.58"/>
    <x v="1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8"/>
    <n v="10.54"/>
    <x v="1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9"/>
    <n v="12.94"/>
    <x v="2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0"/>
    <n v="13.14"/>
    <x v="2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1"/>
    <n v="13.76"/>
    <x v="2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2"/>
    <n v="15.18"/>
    <x v="2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3"/>
    <n v="14.98"/>
    <x v="2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4"/>
    <n v="14.67"/>
    <x v="2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5"/>
    <n v="26.33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6"/>
    <n v="27.34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7"/>
    <n v="27.85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8"/>
    <n v="26.75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19"/>
    <n v="27.61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20"/>
    <n v="26.89"/>
    <x v="3"/>
    <x v="0"/>
    <n v="770"/>
  </r>
  <r>
    <s v="Soybean"/>
    <n v="80"/>
    <x v="1"/>
    <x v="1"/>
    <s v="Chemicals"/>
    <x v="4"/>
    <x v="4"/>
    <s v="dollars per planted acre"/>
    <s v="$ / planted ac"/>
    <n v="10"/>
    <x v="4"/>
    <n v="50"/>
    <s v="United States"/>
    <n v="10"/>
    <x v="21"/>
    <n v="26.65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0"/>
    <n v="24.75"/>
    <x v="0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"/>
    <n v="25.64"/>
    <x v="0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2"/>
    <n v="23.86"/>
    <x v="0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3"/>
    <n v="21.93"/>
    <x v="0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4"/>
    <n v="24.13"/>
    <x v="0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5"/>
    <n v="16.52"/>
    <x v="1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6"/>
    <n v="15.79"/>
    <x v="1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7"/>
    <n v="14.42"/>
    <x v="1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8"/>
    <n v="13.49"/>
    <x v="1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9"/>
    <n v="11.49"/>
    <x v="2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0"/>
    <n v="11.67"/>
    <x v="2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1"/>
    <n v="12.21"/>
    <x v="2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2"/>
    <n v="13.48"/>
    <x v="2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3"/>
    <n v="13.3"/>
    <x v="2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4"/>
    <n v="13.03"/>
    <x v="2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5"/>
    <n v="21.92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6"/>
    <n v="22.76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7"/>
    <n v="23.18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8"/>
    <n v="22.27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19"/>
    <n v="22.99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20"/>
    <n v="22.39"/>
    <x v="3"/>
    <x v="0"/>
    <n v="770"/>
  </r>
  <r>
    <s v="Soybean"/>
    <n v="80"/>
    <x v="1"/>
    <x v="1"/>
    <s v="Chemicals"/>
    <x v="4"/>
    <x v="4"/>
    <s v="dollars per planted acre"/>
    <s v="$ / planted ac"/>
    <n v="10"/>
    <x v="5"/>
    <n v="60"/>
    <s v="United States"/>
    <n v="10"/>
    <x v="21"/>
    <n v="22.19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0"/>
    <n v="25.43"/>
    <x v="0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"/>
    <n v="24.71"/>
    <x v="0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2"/>
    <n v="20.98"/>
    <x v="0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3"/>
    <n v="19.89"/>
    <x v="0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4"/>
    <n v="22.59"/>
    <x v="0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5"/>
    <n v="17.97"/>
    <x v="1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6"/>
    <n v="18.2"/>
    <x v="1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7"/>
    <n v="16.059999999999999"/>
    <x v="1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8"/>
    <n v="14.29"/>
    <x v="1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9"/>
    <n v="15.75"/>
    <x v="2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0"/>
    <n v="16"/>
    <x v="2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1"/>
    <n v="16.739999999999998"/>
    <x v="2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2"/>
    <n v="18.48"/>
    <x v="2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3"/>
    <n v="18.23"/>
    <x v="2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4"/>
    <n v="17.86"/>
    <x v="2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5"/>
    <n v="35.93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6"/>
    <n v="37.31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7"/>
    <n v="38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8"/>
    <n v="36.51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19"/>
    <n v="37.69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20"/>
    <n v="36.700000000000003"/>
    <x v="3"/>
    <x v="0"/>
    <n v="770"/>
  </r>
  <r>
    <s v="Soybean"/>
    <n v="80"/>
    <x v="1"/>
    <x v="1"/>
    <s v="Chemicals"/>
    <x v="4"/>
    <x v="4"/>
    <s v="dollars per planted acre"/>
    <s v="$ / planted ac"/>
    <n v="10"/>
    <x v="6"/>
    <n v="70"/>
    <s v="United States"/>
    <n v="10"/>
    <x v="21"/>
    <n v="36.369999999999997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0"/>
    <n v="26.13"/>
    <x v="0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"/>
    <n v="25.81"/>
    <x v="0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2"/>
    <n v="22.75"/>
    <x v="0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3"/>
    <n v="21.5"/>
    <x v="0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4"/>
    <n v="22.81"/>
    <x v="0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5"/>
    <n v="19.670000000000002"/>
    <x v="1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6"/>
    <n v="18.059999999999999"/>
    <x v="1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7"/>
    <n v="17.39"/>
    <x v="1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8"/>
    <n v="15.07"/>
    <x v="1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9"/>
    <n v="18.57"/>
    <x v="2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0"/>
    <n v="18.86"/>
    <x v="2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1"/>
    <n v="19.739999999999998"/>
    <x v="2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2"/>
    <n v="21.79"/>
    <x v="2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3"/>
    <n v="21.49"/>
    <x v="2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4"/>
    <n v="21.06"/>
    <x v="2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5"/>
    <n v="40.64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6"/>
    <n v="42.2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7"/>
    <n v="42.98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8"/>
    <n v="41.29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19"/>
    <n v="42.62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20"/>
    <n v="41.5"/>
    <x v="3"/>
    <x v="0"/>
    <n v="770"/>
  </r>
  <r>
    <s v="Soybean"/>
    <n v="80"/>
    <x v="1"/>
    <x v="1"/>
    <s v="Chemicals"/>
    <x v="4"/>
    <x v="4"/>
    <s v="dollars per planted acre"/>
    <s v="$ / planted ac"/>
    <n v="10"/>
    <x v="7"/>
    <n v="100"/>
    <s v="United States"/>
    <n v="10"/>
    <x v="21"/>
    <n v="41.13"/>
    <x v="3"/>
    <x v="0"/>
    <n v="77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0"/>
    <n v="5.85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"/>
    <n v="5.8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2"/>
    <n v="5.86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3"/>
    <n v="5.9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4"/>
    <n v="6.1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5"/>
    <n v="6.16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6"/>
    <n v="6.32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7"/>
    <n v="6.38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8"/>
    <n v="6.67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9"/>
    <n v="6.0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0"/>
    <n v="6.5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1"/>
    <n v="6.56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2"/>
    <n v="7.17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3"/>
    <n v="7.23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4"/>
    <n v="7.1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5"/>
    <n v="9.4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6"/>
    <n v="9.76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7"/>
    <n v="10.029999999999999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8"/>
    <n v="10.47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19"/>
    <n v="10.6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20"/>
    <n v="10.3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0"/>
    <n v="10"/>
    <s v="United States"/>
    <n v="10"/>
    <x v="21"/>
    <n v="10.5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0"/>
    <n v="5.9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"/>
    <n v="5.9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2"/>
    <n v="5.9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3"/>
    <n v="5.99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4"/>
    <n v="6.1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5"/>
    <n v="5.3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6"/>
    <n v="5.48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7"/>
    <n v="5.53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8"/>
    <n v="5.7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9"/>
    <n v="5.27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0"/>
    <n v="5.54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1"/>
    <n v="6.33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2"/>
    <n v="6.03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3"/>
    <n v="6.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4"/>
    <n v="6.22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5"/>
    <n v="8.65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6"/>
    <n v="8.99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7"/>
    <n v="9.2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8"/>
    <n v="9.6300000000000008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19"/>
    <n v="9.789999999999999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20"/>
    <n v="9.5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1"/>
    <n v="20"/>
    <s v="United States"/>
    <n v="10"/>
    <x v="21"/>
    <n v="9.6999999999999993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0"/>
    <n v="5.89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"/>
    <n v="6.01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2"/>
    <n v="6.31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3"/>
    <n v="6.51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4"/>
    <n v="6.8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5"/>
    <n v="8.99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6"/>
    <n v="9.3699999999999992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7"/>
    <n v="9.36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8"/>
    <n v="9.81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9"/>
    <n v="8.17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0"/>
    <n v="8.5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1"/>
    <n v="8.5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2"/>
    <n v="9.35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3"/>
    <n v="9.4600000000000009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4"/>
    <n v="9.64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5"/>
    <n v="11.75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6"/>
    <n v="12.2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7"/>
    <n v="12.56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8"/>
    <n v="13.09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19"/>
    <n v="13.3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20"/>
    <n v="12.9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2"/>
    <n v="30"/>
    <s v="United States"/>
    <n v="10"/>
    <x v="21"/>
    <n v="13.18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0"/>
    <n v="6.3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"/>
    <n v="6.35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2"/>
    <n v="6.46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3"/>
    <n v="6.59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4"/>
    <n v="6.7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5"/>
    <n v="5.72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6"/>
    <n v="5.6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7"/>
    <n v="5.43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8"/>
    <n v="5.9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9"/>
    <n v="5.05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0"/>
    <n v="5.3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1"/>
    <n v="5.3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2"/>
    <n v="5.7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3"/>
    <n v="5.85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4"/>
    <n v="5.96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5"/>
    <n v="8.369999999999999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6"/>
    <n v="8.6999999999999993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7"/>
    <n v="8.9499999999999993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8"/>
    <n v="9.33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19"/>
    <n v="9.49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20"/>
    <n v="9.23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3"/>
    <n v="40"/>
    <s v="United States"/>
    <n v="10"/>
    <x v="21"/>
    <n v="9.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0"/>
    <n v="6.48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"/>
    <n v="6.48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2"/>
    <n v="6.48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3"/>
    <n v="6.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4"/>
    <n v="6.67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5"/>
    <n v="7.2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6"/>
    <n v="7.43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7"/>
    <n v="7.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8"/>
    <n v="7.78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9"/>
    <n v="7.69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0"/>
    <n v="8.0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1"/>
    <n v="8.0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2"/>
    <n v="8.8000000000000007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3"/>
    <n v="8.9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4"/>
    <n v="9.07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5"/>
    <n v="9.289999999999999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6"/>
    <n v="9.65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7"/>
    <n v="9.9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8"/>
    <n v="10.3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19"/>
    <n v="10.5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20"/>
    <n v="10.22000000000000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4"/>
    <n v="50"/>
    <s v="United States"/>
    <n v="10"/>
    <x v="21"/>
    <n v="10.4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0"/>
    <n v="3.66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"/>
    <n v="3.6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2"/>
    <n v="3.58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3"/>
    <n v="3.72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4"/>
    <n v="3.9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5"/>
    <n v="6.16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6"/>
    <n v="6.31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7"/>
    <n v="6.4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8"/>
    <n v="6.6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9"/>
    <n v="7.24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0"/>
    <n v="7.6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1"/>
    <n v="7.6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2"/>
    <n v="8.2799999999999994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3"/>
    <n v="8.39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4"/>
    <n v="8.539999999999999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5"/>
    <n v="7.56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6"/>
    <n v="7.86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7"/>
    <n v="8.08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8"/>
    <n v="8.4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19"/>
    <n v="8.56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20"/>
    <n v="8.3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5"/>
    <n v="60"/>
    <s v="United States"/>
    <n v="10"/>
    <x v="21"/>
    <n v="8.48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0"/>
    <n v="5.99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"/>
    <n v="5.68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2"/>
    <n v="5.59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3"/>
    <n v="5.66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4"/>
    <n v="5.5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5"/>
    <n v="10.8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6"/>
    <n v="11.15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7"/>
    <n v="11.23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8"/>
    <n v="11.71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9"/>
    <n v="5.34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0"/>
    <n v="5.6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1"/>
    <n v="5.6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2"/>
    <n v="6.1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3"/>
    <n v="6.19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4"/>
    <n v="6.3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5"/>
    <n v="7.98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6"/>
    <n v="8.289999999999999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7"/>
    <n v="8.52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8"/>
    <n v="8.8800000000000008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19"/>
    <n v="9.029999999999999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20"/>
    <n v="8.779999999999999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6"/>
    <n v="70"/>
    <s v="United States"/>
    <n v="10"/>
    <x v="21"/>
    <n v="8.94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0"/>
    <n v="5.0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"/>
    <n v="4.980000000000000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2"/>
    <n v="5.01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3"/>
    <n v="4.9800000000000004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4"/>
    <n v="5.03"/>
    <x v="0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5"/>
    <n v="7.87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6"/>
    <n v="8.11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7"/>
    <n v="8.1999999999999993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8"/>
    <n v="8.48"/>
    <x v="1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9"/>
    <n v="9.15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0"/>
    <n v="9.6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1"/>
    <n v="9.61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2"/>
    <n v="10.47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3"/>
    <n v="10.6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4"/>
    <n v="10.8"/>
    <x v="2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5"/>
    <n v="14.17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6"/>
    <n v="14.73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7"/>
    <n v="15.15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8"/>
    <n v="15.79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19"/>
    <n v="16.05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20"/>
    <n v="15.61"/>
    <x v="3"/>
    <x v="0"/>
    <n v="830"/>
  </r>
  <r>
    <s v="Soybean"/>
    <n v="80"/>
    <x v="1"/>
    <x v="1"/>
    <s v="Custom services"/>
    <x v="5"/>
    <x v="5"/>
    <s v="dollars per planted acre"/>
    <s v="$ / planted ac"/>
    <n v="10"/>
    <x v="7"/>
    <n v="100"/>
    <s v="United States"/>
    <n v="10"/>
    <x v="21"/>
    <n v="15.9"/>
    <x v="3"/>
    <x v="0"/>
    <n v="83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0"/>
    <n v="7.14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"/>
    <n v="5.9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2"/>
    <n v="5.9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3"/>
    <n v="8.6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4"/>
    <n v="8.69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5"/>
    <n v="6.98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6"/>
    <n v="8.73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7"/>
    <n v="9.44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8"/>
    <n v="13.62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9"/>
    <n v="13.51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0"/>
    <n v="15.2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1"/>
    <n v="20.2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2"/>
    <n v="13.4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3"/>
    <n v="16.809999999999999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4"/>
    <n v="20.9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5"/>
    <n v="21.2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6"/>
    <n v="21.15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7"/>
    <n v="21.12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8"/>
    <n v="13.7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19"/>
    <n v="11.89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20"/>
    <n v="13.5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0"/>
    <n v="10"/>
    <s v="United States"/>
    <n v="10"/>
    <x v="21"/>
    <n v="14.5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0"/>
    <n v="6.42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"/>
    <n v="5.35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2"/>
    <n v="5.32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3"/>
    <n v="7.78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4"/>
    <n v="7.76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5"/>
    <n v="5.72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6"/>
    <n v="7.1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7"/>
    <n v="7.72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8"/>
    <n v="11.14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9"/>
    <n v="10.99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0"/>
    <n v="12.14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1"/>
    <n v="16.55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2"/>
    <n v="10.4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3"/>
    <n v="13.0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4"/>
    <n v="16.649999999999999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5"/>
    <n v="16.899999999999999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6"/>
    <n v="16.73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7"/>
    <n v="16.73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8"/>
    <n v="10.85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19"/>
    <n v="9.5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20"/>
    <n v="10.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1"/>
    <n v="20"/>
    <s v="United States"/>
    <n v="10"/>
    <x v="21"/>
    <n v="11.6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0"/>
    <n v="7.15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"/>
    <n v="6.28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2"/>
    <n v="6.23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3"/>
    <n v="8.9499999999999993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4"/>
    <n v="8.82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5"/>
    <n v="8.27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6"/>
    <n v="10.3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7"/>
    <n v="10.73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8"/>
    <n v="15.1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9"/>
    <n v="12.45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0"/>
    <n v="13.75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1"/>
    <n v="17.920000000000002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2"/>
    <n v="11.8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3"/>
    <n v="14.79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4"/>
    <n v="18.8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5"/>
    <n v="17.510000000000002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6"/>
    <n v="17.32999999999999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7"/>
    <n v="17.32999999999999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8"/>
    <n v="11.2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19"/>
    <n v="9.8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20"/>
    <n v="11.19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2"/>
    <n v="30"/>
    <s v="United States"/>
    <n v="10"/>
    <x v="21"/>
    <n v="12.02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0"/>
    <n v="8.26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"/>
    <n v="7.15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2"/>
    <n v="6.8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3"/>
    <n v="9.93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4"/>
    <n v="10.14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5"/>
    <n v="6.4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6"/>
    <n v="7.84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7"/>
    <n v="8.470000000000000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8"/>
    <n v="12.55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9"/>
    <n v="10.119999999999999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0"/>
    <n v="11.1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1"/>
    <n v="14.57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2"/>
    <n v="9.65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3"/>
    <n v="12.0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4"/>
    <n v="15.3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5"/>
    <n v="18.3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6"/>
    <n v="18.1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7"/>
    <n v="18.1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8"/>
    <n v="11.79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19"/>
    <n v="10.32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20"/>
    <n v="11.73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3"/>
    <n v="40"/>
    <s v="United States"/>
    <n v="10"/>
    <x v="21"/>
    <n v="12.6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0"/>
    <n v="9.7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"/>
    <n v="8.35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2"/>
    <n v="8.06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3"/>
    <n v="10.53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4"/>
    <n v="12.08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5"/>
    <n v="17.21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6"/>
    <n v="21.09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7"/>
    <n v="23.03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8"/>
    <n v="31.69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9"/>
    <n v="26.34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0"/>
    <n v="29.1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1"/>
    <n v="37.909999999999997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2"/>
    <n v="25.1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3"/>
    <n v="31.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4"/>
    <n v="39.9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5"/>
    <n v="26.35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6"/>
    <n v="26.0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7"/>
    <n v="26.0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8"/>
    <n v="16.920000000000002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19"/>
    <n v="14.81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20"/>
    <n v="16.82999999999999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4"/>
    <n v="50"/>
    <s v="United States"/>
    <n v="10"/>
    <x v="21"/>
    <n v="18.07999999999999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0"/>
    <n v="5.73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"/>
    <n v="4.25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2"/>
    <n v="4.0199999999999996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3"/>
    <n v="6.48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4"/>
    <n v="6.6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5"/>
    <n v="5.24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6"/>
    <n v="7.13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7"/>
    <n v="7.6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8"/>
    <n v="11.0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9"/>
    <n v="11.6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0"/>
    <n v="12.8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1"/>
    <n v="16.7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2"/>
    <n v="11.12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3"/>
    <n v="13.8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4"/>
    <n v="17.6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5"/>
    <n v="17.23999999999999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6"/>
    <n v="17.0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7"/>
    <n v="17.0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8"/>
    <n v="11.0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19"/>
    <n v="9.69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20"/>
    <n v="11.01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5"/>
    <n v="60"/>
    <s v="United States"/>
    <n v="10"/>
    <x v="21"/>
    <n v="11.83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0"/>
    <n v="6.61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"/>
    <n v="6.3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2"/>
    <n v="5.21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3"/>
    <n v="9.5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4"/>
    <n v="9.26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5"/>
    <n v="4.4800000000000004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6"/>
    <n v="6.21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7"/>
    <n v="6.2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8"/>
    <n v="8.59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9"/>
    <n v="9.9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0"/>
    <n v="11.02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1"/>
    <n v="14.3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2"/>
    <n v="9.52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3"/>
    <n v="11.8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4"/>
    <n v="15.12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5"/>
    <n v="17.0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6"/>
    <n v="16.8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7"/>
    <n v="16.8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8"/>
    <n v="10.9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19"/>
    <n v="9.5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20"/>
    <n v="10.89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6"/>
    <n v="70"/>
    <s v="United States"/>
    <n v="10"/>
    <x v="21"/>
    <n v="11.7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0"/>
    <n v="10.08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"/>
    <n v="8.2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2"/>
    <n v="8.2899999999999991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3"/>
    <n v="12.57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4"/>
    <n v="13.71"/>
    <x v="0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5"/>
    <n v="8.99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6"/>
    <n v="11.77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7"/>
    <n v="12.26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8"/>
    <n v="18.440000000000001"/>
    <x v="1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9"/>
    <n v="26.66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0"/>
    <n v="29.45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1"/>
    <n v="38.369999999999997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2"/>
    <n v="25.4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3"/>
    <n v="31.68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4"/>
    <n v="40.380000000000003"/>
    <x v="2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5"/>
    <n v="52.0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6"/>
    <n v="51.55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7"/>
    <n v="51.55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8"/>
    <n v="33.44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19"/>
    <n v="29.2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20"/>
    <n v="33.28"/>
    <x v="3"/>
    <x v="0"/>
    <n v="840"/>
  </r>
  <r>
    <s v="Soybean"/>
    <n v="80"/>
    <x v="1"/>
    <x v="1"/>
    <s v="Fuel, lube, and electricity"/>
    <x v="6"/>
    <x v="6"/>
    <s v="dollars per planted acre"/>
    <s v="$ / planted ac"/>
    <n v="10"/>
    <x v="7"/>
    <n v="100"/>
    <s v="United States"/>
    <n v="10"/>
    <x v="21"/>
    <n v="35.75"/>
    <x v="3"/>
    <x v="0"/>
    <n v="84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0"/>
    <n v="9.4"/>
    <x v="0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"/>
    <n v="9.59"/>
    <x v="0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2"/>
    <n v="9.7899999999999991"/>
    <x v="0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3"/>
    <n v="10.17"/>
    <x v="0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4"/>
    <n v="10.59"/>
    <x v="0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5"/>
    <n v="9.76"/>
    <x v="1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6"/>
    <n v="9.77"/>
    <x v="1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7"/>
    <n v="10.7"/>
    <x v="1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8"/>
    <n v="11.29"/>
    <x v="1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9"/>
    <n v="11.8"/>
    <x v="2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0"/>
    <n v="12.36"/>
    <x v="2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1"/>
    <n v="12.91"/>
    <x v="2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2"/>
    <n v="13.22"/>
    <x v="2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3"/>
    <n v="13.46"/>
    <x v="2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4"/>
    <n v="13.68"/>
    <x v="2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5"/>
    <n v="22.23"/>
    <x v="3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6"/>
    <n v="22.33"/>
    <x v="3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7"/>
    <n v="22.83"/>
    <x v="3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8"/>
    <n v="22.91"/>
    <x v="3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19"/>
    <n v="22.82"/>
    <x v="3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20"/>
    <n v="23.34"/>
    <x v="3"/>
    <x v="0"/>
    <n v="850"/>
  </r>
  <r>
    <s v="Soybean"/>
    <n v="80"/>
    <x v="1"/>
    <x v="1"/>
    <s v="Repairs"/>
    <x v="7"/>
    <x v="7"/>
    <s v="dollars per planted acre"/>
    <s v="$ / planted ac"/>
    <n v="10"/>
    <x v="0"/>
    <n v="10"/>
    <s v="United States"/>
    <n v="10"/>
    <x v="21"/>
    <n v="24.09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0"/>
    <n v="8.64"/>
    <x v="0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"/>
    <n v="8.91"/>
    <x v="0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2"/>
    <n v="9.11"/>
    <x v="0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3"/>
    <n v="9.5"/>
    <x v="0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4"/>
    <n v="9.84"/>
    <x v="0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5"/>
    <n v="8.6199999999999992"/>
    <x v="1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6"/>
    <n v="8.73"/>
    <x v="1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7"/>
    <n v="9.64"/>
    <x v="1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8"/>
    <n v="10.08"/>
    <x v="1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9"/>
    <n v="10.59"/>
    <x v="2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0"/>
    <n v="10.88"/>
    <x v="2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1"/>
    <n v="12.49"/>
    <x v="2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2"/>
    <n v="11.47"/>
    <x v="2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3"/>
    <n v="11.69"/>
    <x v="2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4"/>
    <n v="12.12"/>
    <x v="2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5"/>
    <n v="18.91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6"/>
    <n v="19.09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7"/>
    <n v="19.46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8"/>
    <n v="19.48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19"/>
    <n v="19.52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20"/>
    <n v="19.87"/>
    <x v="3"/>
    <x v="0"/>
    <n v="850"/>
  </r>
  <r>
    <s v="Soybean"/>
    <n v="80"/>
    <x v="1"/>
    <x v="1"/>
    <s v="Repairs"/>
    <x v="7"/>
    <x v="7"/>
    <s v="dollars per planted acre"/>
    <s v="$ / planted ac"/>
    <n v="10"/>
    <x v="1"/>
    <n v="20"/>
    <s v="United States"/>
    <n v="10"/>
    <x v="21"/>
    <n v="20.55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0"/>
    <n v="9.01"/>
    <x v="0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"/>
    <n v="9.39"/>
    <x v="0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2"/>
    <n v="9.39"/>
    <x v="0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3"/>
    <n v="9.7899999999999991"/>
    <x v="0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4"/>
    <n v="10.25"/>
    <x v="0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5"/>
    <n v="11.28"/>
    <x v="1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6"/>
    <n v="11.14"/>
    <x v="1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7"/>
    <n v="11.83"/>
    <x v="1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8"/>
    <n v="12.82"/>
    <x v="1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9"/>
    <n v="10.53"/>
    <x v="2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0"/>
    <n v="10.82"/>
    <x v="2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1"/>
    <n v="11.18"/>
    <x v="2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2"/>
    <n v="11.4"/>
    <x v="2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3"/>
    <n v="11.62"/>
    <x v="2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4"/>
    <n v="12.06"/>
    <x v="2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5"/>
    <n v="19.07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6"/>
    <n v="19.260000000000002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7"/>
    <n v="19.63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8"/>
    <n v="19.649999999999999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19"/>
    <n v="19.690000000000001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20"/>
    <n v="20.04"/>
    <x v="3"/>
    <x v="0"/>
    <n v="850"/>
  </r>
  <r>
    <s v="Soybean"/>
    <n v="80"/>
    <x v="1"/>
    <x v="1"/>
    <s v="Repairs"/>
    <x v="7"/>
    <x v="7"/>
    <s v="dollars per planted acre"/>
    <s v="$ / planted ac"/>
    <n v="10"/>
    <x v="2"/>
    <n v="30"/>
    <s v="United States"/>
    <n v="10"/>
    <x v="21"/>
    <n v="20.73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0"/>
    <n v="9.48"/>
    <x v="0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"/>
    <n v="9.93"/>
    <x v="0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2"/>
    <n v="10.029999999999999"/>
    <x v="0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3"/>
    <n v="10.52"/>
    <x v="0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4"/>
    <n v="10.78"/>
    <x v="0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5"/>
    <n v="9.2899999999999991"/>
    <x v="1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6"/>
    <n v="9.6999999999999993"/>
    <x v="1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7"/>
    <n v="10.44"/>
    <x v="1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8"/>
    <n v="11.15"/>
    <x v="1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9"/>
    <n v="12.27"/>
    <x v="2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0"/>
    <n v="12.61"/>
    <x v="2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1"/>
    <n v="13.03"/>
    <x v="2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2"/>
    <n v="13.29"/>
    <x v="2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3"/>
    <n v="13.54"/>
    <x v="2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4"/>
    <n v="14.05"/>
    <x v="2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5"/>
    <n v="26.94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6"/>
    <n v="27.2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7"/>
    <n v="27.72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8"/>
    <n v="27.75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19"/>
    <n v="27.8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20"/>
    <n v="28.3"/>
    <x v="3"/>
    <x v="0"/>
    <n v="850"/>
  </r>
  <r>
    <s v="Soybean"/>
    <n v="80"/>
    <x v="1"/>
    <x v="1"/>
    <s v="Repairs"/>
    <x v="7"/>
    <x v="7"/>
    <s v="dollars per planted acre"/>
    <s v="$ / planted ac"/>
    <n v="10"/>
    <x v="3"/>
    <n v="40"/>
    <s v="United States"/>
    <n v="10"/>
    <x v="21"/>
    <n v="29.27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0"/>
    <n v="11.74"/>
    <x v="0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"/>
    <n v="11.76"/>
    <x v="0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2"/>
    <n v="11.94"/>
    <x v="0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3"/>
    <n v="11.68"/>
    <x v="0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4"/>
    <n v="13.01"/>
    <x v="0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5"/>
    <n v="12.94"/>
    <x v="1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6"/>
    <n v="13.12"/>
    <x v="1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7"/>
    <n v="14.09"/>
    <x v="1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8"/>
    <n v="14.85"/>
    <x v="1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9"/>
    <n v="16.850000000000001"/>
    <x v="2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0"/>
    <n v="17.309999999999999"/>
    <x v="2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1"/>
    <n v="17.899999999999999"/>
    <x v="2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2"/>
    <n v="18.239999999999998"/>
    <x v="2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3"/>
    <n v="18.59"/>
    <x v="2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4"/>
    <n v="19.29"/>
    <x v="2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5"/>
    <n v="26.44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6"/>
    <n v="26.7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7"/>
    <n v="27.21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8"/>
    <n v="27.24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19"/>
    <n v="27.29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20"/>
    <n v="27.78"/>
    <x v="3"/>
    <x v="0"/>
    <n v="850"/>
  </r>
  <r>
    <s v="Soybean"/>
    <n v="80"/>
    <x v="1"/>
    <x v="1"/>
    <s v="Repairs"/>
    <x v="7"/>
    <x v="7"/>
    <s v="dollars per planted acre"/>
    <s v="$ / planted ac"/>
    <n v="10"/>
    <x v="4"/>
    <n v="50"/>
    <s v="United States"/>
    <n v="10"/>
    <x v="21"/>
    <n v="28.73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0"/>
    <n v="7.75"/>
    <x v="0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"/>
    <n v="7.88"/>
    <x v="0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2"/>
    <n v="7.59"/>
    <x v="0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3"/>
    <n v="8.23"/>
    <x v="0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4"/>
    <n v="8.59"/>
    <x v="0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5"/>
    <n v="7.85"/>
    <x v="1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6"/>
    <n v="7.86"/>
    <x v="1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7"/>
    <n v="8.48"/>
    <x v="1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8"/>
    <n v="9.18"/>
    <x v="1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9"/>
    <n v="10.5"/>
    <x v="2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0"/>
    <n v="10.79"/>
    <x v="2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1"/>
    <n v="11.15"/>
    <x v="2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2"/>
    <n v="11.37"/>
    <x v="2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3"/>
    <n v="11.59"/>
    <x v="2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4"/>
    <n v="12.02"/>
    <x v="2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5"/>
    <n v="16.72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6"/>
    <n v="16.88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7"/>
    <n v="17.2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8"/>
    <n v="17.22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19"/>
    <n v="17.25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20"/>
    <n v="17.559999999999999"/>
    <x v="3"/>
    <x v="0"/>
    <n v="850"/>
  </r>
  <r>
    <s v="Soybean"/>
    <n v="80"/>
    <x v="1"/>
    <x v="1"/>
    <s v="Repairs"/>
    <x v="7"/>
    <x v="7"/>
    <s v="dollars per planted acre"/>
    <s v="$ / planted ac"/>
    <n v="10"/>
    <x v="5"/>
    <n v="60"/>
    <s v="United States"/>
    <n v="10"/>
    <x v="21"/>
    <n v="18.16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0"/>
    <n v="8.98"/>
    <x v="0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"/>
    <n v="9.67"/>
    <x v="0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2"/>
    <n v="9.2899999999999991"/>
    <x v="0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3"/>
    <n v="10.76"/>
    <x v="0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4"/>
    <n v="10.54"/>
    <x v="0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5"/>
    <n v="7.47"/>
    <x v="1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6"/>
    <n v="7.39"/>
    <x v="1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7"/>
    <n v="7.83"/>
    <x v="1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8"/>
    <n v="8.6199999999999992"/>
    <x v="1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9"/>
    <n v="9.6199999999999992"/>
    <x v="2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0"/>
    <n v="9.89"/>
    <x v="2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1"/>
    <n v="10.220000000000001"/>
    <x v="2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2"/>
    <n v="10.42"/>
    <x v="2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3"/>
    <n v="10.62"/>
    <x v="2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4"/>
    <n v="11.01"/>
    <x v="2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5"/>
    <n v="21.2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6"/>
    <n v="21.41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7"/>
    <n v="21.82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8"/>
    <n v="21.84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19"/>
    <n v="21.88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20"/>
    <n v="22.27"/>
    <x v="3"/>
    <x v="0"/>
    <n v="850"/>
  </r>
  <r>
    <s v="Soybean"/>
    <n v="80"/>
    <x v="1"/>
    <x v="1"/>
    <s v="Repairs"/>
    <x v="7"/>
    <x v="7"/>
    <s v="dollars per planted acre"/>
    <s v="$ / planted ac"/>
    <n v="10"/>
    <x v="6"/>
    <n v="70"/>
    <s v="United States"/>
    <n v="10"/>
    <x v="21"/>
    <n v="23.03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0"/>
    <n v="13.15"/>
    <x v="0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"/>
    <n v="12.92"/>
    <x v="0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2"/>
    <n v="13.57"/>
    <x v="0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3"/>
    <n v="14.25"/>
    <x v="0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4"/>
    <n v="15.79"/>
    <x v="0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5"/>
    <n v="16.59"/>
    <x v="1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6"/>
    <n v="15.5"/>
    <x v="1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7"/>
    <n v="16.309999999999999"/>
    <x v="1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8"/>
    <n v="17.420000000000002"/>
    <x v="1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9"/>
    <n v="17.89"/>
    <x v="2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0"/>
    <n v="18.38"/>
    <x v="2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1"/>
    <n v="19"/>
    <x v="2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2"/>
    <n v="19.37"/>
    <x v="2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3"/>
    <n v="19.739999999999998"/>
    <x v="2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4"/>
    <n v="20.48"/>
    <x v="2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5"/>
    <n v="37.65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6"/>
    <n v="38.020000000000003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7"/>
    <n v="38.75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8"/>
    <n v="38.79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19"/>
    <n v="38.86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20"/>
    <n v="39.56"/>
    <x v="3"/>
    <x v="0"/>
    <n v="850"/>
  </r>
  <r>
    <s v="Soybean"/>
    <n v="80"/>
    <x v="1"/>
    <x v="1"/>
    <s v="Repairs"/>
    <x v="7"/>
    <x v="7"/>
    <s v="dollars per planted acre"/>
    <s v="$ / planted ac"/>
    <n v="10"/>
    <x v="7"/>
    <n v="100"/>
    <s v="United States"/>
    <n v="10"/>
    <x v="21"/>
    <n v="40.92"/>
    <x v="3"/>
    <x v="0"/>
    <n v="85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0"/>
    <n v="0.05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"/>
    <n v="0.05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2"/>
    <n v="0.05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3"/>
    <n v="0.06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4"/>
    <n v="0.06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5"/>
    <n v="0.12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6"/>
    <n v="0.12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7"/>
    <n v="0.13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8"/>
    <n v="0.13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9"/>
    <n v="0.11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0"/>
    <n v="0.11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1"/>
    <n v="0.12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2"/>
    <n v="0.14000000000000001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3"/>
    <n v="0.16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4"/>
    <n v="0.15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5"/>
    <n v="0.0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6"/>
    <n v="0.05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7"/>
    <n v="0.0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8"/>
    <n v="0.0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19"/>
    <n v="0.0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20"/>
    <n v="0.0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0"/>
    <n v="10"/>
    <s v="United States"/>
    <n v="10"/>
    <x v="21"/>
    <n v="0.0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0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2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3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4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5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6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7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8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9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0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1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2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3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4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5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6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7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8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19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20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1"/>
    <n v="20"/>
    <s v="United States"/>
    <n v="10"/>
    <x v="21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0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2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3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4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5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6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7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8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9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0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1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2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3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4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5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6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7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8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19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20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2"/>
    <n v="30"/>
    <s v="United States"/>
    <n v="10"/>
    <x v="21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0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2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3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4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5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6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7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8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9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0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1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2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3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4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5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6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7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8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19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20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3"/>
    <n v="40"/>
    <s v="United States"/>
    <n v="10"/>
    <x v="21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0"/>
    <n v="0.8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"/>
    <n v="0.77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2"/>
    <n v="0.76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3"/>
    <n v="0.81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4"/>
    <n v="0.88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5"/>
    <n v="1.71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6"/>
    <n v="1.8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7"/>
    <n v="1.78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8"/>
    <n v="1.78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9"/>
    <n v="1.54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0"/>
    <n v="1.62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1"/>
    <n v="1.62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2"/>
    <n v="1.76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3"/>
    <n v="1.78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4"/>
    <n v="1.82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5"/>
    <n v="0.7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6"/>
    <n v="0.72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7"/>
    <n v="0.74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8"/>
    <n v="0.77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19"/>
    <n v="0.78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20"/>
    <n v="0.76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4"/>
    <n v="50"/>
    <s v="United States"/>
    <n v="10"/>
    <x v="21"/>
    <n v="0.77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0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2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3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4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5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6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7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8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9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0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1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2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3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4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5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6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7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8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19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20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5"/>
    <n v="60"/>
    <s v="United States"/>
    <n v="10"/>
    <x v="21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0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2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3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4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5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6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7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8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9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0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1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2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3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4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5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6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7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8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19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20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6"/>
    <n v="70"/>
    <s v="United States"/>
    <n v="10"/>
    <x v="21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0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2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3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4"/>
    <n v="0"/>
    <x v="0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5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6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7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8"/>
    <n v="0"/>
    <x v="1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9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0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1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2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3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4"/>
    <n v="0"/>
    <x v="2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5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6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7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8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19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20"/>
    <n v="0"/>
    <x v="3"/>
    <x v="0"/>
    <n v="920"/>
  </r>
  <r>
    <s v="Soybean"/>
    <n v="80"/>
    <x v="1"/>
    <x v="1"/>
    <s v="Purchased irrigation water"/>
    <x v="8"/>
    <x v="8"/>
    <s v="dollars per planted acre"/>
    <s v="$ / planted ac"/>
    <n v="10"/>
    <x v="7"/>
    <n v="100"/>
    <s v="United States"/>
    <n v="10"/>
    <x v="21"/>
    <n v="0"/>
    <x v="3"/>
    <x v="0"/>
    <n v="92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0"/>
    <n v="1.98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"/>
    <n v="1.86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2"/>
    <n v="1.75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3"/>
    <n v="2.16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4"/>
    <n v="1.36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5"/>
    <n v="0.61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6"/>
    <n v="0.41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7"/>
    <n v="0.64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8"/>
    <n v="1.5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9"/>
    <n v="2.17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0"/>
    <n v="2.34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1"/>
    <n v="2.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2"/>
    <n v="0.19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3"/>
    <n v="0.13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4"/>
    <n v="7.0000000000000007E-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5"/>
    <n v="0.11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6"/>
    <n v="0.08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7"/>
    <n v="0.0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8"/>
    <n v="0.14000000000000001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19"/>
    <n v="0.37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20"/>
    <n v="0.83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0"/>
    <n v="10"/>
    <s v="United States"/>
    <n v="10"/>
    <x v="21"/>
    <n v="1.64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0"/>
    <n v="1.94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"/>
    <n v="1.81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2"/>
    <n v="1.71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3"/>
    <n v="2.08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4"/>
    <n v="1.3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5"/>
    <n v="0.59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6"/>
    <n v="1.39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7"/>
    <n v="0.61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8"/>
    <n v="1.41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9"/>
    <n v="2.04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0"/>
    <n v="2.15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1"/>
    <n v="0.09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2"/>
    <n v="0.17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3"/>
    <n v="0.1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4"/>
    <n v="0.0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5"/>
    <n v="0.11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6"/>
    <n v="7.0000000000000007E-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7"/>
    <n v="0.0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8"/>
    <n v="0.13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19"/>
    <n v="0.3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20"/>
    <n v="0.78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1"/>
    <n v="20"/>
    <s v="United States"/>
    <n v="10"/>
    <x v="21"/>
    <n v="1.5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0"/>
    <n v="2.2000000000000002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"/>
    <n v="2.09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2"/>
    <n v="1.97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3"/>
    <n v="2.4500000000000002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4"/>
    <n v="1.6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5"/>
    <n v="0.7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6"/>
    <n v="0.47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7"/>
    <n v="0.73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8"/>
    <n v="1.7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9"/>
    <n v="2.3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0"/>
    <n v="2.490000000000000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1"/>
    <n v="3.03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2"/>
    <n v="0.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3"/>
    <n v="0.14000000000000001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4"/>
    <n v="0.0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5"/>
    <n v="0.1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6"/>
    <n v="0.08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7"/>
    <n v="0.0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8"/>
    <n v="0.1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19"/>
    <n v="0.3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20"/>
    <n v="0.8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2"/>
    <n v="30"/>
    <s v="United States"/>
    <n v="10"/>
    <x v="21"/>
    <n v="1.7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0"/>
    <n v="1.74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"/>
    <n v="1.56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2"/>
    <n v="1.53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3"/>
    <n v="1.85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4"/>
    <n v="1.19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5"/>
    <n v="0.54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6"/>
    <n v="0.38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7"/>
    <n v="0.59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8"/>
    <n v="1.38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9"/>
    <n v="1.91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0"/>
    <n v="2.0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1"/>
    <n v="2.319999999999999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2"/>
    <n v="0.1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3"/>
    <n v="0.1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4"/>
    <n v="0.0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5"/>
    <n v="0.0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6"/>
    <n v="7.0000000000000007E-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7"/>
    <n v="0.04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8"/>
    <n v="0.1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19"/>
    <n v="0.3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20"/>
    <n v="0.7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3"/>
    <n v="40"/>
    <s v="United States"/>
    <n v="10"/>
    <x v="21"/>
    <n v="1.43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0"/>
    <n v="2.0099999999999998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"/>
    <n v="1.89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2"/>
    <n v="1.83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3"/>
    <n v="2.31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4"/>
    <n v="1.44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5"/>
    <n v="0.72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6"/>
    <n v="0.47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7"/>
    <n v="0.72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8"/>
    <n v="1.74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9"/>
    <n v="2.4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0"/>
    <n v="2.57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1"/>
    <n v="3.01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2"/>
    <n v="0.19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3"/>
    <n v="0.14000000000000001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4"/>
    <n v="0.0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5"/>
    <n v="0.11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6"/>
    <n v="0.08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7"/>
    <n v="0.0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8"/>
    <n v="0.13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19"/>
    <n v="0.3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20"/>
    <n v="0.8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4"/>
    <n v="50"/>
    <s v="United States"/>
    <n v="10"/>
    <x v="21"/>
    <n v="1.64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0"/>
    <n v="2.13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"/>
    <n v="1.99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2"/>
    <n v="1.95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3"/>
    <n v="2.37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4"/>
    <n v="1.5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5"/>
    <n v="0.62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6"/>
    <n v="0.44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7"/>
    <n v="0.64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8"/>
    <n v="1.55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9"/>
    <n v="2.220000000000000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0"/>
    <n v="2.34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1"/>
    <n v="2.8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2"/>
    <n v="0.19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3"/>
    <n v="0.13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4"/>
    <n v="7.0000000000000007E-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5"/>
    <n v="0.1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6"/>
    <n v="0.0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7"/>
    <n v="0.0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8"/>
    <n v="0.1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19"/>
    <n v="0.3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20"/>
    <n v="0.8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5"/>
    <n v="60"/>
    <s v="United States"/>
    <n v="10"/>
    <x v="21"/>
    <n v="1.68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0"/>
    <n v="2.27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"/>
    <n v="2.19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2"/>
    <n v="2.0499999999999998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3"/>
    <n v="2.56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4"/>
    <n v="1.73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5"/>
    <n v="0.68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6"/>
    <n v="0.41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7"/>
    <n v="0.68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8"/>
    <n v="1.58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9"/>
    <n v="2.509999999999999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0"/>
    <n v="2.64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1"/>
    <n v="3.39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2"/>
    <n v="0.2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3"/>
    <n v="0.15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4"/>
    <n v="0.0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5"/>
    <n v="0.13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6"/>
    <n v="0.0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7"/>
    <n v="0.0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8"/>
    <n v="0.17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19"/>
    <n v="0.43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20"/>
    <n v="0.95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6"/>
    <n v="70"/>
    <s v="United States"/>
    <n v="10"/>
    <x v="21"/>
    <n v="1.88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0"/>
    <n v="2.0699999999999998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"/>
    <n v="1.95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2"/>
    <n v="1.84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3"/>
    <n v="2.35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4"/>
    <n v="1.51"/>
    <x v="0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5"/>
    <n v="0.72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6"/>
    <n v="0.48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7"/>
    <n v="0.75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8"/>
    <n v="1.77"/>
    <x v="1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9"/>
    <n v="2.8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0"/>
    <n v="2.91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1"/>
    <n v="3.4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2"/>
    <n v="0.22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3"/>
    <n v="0.16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4"/>
    <n v="0.09"/>
    <x v="2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5"/>
    <n v="0.16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6"/>
    <n v="0.11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7"/>
    <n v="7.0000000000000007E-2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8"/>
    <n v="0.1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19"/>
    <n v="0.51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20"/>
    <n v="1.1499999999999999"/>
    <x v="3"/>
    <x v="0"/>
    <n v="980"/>
  </r>
  <r>
    <s v="Soybean"/>
    <n v="80"/>
    <x v="1"/>
    <x v="1"/>
    <s v="Interest on operating capital"/>
    <x v="9"/>
    <x v="9"/>
    <s v="dollars per planted acre"/>
    <s v="$ / planted ac"/>
    <n v="10"/>
    <x v="7"/>
    <n v="100"/>
    <s v="United States"/>
    <n v="10"/>
    <x v="21"/>
    <n v="2.31"/>
    <x v="3"/>
    <x v="0"/>
    <n v="98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0"/>
    <n v="79.47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"/>
    <n v="79.31999999999999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2"/>
    <n v="76.3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3"/>
    <n v="77.28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4"/>
    <n v="81.8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5"/>
    <n v="73.5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6"/>
    <n v="77.66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7"/>
    <n v="81.77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8"/>
    <n v="90.21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9"/>
    <n v="93.4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0"/>
    <n v="106.6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1"/>
    <n v="127.7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2"/>
    <n v="130.4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3"/>
    <n v="131.8899999999999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4"/>
    <n v="136.87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5"/>
    <n v="172.2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6"/>
    <n v="176.6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7"/>
    <n v="176.7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8"/>
    <n v="166.9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19"/>
    <n v="160.31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20"/>
    <n v="158.08000000000001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0"/>
    <n v="10"/>
    <s v="United States"/>
    <n v="10"/>
    <x v="21"/>
    <n v="158.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0"/>
    <n v="77.67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"/>
    <n v="77.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2"/>
    <n v="74.22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3"/>
    <n v="74.540000000000006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4"/>
    <n v="78.27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5"/>
    <n v="70.260000000000005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6"/>
    <n v="75.38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7"/>
    <n v="77.87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8"/>
    <n v="85.23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9"/>
    <n v="88.0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0"/>
    <n v="98.07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1"/>
    <n v="137.35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2"/>
    <n v="120.5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3"/>
    <n v="121.98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4"/>
    <n v="128.7700000000000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5"/>
    <n v="162.96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6"/>
    <n v="166.42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7"/>
    <n v="166.6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8"/>
    <n v="159.26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19"/>
    <n v="152.5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20"/>
    <n v="150.0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1"/>
    <n v="20"/>
    <s v="United States"/>
    <n v="10"/>
    <x v="21"/>
    <n v="150.5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0"/>
    <n v="88.24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"/>
    <n v="89.16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2"/>
    <n v="85.9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3"/>
    <n v="87.47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4"/>
    <n v="96.5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5"/>
    <n v="84.28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6"/>
    <n v="88.7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7"/>
    <n v="93.22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8"/>
    <n v="102.61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9"/>
    <n v="101.72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0"/>
    <n v="113.4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1"/>
    <n v="138.16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2"/>
    <n v="141.0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3"/>
    <n v="140.4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4"/>
    <n v="150.5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5"/>
    <n v="181.46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6"/>
    <n v="184.8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7"/>
    <n v="184.5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8"/>
    <n v="176.4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19"/>
    <n v="167.48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20"/>
    <n v="163.9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2"/>
    <n v="30"/>
    <s v="United States"/>
    <n v="10"/>
    <x v="21"/>
    <n v="164.2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0"/>
    <n v="69.849999999999994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"/>
    <n v="66.81999999999999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2"/>
    <n v="66.52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3"/>
    <n v="66.180000000000007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4"/>
    <n v="71.84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5"/>
    <n v="64.63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6"/>
    <n v="71.650000000000006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7"/>
    <n v="75.63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8"/>
    <n v="83.52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9"/>
    <n v="82.3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0"/>
    <n v="92.0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1"/>
    <n v="105.92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2"/>
    <n v="111.58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3"/>
    <n v="115.8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4"/>
    <n v="119.4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5"/>
    <n v="144.5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6"/>
    <n v="148.0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7"/>
    <n v="148.9199999999999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8"/>
    <n v="142.6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19"/>
    <n v="137.82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20"/>
    <n v="137.21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3"/>
    <n v="40"/>
    <s v="United States"/>
    <n v="10"/>
    <x v="21"/>
    <n v="138.56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0"/>
    <n v="80.7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"/>
    <n v="80.8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2"/>
    <n v="79.790000000000006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3"/>
    <n v="82.54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4"/>
    <n v="86.79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5"/>
    <n v="86.09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6"/>
    <n v="89.45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7"/>
    <n v="92.39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8"/>
    <n v="105.22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9"/>
    <n v="106.14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0"/>
    <n v="117.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1"/>
    <n v="137.5200000000000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2"/>
    <n v="133.78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3"/>
    <n v="140.9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4"/>
    <n v="151.0200000000000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5"/>
    <n v="167.68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6"/>
    <n v="171.48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7"/>
    <n v="172.46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8"/>
    <n v="162.82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19"/>
    <n v="157.28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20"/>
    <n v="156.7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4"/>
    <n v="50"/>
    <s v="United States"/>
    <n v="10"/>
    <x v="21"/>
    <n v="158.41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0"/>
    <n v="85.45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"/>
    <n v="85.19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2"/>
    <n v="84.65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3"/>
    <n v="84.79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4"/>
    <n v="90.78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5"/>
    <n v="71.91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6"/>
    <n v="76.58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7"/>
    <n v="81.93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8"/>
    <n v="93.35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9"/>
    <n v="95.66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0"/>
    <n v="106.7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1"/>
    <n v="131.6699999999999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2"/>
    <n v="133.5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3"/>
    <n v="131.72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4"/>
    <n v="142.4799999999999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5"/>
    <n v="187.6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6"/>
    <n v="190.16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7"/>
    <n v="188.9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8"/>
    <n v="179.1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19"/>
    <n v="167.7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20"/>
    <n v="162.9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5"/>
    <n v="60"/>
    <s v="United States"/>
    <n v="10"/>
    <x v="21"/>
    <n v="162.5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0"/>
    <n v="91.12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"/>
    <n v="93.4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2"/>
    <n v="88.94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3"/>
    <n v="91.41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4"/>
    <n v="104.22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5"/>
    <n v="79.72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6"/>
    <n v="77.650000000000006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7"/>
    <n v="87.84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8"/>
    <n v="95.47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9"/>
    <n v="108.1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0"/>
    <n v="120.35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1"/>
    <n v="154.86000000000001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2"/>
    <n v="155.38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3"/>
    <n v="147.4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4"/>
    <n v="163.43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5"/>
    <n v="207.51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6"/>
    <n v="210.5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7"/>
    <n v="209.6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8"/>
    <n v="198.23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19"/>
    <n v="187.18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20"/>
    <n v="182.0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6"/>
    <n v="70"/>
    <s v="United States"/>
    <n v="10"/>
    <x v="21"/>
    <n v="181.7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0"/>
    <n v="82.88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"/>
    <n v="83.43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2"/>
    <n v="80.16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3"/>
    <n v="84.04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4"/>
    <n v="90.85"/>
    <x v="0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5"/>
    <n v="85.95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6"/>
    <n v="90.83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7"/>
    <n v="95.61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8"/>
    <n v="107.03"/>
    <x v="1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9"/>
    <n v="120.66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0"/>
    <n v="132.96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1"/>
    <n v="157.85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2"/>
    <n v="154.22999999999999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3"/>
    <n v="159.44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4"/>
    <n v="171.7"/>
    <x v="2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5"/>
    <n v="243.27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6"/>
    <n v="247.64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7"/>
    <n v="248.72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8"/>
    <n v="228.95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19"/>
    <n v="219.88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20"/>
    <n v="220.01"/>
    <x v="3"/>
    <x v="0"/>
    <n v="990"/>
  </r>
  <r>
    <s v="Soybean"/>
    <n v="80"/>
    <x v="1"/>
    <x v="1"/>
    <s v="Total, operating costs"/>
    <x v="10"/>
    <x v="10"/>
    <s v="dollars per planted acre"/>
    <s v="$ / planted ac"/>
    <n v="10"/>
    <x v="7"/>
    <n v="100"/>
    <s v="United States"/>
    <n v="10"/>
    <x v="21"/>
    <n v="223.13"/>
    <x v="3"/>
    <x v="0"/>
    <n v="99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0"/>
    <n v="1.94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"/>
    <n v="1.9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2"/>
    <n v="2.009999999999999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3"/>
    <n v="2.029999999999999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4"/>
    <n v="2.04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5"/>
    <n v="1.84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6"/>
    <n v="1.9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7"/>
    <n v="2.04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8"/>
    <n v="2.0299999999999998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9"/>
    <n v="1.7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0"/>
    <n v="1.93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1"/>
    <n v="2.069999999999999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2"/>
    <n v="2.14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3"/>
    <n v="2.1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4"/>
    <n v="2.069999999999999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5"/>
    <n v="2.81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6"/>
    <n v="2.9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7"/>
    <n v="3.0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8"/>
    <n v="3.18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19"/>
    <n v="3.1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20"/>
    <n v="3.26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0"/>
    <n v="10"/>
    <s v="United States"/>
    <n v="10"/>
    <x v="21"/>
    <n v="3.46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0"/>
    <n v="1.25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"/>
    <n v="1.29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2"/>
    <n v="1.3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3"/>
    <n v="1.35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4"/>
    <n v="1.4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5"/>
    <n v="1.19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6"/>
    <n v="1.24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7"/>
    <n v="1.27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8"/>
    <n v="1.29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9"/>
    <n v="1.149999999999999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0"/>
    <n v="1.1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1"/>
    <n v="1.34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2"/>
    <n v="1.26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3"/>
    <n v="1.27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4"/>
    <n v="1.2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5"/>
    <n v="1.6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6"/>
    <n v="1.74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7"/>
    <n v="1.7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8"/>
    <n v="1.8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19"/>
    <n v="1.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20"/>
    <n v="1.9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1"/>
    <n v="20"/>
    <s v="United States"/>
    <n v="10"/>
    <x v="21"/>
    <n v="2.0699999999999998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0"/>
    <n v="1.7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"/>
    <n v="1.9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2"/>
    <n v="1.97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3"/>
    <n v="2.13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4"/>
    <n v="2.220000000000000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5"/>
    <n v="3.14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6"/>
    <n v="3.26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7"/>
    <n v="3.28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8"/>
    <n v="3.3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9"/>
    <n v="1.17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0"/>
    <n v="1.2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1"/>
    <n v="1.25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2"/>
    <n v="1.2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3"/>
    <n v="1.2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4"/>
    <n v="1.3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5"/>
    <n v="1.6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6"/>
    <n v="1.68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7"/>
    <n v="1.71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8"/>
    <n v="1.7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19"/>
    <n v="1.8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20"/>
    <n v="1.88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2"/>
    <n v="30"/>
    <s v="United States"/>
    <n v="10"/>
    <x v="21"/>
    <n v="1.9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0"/>
    <n v="2.5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"/>
    <n v="2.5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2"/>
    <n v="2.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3"/>
    <n v="2.9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4"/>
    <n v="3.16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5"/>
    <n v="1.72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6"/>
    <n v="1.84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7"/>
    <n v="2.0099999999999998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8"/>
    <n v="2.02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9"/>
    <n v="1.5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0"/>
    <n v="1.55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1"/>
    <n v="1.6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2"/>
    <n v="1.64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3"/>
    <n v="1.66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4"/>
    <n v="1.6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5"/>
    <n v="2.2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6"/>
    <n v="2.2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7"/>
    <n v="2.3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8"/>
    <n v="2.41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19"/>
    <n v="2.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20"/>
    <n v="2.5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3"/>
    <n v="40"/>
    <s v="United States"/>
    <n v="10"/>
    <x v="21"/>
    <n v="2.7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0"/>
    <n v="2.31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"/>
    <n v="2.4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2"/>
    <n v="2.430000000000000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3"/>
    <n v="2.4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4"/>
    <n v="2.6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5"/>
    <n v="0.88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6"/>
    <n v="0.88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7"/>
    <n v="0.89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8"/>
    <n v="0.91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9"/>
    <n v="1.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0"/>
    <n v="1.97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1"/>
    <n v="2.029999999999999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2"/>
    <n v="2.0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3"/>
    <n v="2.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4"/>
    <n v="2.12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5"/>
    <n v="1.2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6"/>
    <n v="1.2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7"/>
    <n v="1.2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8"/>
    <n v="1.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19"/>
    <n v="1.3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20"/>
    <n v="1.3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4"/>
    <n v="50"/>
    <s v="United States"/>
    <n v="10"/>
    <x v="21"/>
    <n v="1.4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0"/>
    <n v="1.97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"/>
    <n v="2.0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2"/>
    <n v="2.200000000000000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3"/>
    <n v="2.27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4"/>
    <n v="2.450000000000000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5"/>
    <n v="1.92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6"/>
    <n v="1.95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7"/>
    <n v="2.2200000000000002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8"/>
    <n v="2.2000000000000002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9"/>
    <n v="2.7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0"/>
    <n v="2.7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1"/>
    <n v="2.8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2"/>
    <n v="2.95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3"/>
    <n v="2.9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4"/>
    <n v="3.02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5"/>
    <n v="3.7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6"/>
    <n v="3.86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7"/>
    <n v="3.9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8"/>
    <n v="4.0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19"/>
    <n v="4.22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20"/>
    <n v="4.34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5"/>
    <n v="60"/>
    <s v="United States"/>
    <n v="10"/>
    <x v="21"/>
    <n v="4.5999999999999996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0"/>
    <n v="3.5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"/>
    <n v="3.85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2"/>
    <n v="3.98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3"/>
    <n v="4.04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4"/>
    <n v="4.2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5"/>
    <n v="2.94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6"/>
    <n v="2.99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7"/>
    <n v="3.05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8"/>
    <n v="3.07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9"/>
    <n v="2.65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0"/>
    <n v="2.74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1"/>
    <n v="2.84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2"/>
    <n v="2.9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3"/>
    <n v="2.93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4"/>
    <n v="2.96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5"/>
    <n v="2.72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6"/>
    <n v="2.8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7"/>
    <n v="2.8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8"/>
    <n v="2.9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19"/>
    <n v="3.06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20"/>
    <n v="3.14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6"/>
    <n v="70"/>
    <s v="United States"/>
    <n v="10"/>
    <x v="21"/>
    <n v="3.33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0"/>
    <n v="5.44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"/>
    <n v="5.62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2"/>
    <n v="5.87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3"/>
    <n v="6.01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4"/>
    <n v="6"/>
    <x v="0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5"/>
    <n v="6.47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6"/>
    <n v="6.51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7"/>
    <n v="6.93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8"/>
    <n v="6.92"/>
    <x v="1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9"/>
    <n v="6.6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0"/>
    <n v="6.9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1"/>
    <n v="7.15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2"/>
    <n v="7.31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3"/>
    <n v="7.38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4"/>
    <n v="7.46"/>
    <x v="2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5"/>
    <n v="12.6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6"/>
    <n v="13.04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7"/>
    <n v="13.29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8"/>
    <n v="13.77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19"/>
    <n v="14.26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20"/>
    <n v="14.65"/>
    <x v="3"/>
    <x v="0"/>
    <n v="1000"/>
  </r>
  <r>
    <s v="Soybean"/>
    <n v="80"/>
    <x v="2"/>
    <x v="2"/>
    <s v="Hired labor"/>
    <x v="11"/>
    <x v="11"/>
    <s v="dollars per planted acre"/>
    <s v="$ / planted ac"/>
    <n v="10"/>
    <x v="7"/>
    <n v="100"/>
    <s v="United States"/>
    <n v="10"/>
    <x v="21"/>
    <n v="15.54"/>
    <x v="3"/>
    <x v="0"/>
    <n v="100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0"/>
    <n v="17.63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"/>
    <n v="18.11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2"/>
    <n v="18.46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3"/>
    <n v="19.489999999999998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4"/>
    <n v="20.170000000000002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5"/>
    <n v="15.59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6"/>
    <n v="16.11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7"/>
    <n v="16.12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8"/>
    <n v="16.77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9"/>
    <n v="15.2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0"/>
    <n v="16.16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1"/>
    <n v="16.7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2"/>
    <n v="17.190000000000001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3"/>
    <n v="17.32999999999999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4"/>
    <n v="17.09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5"/>
    <n v="16.760000000000002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6"/>
    <n v="17.35000000000000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7"/>
    <n v="17.68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8"/>
    <n v="18.37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19"/>
    <n v="18.8999999999999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20"/>
    <n v="19.3999999999999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0"/>
    <n v="10"/>
    <s v="United States"/>
    <n v="10"/>
    <x v="21"/>
    <n v="20.57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0"/>
    <n v="17.309999999999999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"/>
    <n v="17.73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2"/>
    <n v="17.9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3"/>
    <n v="18.93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4"/>
    <n v="19.41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5"/>
    <n v="14.57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6"/>
    <n v="15.09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7"/>
    <n v="15.14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8"/>
    <n v="15.63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9"/>
    <n v="14.3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0"/>
    <n v="14.8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1"/>
    <n v="16.6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2"/>
    <n v="15.6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3"/>
    <n v="15.84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4"/>
    <n v="16.010000000000002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5"/>
    <n v="15.27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6"/>
    <n v="15.7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7"/>
    <n v="16.010000000000002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8"/>
    <n v="16.5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19"/>
    <n v="17.18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20"/>
    <n v="17.6499999999999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1"/>
    <n v="20"/>
    <s v="United States"/>
    <n v="10"/>
    <x v="21"/>
    <n v="18.72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0"/>
    <n v="23.9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"/>
    <n v="24.44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2"/>
    <n v="24.66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3"/>
    <n v="26.42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4"/>
    <n v="27.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5"/>
    <n v="21.02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6"/>
    <n v="21.76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7"/>
    <n v="21.67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8"/>
    <n v="22.25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9"/>
    <n v="16.71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0"/>
    <n v="17.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1"/>
    <n v="17.8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2"/>
    <n v="18.2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3"/>
    <n v="18.4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4"/>
    <n v="18.66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5"/>
    <n v="17.2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6"/>
    <n v="17.7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7"/>
    <n v="18.04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8"/>
    <n v="18.69000000000000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19"/>
    <n v="19.36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20"/>
    <n v="19.8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2"/>
    <n v="30"/>
    <s v="United States"/>
    <n v="10"/>
    <x v="21"/>
    <n v="21.0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0"/>
    <n v="14.2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"/>
    <n v="14.62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2"/>
    <n v="14.83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3"/>
    <n v="15.45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4"/>
    <n v="16.41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5"/>
    <n v="10.95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6"/>
    <n v="11.45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7"/>
    <n v="11.38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8"/>
    <n v="12.19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9"/>
    <n v="13.21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0"/>
    <n v="13.6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1"/>
    <n v="14.14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2"/>
    <n v="14.45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3"/>
    <n v="14.6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4"/>
    <n v="14.76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5"/>
    <n v="14.45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6"/>
    <n v="14.87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7"/>
    <n v="15.15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8"/>
    <n v="15.7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19"/>
    <n v="16.260000000000002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20"/>
    <n v="16.7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3"/>
    <n v="40"/>
    <s v="United States"/>
    <n v="10"/>
    <x v="21"/>
    <n v="17.72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0"/>
    <n v="19.079999999999998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"/>
    <n v="19.5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2"/>
    <n v="20.3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3"/>
    <n v="20.93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4"/>
    <n v="21.34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5"/>
    <n v="22.63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6"/>
    <n v="23.56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7"/>
    <n v="23.45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8"/>
    <n v="24.39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9"/>
    <n v="19.0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0"/>
    <n v="19.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1"/>
    <n v="20.3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2"/>
    <n v="20.81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3"/>
    <n v="21.0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4"/>
    <n v="21.26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5"/>
    <n v="16.9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6"/>
    <n v="17.3999999999999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7"/>
    <n v="17.73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8"/>
    <n v="18.37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19"/>
    <n v="19.03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20"/>
    <n v="19.5599999999999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4"/>
    <n v="50"/>
    <s v="United States"/>
    <n v="10"/>
    <x v="21"/>
    <n v="20.74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0"/>
    <n v="29.99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"/>
    <n v="30.91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2"/>
    <n v="30.93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3"/>
    <n v="33.0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4"/>
    <n v="34.1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5"/>
    <n v="16.41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6"/>
    <n v="16.93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7"/>
    <n v="16.850000000000001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8"/>
    <n v="17.260000000000002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9"/>
    <n v="16.6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0"/>
    <n v="17.21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1"/>
    <n v="17.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2"/>
    <n v="18.190000000000001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3"/>
    <n v="18.3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4"/>
    <n v="18.57999999999999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5"/>
    <n v="20.3999999999999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6"/>
    <n v="20.9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7"/>
    <n v="21.39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8"/>
    <n v="22.16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19"/>
    <n v="22.95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20"/>
    <n v="23.58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5"/>
    <n v="60"/>
    <s v="United States"/>
    <n v="10"/>
    <x v="21"/>
    <n v="25.0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0"/>
    <n v="19.96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"/>
    <n v="20.92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2"/>
    <n v="21.8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3"/>
    <n v="22.7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4"/>
    <n v="23.91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5"/>
    <n v="19.13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6"/>
    <n v="20.02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7"/>
    <n v="19.82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8"/>
    <n v="20.95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9"/>
    <n v="17.4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0"/>
    <n v="18.04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1"/>
    <n v="18.649999999999999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2"/>
    <n v="19.059999999999999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3"/>
    <n v="19.260000000000002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4"/>
    <n v="19.4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5"/>
    <n v="22.04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6"/>
    <n v="22.68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7"/>
    <n v="23.1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8"/>
    <n v="23.94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19"/>
    <n v="24.8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20"/>
    <n v="25.48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6"/>
    <n v="70"/>
    <s v="United States"/>
    <n v="10"/>
    <x v="21"/>
    <n v="27.02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0"/>
    <n v="14.19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"/>
    <n v="14.58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2"/>
    <n v="15.08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3"/>
    <n v="15.94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4"/>
    <n v="16.97"/>
    <x v="0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5"/>
    <n v="15.93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6"/>
    <n v="16.239999999999998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7"/>
    <n v="16.23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8"/>
    <n v="16.57"/>
    <x v="1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9"/>
    <n v="18.13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0"/>
    <n v="18.77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1"/>
    <n v="19.399999999999999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2"/>
    <n v="19.829999999999998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3"/>
    <n v="20.04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4"/>
    <n v="20.25"/>
    <x v="2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5"/>
    <n v="25.71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6"/>
    <n v="26.46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7"/>
    <n v="26.96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8"/>
    <n v="27.93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19"/>
    <n v="28.93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20"/>
    <n v="29.73"/>
    <x v="3"/>
    <x v="0"/>
    <n v="1010"/>
  </r>
  <r>
    <s v="Soybean"/>
    <n v="80"/>
    <x v="2"/>
    <x v="2"/>
    <s v="Opportunity cost of unpaid labor"/>
    <x v="12"/>
    <x v="12"/>
    <s v="dollars per planted acre"/>
    <s v="$ / planted ac"/>
    <n v="10"/>
    <x v="7"/>
    <n v="100"/>
    <s v="United States"/>
    <n v="10"/>
    <x v="21"/>
    <n v="31.53"/>
    <x v="3"/>
    <x v="0"/>
    <n v="101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0"/>
    <n v="49.61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"/>
    <n v="50.66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2"/>
    <n v="51.58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3"/>
    <n v="53.61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4"/>
    <n v="55.7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5"/>
    <n v="43.3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6"/>
    <n v="43.43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7"/>
    <n v="47.49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8"/>
    <n v="50.17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9"/>
    <n v="60.3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0"/>
    <n v="64.59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1"/>
    <n v="70.9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2"/>
    <n v="75.54000000000000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3"/>
    <n v="78.18000000000000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4"/>
    <n v="81.3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5"/>
    <n v="81.1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6"/>
    <n v="82.9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7"/>
    <n v="86.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8"/>
    <n v="88.35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19"/>
    <n v="88.8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20"/>
    <n v="90.99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0"/>
    <n v="10"/>
    <s v="United States"/>
    <n v="10"/>
    <x v="21"/>
    <n v="91.8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0"/>
    <n v="46.56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"/>
    <n v="47.99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2"/>
    <n v="49.01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3"/>
    <n v="51.02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4"/>
    <n v="52.8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5"/>
    <n v="40.22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6"/>
    <n v="40.68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7"/>
    <n v="44.92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8"/>
    <n v="46.99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9"/>
    <n v="58.4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0"/>
    <n v="61.3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1"/>
    <n v="82.5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2"/>
    <n v="71.33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3"/>
    <n v="73.90000000000000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4"/>
    <n v="78.40000000000000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5"/>
    <n v="74.81999999999999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6"/>
    <n v="76.95999999999999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7"/>
    <n v="79.81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8"/>
    <n v="81.6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19"/>
    <n v="82.2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20"/>
    <n v="83.87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1"/>
    <n v="20"/>
    <s v="United States"/>
    <n v="10"/>
    <x v="21"/>
    <n v="84.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0"/>
    <n v="49.62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"/>
    <n v="51.63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2"/>
    <n v="51.6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3"/>
    <n v="53.88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4"/>
    <n v="56.41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5"/>
    <n v="49.03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6"/>
    <n v="48.44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7"/>
    <n v="51.46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8"/>
    <n v="55.8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9"/>
    <n v="52.9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0"/>
    <n v="55.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1"/>
    <n v="60.8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2"/>
    <n v="64.62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3"/>
    <n v="66.95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4"/>
    <n v="71.03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5"/>
    <n v="68.8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6"/>
    <n v="70.8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7"/>
    <n v="73.45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8"/>
    <n v="75.1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19"/>
    <n v="75.680000000000007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20"/>
    <n v="77.19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2"/>
    <n v="30"/>
    <s v="United States"/>
    <n v="10"/>
    <x v="21"/>
    <n v="78.04000000000000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0"/>
    <n v="44.29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"/>
    <n v="46.38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2"/>
    <n v="46.76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3"/>
    <n v="49.13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4"/>
    <n v="50.1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5"/>
    <n v="40.590000000000003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6"/>
    <n v="42.52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7"/>
    <n v="45.8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8"/>
    <n v="48.79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9"/>
    <n v="65.819999999999993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0"/>
    <n v="69.069999999999993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1"/>
    <n v="75.5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2"/>
    <n v="80.29000000000000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3"/>
    <n v="83.1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4"/>
    <n v="88.2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5"/>
    <n v="103.1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6"/>
    <n v="106.11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7"/>
    <n v="110.0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8"/>
    <n v="112.59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19"/>
    <n v="113.3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20"/>
    <n v="115.6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3"/>
    <n v="40"/>
    <s v="United States"/>
    <n v="10"/>
    <x v="21"/>
    <n v="116.92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0"/>
    <n v="56.59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"/>
    <n v="56.6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2"/>
    <n v="57.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3"/>
    <n v="56.43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4"/>
    <n v="62.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5"/>
    <n v="50.13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6"/>
    <n v="50.81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7"/>
    <n v="54.75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8"/>
    <n v="57.91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9"/>
    <n v="72.62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0"/>
    <n v="76.20999999999999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1"/>
    <n v="83.39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2"/>
    <n v="88.5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3"/>
    <n v="91.7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4"/>
    <n v="97.3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5"/>
    <n v="91.3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6"/>
    <n v="93.9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7"/>
    <n v="97.42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8"/>
    <n v="99.6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19"/>
    <n v="100.3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20"/>
    <n v="102.38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4"/>
    <n v="50"/>
    <s v="United States"/>
    <n v="10"/>
    <x v="21"/>
    <n v="103.51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0"/>
    <n v="47.08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"/>
    <n v="47.9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2"/>
    <n v="46.03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3"/>
    <n v="50.03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4"/>
    <n v="52.38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5"/>
    <n v="38.4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6"/>
    <n v="38.54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7"/>
    <n v="41.54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8"/>
    <n v="45.07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9"/>
    <n v="54.7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0"/>
    <n v="57.4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1"/>
    <n v="62.9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2"/>
    <n v="66.81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3"/>
    <n v="69.20999999999999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4"/>
    <n v="73.43000000000000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5"/>
    <n v="62.27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6"/>
    <n v="64.05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7"/>
    <n v="66.42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8"/>
    <n v="67.95999999999999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19"/>
    <n v="68.430000000000007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20"/>
    <n v="69.79000000000000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5"/>
    <n v="60"/>
    <s v="United States"/>
    <n v="10"/>
    <x v="21"/>
    <n v="70.5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0"/>
    <n v="51.0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"/>
    <n v="55.34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2"/>
    <n v="53.1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3"/>
    <n v="61.69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4"/>
    <n v="60.66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5"/>
    <n v="37.17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6"/>
    <n v="36.96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7"/>
    <n v="38.96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8"/>
    <n v="42.99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9"/>
    <n v="51.25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0"/>
    <n v="53.78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1"/>
    <n v="58.85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2"/>
    <n v="62.51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3"/>
    <n v="64.7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4"/>
    <n v="68.70999999999999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5"/>
    <n v="69.65000000000000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6"/>
    <n v="71.6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7"/>
    <n v="74.29000000000000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8"/>
    <n v="76.010000000000005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19"/>
    <n v="76.54000000000000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20"/>
    <n v="78.06999999999999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6"/>
    <n v="70"/>
    <s v="United States"/>
    <n v="10"/>
    <x v="21"/>
    <n v="78.930000000000007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0"/>
    <n v="64.56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"/>
    <n v="63.5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2"/>
    <n v="66.42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3"/>
    <n v="69.739999999999995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4"/>
    <n v="76.77"/>
    <x v="0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5"/>
    <n v="63.4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6"/>
    <n v="59.49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7"/>
    <n v="62.58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8"/>
    <n v="67.19"/>
    <x v="1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9"/>
    <n v="68.95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0"/>
    <n v="72.36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1"/>
    <n v="79.180000000000007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2"/>
    <n v="84.1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3"/>
    <n v="87.13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4"/>
    <n v="92.44"/>
    <x v="2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5"/>
    <n v="104.12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6"/>
    <n v="107.09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7"/>
    <n v="111.06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8"/>
    <n v="113.64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19"/>
    <n v="114.43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20"/>
    <n v="116.71"/>
    <x v="3"/>
    <x v="0"/>
    <n v="1020"/>
  </r>
  <r>
    <s v="Soybean"/>
    <n v="80"/>
    <x v="2"/>
    <x v="2"/>
    <s v="Capital recovery of machinery and equipment"/>
    <x v="13"/>
    <x v="13"/>
    <s v="dollars per planted acre"/>
    <s v="$ / planted ac"/>
    <n v="10"/>
    <x v="7"/>
    <n v="100"/>
    <s v="United States"/>
    <n v="10"/>
    <x v="21"/>
    <n v="118"/>
    <x v="3"/>
    <x v="0"/>
    <n v="102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0"/>
    <n v="76.739999999999995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"/>
    <n v="77.66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2"/>
    <n v="79.739999999999995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3"/>
    <n v="80.12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4"/>
    <n v="81.98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5"/>
    <n v="80.739999999999995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6"/>
    <n v="81.93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7"/>
    <n v="83.88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8"/>
    <n v="86.68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9"/>
    <n v="86.17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0"/>
    <n v="85.1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1"/>
    <n v="93.1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2"/>
    <n v="107.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3"/>
    <n v="110.3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4"/>
    <n v="120.6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5"/>
    <n v="137.5500000000000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6"/>
    <n v="150.97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7"/>
    <n v="155.04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8"/>
    <n v="157.9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19"/>
    <n v="143.72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20"/>
    <n v="142.8600000000000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0"/>
    <n v="10"/>
    <s v="United States"/>
    <n v="10"/>
    <x v="21"/>
    <n v="145.3899999999999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0"/>
    <n v="86.67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"/>
    <n v="87.96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2"/>
    <n v="88.38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3"/>
    <n v="90.65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4"/>
    <n v="92.38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5"/>
    <n v="94.12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6"/>
    <n v="95.93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7"/>
    <n v="98.97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8"/>
    <n v="102.09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9"/>
    <n v="101.33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0"/>
    <n v="98.78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1"/>
    <n v="159.3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2"/>
    <n v="126.18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3"/>
    <n v="129.6999999999999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4"/>
    <n v="141.87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5"/>
    <n v="170.24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6"/>
    <n v="185.22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7"/>
    <n v="192.03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8"/>
    <n v="196.12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19"/>
    <n v="177.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20"/>
    <n v="177.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1"/>
    <n v="20"/>
    <s v="United States"/>
    <n v="10"/>
    <x v="21"/>
    <n v="180.2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0"/>
    <n v="62.5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"/>
    <n v="65.459999999999994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2"/>
    <n v="65.849999999999994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3"/>
    <n v="67.400000000000006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4"/>
    <n v="68.709999999999994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5"/>
    <n v="69.13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6"/>
    <n v="69.41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7"/>
    <n v="71.37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8"/>
    <n v="71.959999999999994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9"/>
    <n v="70.98999999999999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0"/>
    <n v="69.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1"/>
    <n v="76.34999999999999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2"/>
    <n v="88.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3"/>
    <n v="90.87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4"/>
    <n v="99.3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5"/>
    <n v="111.67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6"/>
    <n v="121.5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7"/>
    <n v="125.97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8"/>
    <n v="128.65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19"/>
    <n v="116.5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20"/>
    <n v="116.5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2"/>
    <n v="30"/>
    <s v="United States"/>
    <n v="10"/>
    <x v="21"/>
    <n v="118.2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0"/>
    <n v="36.76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"/>
    <n v="38.18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2"/>
    <n v="40.1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3"/>
    <n v="40.159999999999997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4"/>
    <n v="40.450000000000003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5"/>
    <n v="44.87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6"/>
    <n v="46.17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7"/>
    <n v="47.38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8"/>
    <n v="49.99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9"/>
    <n v="46.6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0"/>
    <n v="45.48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1"/>
    <n v="50.17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2"/>
    <n v="58.0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3"/>
    <n v="59.71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4"/>
    <n v="65.31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5"/>
    <n v="88.47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6"/>
    <n v="96.2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7"/>
    <n v="99.8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8"/>
    <n v="101.92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19"/>
    <n v="92.2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20"/>
    <n v="92.2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3"/>
    <n v="40"/>
    <s v="United States"/>
    <n v="10"/>
    <x v="21"/>
    <n v="93.65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0"/>
    <n v="46.36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"/>
    <n v="49.89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2"/>
    <n v="54.57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3"/>
    <n v="50.74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4"/>
    <n v="51.38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5"/>
    <n v="63.03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6"/>
    <n v="63.97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7"/>
    <n v="66.48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8"/>
    <n v="67.540000000000006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9"/>
    <n v="60.6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0"/>
    <n v="59.11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1"/>
    <n v="65.2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2"/>
    <n v="75.51000000000000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3"/>
    <n v="77.6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4"/>
    <n v="84.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5"/>
    <n v="90.24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6"/>
    <n v="98.18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7"/>
    <n v="101.7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8"/>
    <n v="103.9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19"/>
    <n v="94.14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20"/>
    <n v="94.14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4"/>
    <n v="50"/>
    <s v="United States"/>
    <n v="10"/>
    <x v="21"/>
    <n v="95.52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0"/>
    <n v="40.369999999999997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"/>
    <n v="29.71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2"/>
    <n v="41.84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3"/>
    <n v="42.02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4"/>
    <n v="41.14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5"/>
    <n v="53.62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6"/>
    <n v="55.11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7"/>
    <n v="58.18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8"/>
    <n v="58.96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9"/>
    <n v="56.61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0"/>
    <n v="55.1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1"/>
    <n v="60.88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2"/>
    <n v="70.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3"/>
    <n v="72.45999999999999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4"/>
    <n v="79.2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5"/>
    <n v="90.2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6"/>
    <n v="98.2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7"/>
    <n v="101.8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8"/>
    <n v="103.98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19"/>
    <n v="94.1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20"/>
    <n v="94.1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5"/>
    <n v="60"/>
    <s v="United States"/>
    <n v="10"/>
    <x v="21"/>
    <n v="95.54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0"/>
    <n v="34.07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"/>
    <n v="33.840000000000003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2"/>
    <n v="35.71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3"/>
    <n v="35.17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4"/>
    <n v="37.08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5"/>
    <n v="34.28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6"/>
    <n v="34.44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7"/>
    <n v="36.49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8"/>
    <n v="37.020000000000003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9"/>
    <n v="39.18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0"/>
    <n v="38.1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1"/>
    <n v="42.1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2"/>
    <n v="48.79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3"/>
    <n v="50.1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4"/>
    <n v="54.85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5"/>
    <n v="49.38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6"/>
    <n v="53.73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7"/>
    <n v="55.71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8"/>
    <n v="56.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19"/>
    <n v="51.53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20"/>
    <n v="51.53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6"/>
    <n v="70"/>
    <s v="United States"/>
    <n v="10"/>
    <x v="21"/>
    <n v="52.2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0"/>
    <n v="58.61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"/>
    <n v="55.49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2"/>
    <n v="67.23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3"/>
    <n v="57.03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4"/>
    <n v="55.85"/>
    <x v="0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5"/>
    <n v="56.85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6"/>
    <n v="58.85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7"/>
    <n v="62.73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8"/>
    <n v="62.6"/>
    <x v="1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9"/>
    <n v="64.34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0"/>
    <n v="62.7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1"/>
    <n v="69.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2"/>
    <n v="80.12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3"/>
    <n v="82.36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4"/>
    <n v="90.08"/>
    <x v="2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5"/>
    <n v="92.18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6"/>
    <n v="100.2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7"/>
    <n v="103.98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8"/>
    <n v="106.19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19"/>
    <n v="96.1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20"/>
    <n v="96.16"/>
    <x v="3"/>
    <x v="0"/>
    <n v="1030"/>
  </r>
  <r>
    <s v="Soybean"/>
    <n v="80"/>
    <x v="2"/>
    <x v="2"/>
    <s v="Opportunity cost of land"/>
    <x v="14"/>
    <x v="14"/>
    <s v="dollars per planted acre"/>
    <s v="$ / planted ac"/>
    <n v="10"/>
    <x v="7"/>
    <n v="100"/>
    <s v="United States"/>
    <n v="10"/>
    <x v="21"/>
    <n v="97.57"/>
    <x v="3"/>
    <x v="0"/>
    <n v="103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0"/>
    <n v="6.76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"/>
    <n v="6.89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2"/>
    <n v="6.77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3"/>
    <n v="7.01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4"/>
    <n v="7.1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5"/>
    <n v="5.66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6"/>
    <n v="5.8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7"/>
    <n v="5.8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8"/>
    <n v="6.06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9"/>
    <n v="7.9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0"/>
    <n v="8.710000000000000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1"/>
    <n v="9.64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2"/>
    <n v="10.84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3"/>
    <n v="9.41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4"/>
    <n v="9.9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5"/>
    <n v="9.58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6"/>
    <n v="9.779999999999999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7"/>
    <n v="9.9499999999999993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8"/>
    <n v="10.5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19"/>
    <n v="10.52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20"/>
    <n v="10.6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0"/>
    <n v="10"/>
    <s v="United States"/>
    <n v="10"/>
    <x v="21"/>
    <n v="10.7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0"/>
    <n v="6.8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"/>
    <n v="6.97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2"/>
    <n v="6.82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3"/>
    <n v="7.0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4"/>
    <n v="7.1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5"/>
    <n v="5.7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6"/>
    <n v="5.89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7"/>
    <n v="5.9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8"/>
    <n v="6.1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9"/>
    <n v="7.94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0"/>
    <n v="8.57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1"/>
    <n v="10.1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2"/>
    <n v="10.6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3"/>
    <n v="9.2899999999999991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4"/>
    <n v="9.960000000000000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5"/>
    <n v="9.9600000000000009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6"/>
    <n v="10.1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7"/>
    <n v="10.3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8"/>
    <n v="11.0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19"/>
    <n v="10.9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20"/>
    <n v="11.09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1"/>
    <n v="20"/>
    <s v="United States"/>
    <n v="10"/>
    <x v="21"/>
    <n v="11.1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0"/>
    <n v="6.92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"/>
    <n v="6.99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2"/>
    <n v="6.86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3"/>
    <n v="7.1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4"/>
    <n v="7.21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5"/>
    <n v="7.18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6"/>
    <n v="7.43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7"/>
    <n v="7.4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8"/>
    <n v="7.7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9"/>
    <n v="9.9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0"/>
    <n v="10.7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1"/>
    <n v="11.97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2"/>
    <n v="13.4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3"/>
    <n v="11.6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4"/>
    <n v="12.5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5"/>
    <n v="10.0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6"/>
    <n v="10.21000000000000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7"/>
    <n v="10.4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8"/>
    <n v="11.0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19"/>
    <n v="10.99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20"/>
    <n v="11.1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2"/>
    <n v="30"/>
    <s v="United States"/>
    <n v="10"/>
    <x v="21"/>
    <n v="11.22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0"/>
    <n v="8.6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"/>
    <n v="8.77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2"/>
    <n v="8.6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3"/>
    <n v="8.9600000000000009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4"/>
    <n v="9.1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5"/>
    <n v="4.7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6"/>
    <n v="4.91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7"/>
    <n v="5.01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8"/>
    <n v="5.16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9"/>
    <n v="6.8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0"/>
    <n v="7.4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1"/>
    <n v="8.25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2"/>
    <n v="9.26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3"/>
    <n v="8.06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4"/>
    <n v="8.64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5"/>
    <n v="8.82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6"/>
    <n v="8.99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7"/>
    <n v="9.1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8"/>
    <n v="9.73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19"/>
    <n v="9.6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20"/>
    <n v="9.800000000000000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3"/>
    <n v="40"/>
    <s v="United States"/>
    <n v="10"/>
    <x v="21"/>
    <n v="9.8699999999999992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0"/>
    <n v="8.029999999999999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"/>
    <n v="8.2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2"/>
    <n v="8.07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3"/>
    <n v="8.36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4"/>
    <n v="8.529999999999999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5"/>
    <n v="4.32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6"/>
    <n v="4.4400000000000004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7"/>
    <n v="4.46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8"/>
    <n v="4.5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9"/>
    <n v="8.01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0"/>
    <n v="8.64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1"/>
    <n v="9.5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2"/>
    <n v="10.77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3"/>
    <n v="9.3699999999999992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4"/>
    <n v="10.050000000000001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5"/>
    <n v="9.48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6"/>
    <n v="9.6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7"/>
    <n v="9.8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8"/>
    <n v="10.48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19"/>
    <n v="10.4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20"/>
    <n v="10.5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4"/>
    <n v="50"/>
    <s v="United States"/>
    <n v="10"/>
    <x v="21"/>
    <n v="10.63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0"/>
    <n v="5.6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"/>
    <n v="5.7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2"/>
    <n v="5.67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3"/>
    <n v="5.83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4"/>
    <n v="5.88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5"/>
    <n v="3.77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6"/>
    <n v="3.8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7"/>
    <n v="3.87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8"/>
    <n v="4.03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9"/>
    <n v="6.16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0"/>
    <n v="6.65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1"/>
    <n v="7.3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2"/>
    <n v="8.2799999999999994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3"/>
    <n v="7.2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4"/>
    <n v="7.7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5"/>
    <n v="9.6199999999999992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6"/>
    <n v="9.8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7"/>
    <n v="10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8"/>
    <n v="10.63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19"/>
    <n v="10.5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20"/>
    <n v="10.7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5"/>
    <n v="60"/>
    <s v="United States"/>
    <n v="10"/>
    <x v="21"/>
    <n v="10.78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0"/>
    <n v="4.9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"/>
    <n v="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2"/>
    <n v="4.8600000000000003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3"/>
    <n v="4.99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4"/>
    <n v="4.9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5"/>
    <n v="4.5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6"/>
    <n v="4.5599999999999996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7"/>
    <n v="4.6500000000000004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8"/>
    <n v="4.7699999999999996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9"/>
    <n v="6.83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0"/>
    <n v="7.37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1"/>
    <n v="8.1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2"/>
    <n v="9.1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3"/>
    <n v="7.9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4"/>
    <n v="8.57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5"/>
    <n v="8.4499999999999993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6"/>
    <n v="8.6199999999999992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7"/>
    <n v="8.789999999999999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8"/>
    <n v="9.3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19"/>
    <n v="9.279999999999999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20"/>
    <n v="9.41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6"/>
    <n v="70"/>
    <s v="United States"/>
    <n v="10"/>
    <x v="21"/>
    <n v="9.4700000000000006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0"/>
    <n v="5.74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"/>
    <n v="5.82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2"/>
    <n v="5.69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3"/>
    <n v="5.88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4"/>
    <n v="5.95"/>
    <x v="0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5"/>
    <n v="6.48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6"/>
    <n v="6.64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7"/>
    <n v="6.72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8"/>
    <n v="6.98"/>
    <x v="1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9"/>
    <n v="7.5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0"/>
    <n v="8.09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1"/>
    <n v="8.9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2"/>
    <n v="10.08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3"/>
    <n v="8.77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4"/>
    <n v="9.41"/>
    <x v="2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5"/>
    <n v="8.14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6"/>
    <n v="8.300000000000000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7"/>
    <n v="8.4600000000000009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8"/>
    <n v="8.99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19"/>
    <n v="8.93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20"/>
    <n v="9.0500000000000007"/>
    <x v="3"/>
    <x v="0"/>
    <n v="1050"/>
  </r>
  <r>
    <s v="Soybean"/>
    <n v="80"/>
    <x v="2"/>
    <x v="2"/>
    <s v="Taxes and insurance"/>
    <x v="15"/>
    <x v="15"/>
    <s v="dollars per planted acre"/>
    <s v="$ / planted ac"/>
    <n v="10"/>
    <x v="7"/>
    <n v="100"/>
    <s v="United States"/>
    <n v="10"/>
    <x v="21"/>
    <n v="9.11"/>
    <x v="3"/>
    <x v="0"/>
    <n v="105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0"/>
    <n v="13.68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"/>
    <n v="12.9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2"/>
    <n v="14.13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3"/>
    <n v="14.56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4"/>
    <n v="15.17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5"/>
    <n v="11.37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6"/>
    <n v="11.6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7"/>
    <n v="11.8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8"/>
    <n v="12.47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9"/>
    <n v="13.2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0"/>
    <n v="13.89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1"/>
    <n v="14.29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2"/>
    <n v="14.57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3"/>
    <n v="14.8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4"/>
    <n v="15.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5"/>
    <n v="17.440000000000001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6"/>
    <n v="17.61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7"/>
    <n v="17.93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8"/>
    <n v="17.95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19"/>
    <n v="17.98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20"/>
    <n v="18.25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0"/>
    <n v="10"/>
    <s v="United States"/>
    <n v="10"/>
    <x v="21"/>
    <n v="18.8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0"/>
    <n v="14.2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"/>
    <n v="13.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2"/>
    <n v="14.55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3"/>
    <n v="14.9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4"/>
    <n v="15.46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5"/>
    <n v="11.8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6"/>
    <n v="12.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7"/>
    <n v="12.35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8"/>
    <n v="12.97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9"/>
    <n v="13.5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0"/>
    <n v="13.87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1"/>
    <n v="15.9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2"/>
    <n v="14.6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3"/>
    <n v="14.9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4"/>
    <n v="15.4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5"/>
    <n v="17.8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6"/>
    <n v="17.989999999999998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7"/>
    <n v="18.34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8"/>
    <n v="18.36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19"/>
    <n v="18.3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20"/>
    <n v="18.7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1"/>
    <n v="20"/>
    <s v="United States"/>
    <n v="10"/>
    <x v="21"/>
    <n v="19.36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0"/>
    <n v="13.98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"/>
    <n v="13.27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2"/>
    <n v="14.6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3"/>
    <n v="15.06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4"/>
    <n v="15.6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5"/>
    <n v="13.6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6"/>
    <n v="14.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7"/>
    <n v="14.3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8"/>
    <n v="15.0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9"/>
    <n v="17.3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0"/>
    <n v="17.84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1"/>
    <n v="18.44000000000000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2"/>
    <n v="18.8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3"/>
    <n v="19.1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4"/>
    <n v="19.87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5"/>
    <n v="22.17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6"/>
    <n v="22.3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7"/>
    <n v="22.8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8"/>
    <n v="22.84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19"/>
    <n v="22.88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20"/>
    <n v="23.2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2"/>
    <n v="30"/>
    <s v="United States"/>
    <n v="10"/>
    <x v="21"/>
    <n v="24.0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0"/>
    <n v="21.2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"/>
    <n v="20.0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2"/>
    <n v="21.9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3"/>
    <n v="22.5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4"/>
    <n v="23.37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5"/>
    <n v="9.3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6"/>
    <n v="9.65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7"/>
    <n v="9.970000000000000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8"/>
    <n v="10.37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9"/>
    <n v="10.75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0"/>
    <n v="11.05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1"/>
    <n v="11.4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2"/>
    <n v="11.64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3"/>
    <n v="11.8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4"/>
    <n v="12.3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5"/>
    <n v="14.1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6"/>
    <n v="14.33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7"/>
    <n v="14.61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8"/>
    <n v="14.6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19"/>
    <n v="14.65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20"/>
    <n v="14.91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3"/>
    <n v="40"/>
    <s v="United States"/>
    <n v="10"/>
    <x v="21"/>
    <n v="15.4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0"/>
    <n v="13.3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"/>
    <n v="12.5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2"/>
    <n v="13.65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3"/>
    <n v="14.07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4"/>
    <n v="14.71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5"/>
    <n v="8.94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6"/>
    <n v="9.19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7"/>
    <n v="9.3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8"/>
    <n v="9.720000000000000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9"/>
    <n v="14.7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0"/>
    <n v="15.13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1"/>
    <n v="15.63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2"/>
    <n v="15.94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3"/>
    <n v="16.239999999999998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4"/>
    <n v="16.85000000000000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5"/>
    <n v="14.73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6"/>
    <n v="14.87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7"/>
    <n v="15.16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8"/>
    <n v="15.17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19"/>
    <n v="15.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20"/>
    <n v="15.47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4"/>
    <n v="50"/>
    <s v="United States"/>
    <n v="10"/>
    <x v="21"/>
    <n v="16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0"/>
    <n v="10.6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"/>
    <n v="10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2"/>
    <n v="10.88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3"/>
    <n v="11.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4"/>
    <n v="11.7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5"/>
    <n v="7.42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6"/>
    <n v="7.54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7"/>
    <n v="7.69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8"/>
    <n v="8.1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9"/>
    <n v="13.14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0"/>
    <n v="13.5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1"/>
    <n v="13.9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2"/>
    <n v="14.23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3"/>
    <n v="14.5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4"/>
    <n v="15.04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5"/>
    <n v="17.78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6"/>
    <n v="17.95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7"/>
    <n v="18.3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8"/>
    <n v="18.3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19"/>
    <n v="18.350000000000001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20"/>
    <n v="18.68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5"/>
    <n v="60"/>
    <s v="United States"/>
    <n v="10"/>
    <x v="21"/>
    <n v="19.3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0"/>
    <n v="1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"/>
    <n v="11.4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2"/>
    <n v="12.51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3"/>
    <n v="12.84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4"/>
    <n v="13.36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5"/>
    <n v="8.3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6"/>
    <n v="8.5500000000000007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7"/>
    <n v="8.720000000000000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8"/>
    <n v="9.18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9"/>
    <n v="10.039999999999999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0"/>
    <n v="10.3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1"/>
    <n v="10.66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2"/>
    <n v="10.87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3"/>
    <n v="11.08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4"/>
    <n v="11.49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5"/>
    <n v="20.27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6"/>
    <n v="20.47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7"/>
    <n v="20.86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8"/>
    <n v="20.88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19"/>
    <n v="20.9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20"/>
    <n v="21.2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6"/>
    <n v="70"/>
    <s v="United States"/>
    <n v="10"/>
    <x v="21"/>
    <n v="22.0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0"/>
    <n v="10.050000000000001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"/>
    <n v="9.5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2"/>
    <n v="10.35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3"/>
    <n v="10.6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4"/>
    <n v="10.92"/>
    <x v="0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5"/>
    <n v="11.93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6"/>
    <n v="12.21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7"/>
    <n v="12.46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8"/>
    <n v="13.15"/>
    <x v="1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9"/>
    <n v="9.7100000000000009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0"/>
    <n v="9.98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1"/>
    <n v="10.3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2"/>
    <n v="10.5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3"/>
    <n v="10.71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4"/>
    <n v="11.12"/>
    <x v="2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5"/>
    <n v="16.04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6"/>
    <n v="16.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7"/>
    <n v="16.510000000000002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8"/>
    <n v="16.53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19"/>
    <n v="16.559999999999999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20"/>
    <n v="16.86"/>
    <x v="3"/>
    <x v="0"/>
    <n v="1060"/>
  </r>
  <r>
    <s v="Soybean"/>
    <n v="80"/>
    <x v="2"/>
    <x v="2"/>
    <s v="General farm overhead"/>
    <x v="16"/>
    <x v="16"/>
    <s v="dollars per planted acre"/>
    <s v="$ / planted ac"/>
    <n v="10"/>
    <x v="7"/>
    <n v="100"/>
    <s v="United States"/>
    <n v="10"/>
    <x v="21"/>
    <n v="17.440000000000001"/>
    <x v="3"/>
    <x v="0"/>
    <n v="106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0"/>
    <n v="166.36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"/>
    <n v="168.24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2"/>
    <n v="172.6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3"/>
    <n v="176.82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4"/>
    <n v="182.2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5"/>
    <n v="158.5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6"/>
    <n v="160.83000000000001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7"/>
    <n v="167.2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8"/>
    <n v="174.18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9"/>
    <n v="184.68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0"/>
    <n v="190.4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1"/>
    <n v="206.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2"/>
    <n v="227.78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3"/>
    <n v="232.1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4"/>
    <n v="246.17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5"/>
    <n v="265.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6"/>
    <n v="281.68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7"/>
    <n v="289.9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8"/>
    <n v="296.3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19"/>
    <n v="283.14999999999998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20"/>
    <n v="285.4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0"/>
    <n v="10"/>
    <s v="United States"/>
    <n v="10"/>
    <x v="21"/>
    <n v="290.9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0"/>
    <n v="172.8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"/>
    <n v="175.34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2"/>
    <n v="178.0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3"/>
    <n v="183.93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4"/>
    <n v="188.61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5"/>
    <n v="167.66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6"/>
    <n v="170.93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7"/>
    <n v="178.6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8"/>
    <n v="185.12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9"/>
    <n v="196.7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0"/>
    <n v="198.61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1"/>
    <n v="286.0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2"/>
    <n v="239.74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3"/>
    <n v="244.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4"/>
    <n v="262.98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5"/>
    <n v="289.8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6"/>
    <n v="307.77999999999997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7"/>
    <n v="318.3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8"/>
    <n v="325.57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19"/>
    <n v="308.24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20"/>
    <n v="310.88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1"/>
    <n v="20"/>
    <s v="United States"/>
    <n v="10"/>
    <x v="21"/>
    <n v="316.3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0"/>
    <n v="158.6999999999999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"/>
    <n v="163.6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2"/>
    <n v="165.56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3"/>
    <n v="171.9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4"/>
    <n v="177.87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5"/>
    <n v="163.11000000000001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6"/>
    <n v="164.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7"/>
    <n v="169.5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8"/>
    <n v="176.12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9"/>
    <n v="169.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0"/>
    <n v="171.9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1"/>
    <n v="186.7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2"/>
    <n v="204.8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3"/>
    <n v="208.4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4"/>
    <n v="222.7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5"/>
    <n v="231.55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6"/>
    <n v="244.3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7"/>
    <n v="252.4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8"/>
    <n v="258.17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19"/>
    <n v="247.24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20"/>
    <n v="249.89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2"/>
    <n v="30"/>
    <s v="United States"/>
    <n v="10"/>
    <x v="21"/>
    <n v="254.64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0"/>
    <n v="127.7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"/>
    <n v="130.57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2"/>
    <n v="135.04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3"/>
    <n v="139.12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4"/>
    <n v="142.68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5"/>
    <n v="112.2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6"/>
    <n v="116.5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7"/>
    <n v="121.55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8"/>
    <n v="128.52000000000001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9"/>
    <n v="144.8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0"/>
    <n v="148.25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1"/>
    <n v="161.1699999999999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2"/>
    <n v="175.37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3"/>
    <n v="179.07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4"/>
    <n v="190.94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5"/>
    <n v="231.3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6"/>
    <n v="242.85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7"/>
    <n v="251.09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8"/>
    <n v="256.9700000000000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19"/>
    <n v="248.75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20"/>
    <n v="251.9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3"/>
    <n v="40"/>
    <s v="United States"/>
    <n v="10"/>
    <x v="21"/>
    <n v="256.31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0"/>
    <n v="145.6699999999999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"/>
    <n v="149.2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2"/>
    <n v="156.5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3"/>
    <n v="152.93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4"/>
    <n v="161.06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5"/>
    <n v="149.93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6"/>
    <n v="152.85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7"/>
    <n v="159.38999999999999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8"/>
    <n v="165.02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9"/>
    <n v="176.9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0"/>
    <n v="180.76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1"/>
    <n v="196.2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2"/>
    <n v="213.6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3"/>
    <n v="218.1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4"/>
    <n v="232.54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5"/>
    <n v="223.89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6"/>
    <n v="235.29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7"/>
    <n v="243.21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8"/>
    <n v="248.96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19"/>
    <n v="240.51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20"/>
    <n v="243.5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4"/>
    <n v="50"/>
    <s v="United States"/>
    <n v="10"/>
    <x v="21"/>
    <n v="247.87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0"/>
    <n v="135.66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"/>
    <n v="126.3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2"/>
    <n v="137.55000000000001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3"/>
    <n v="144.4199999999999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4"/>
    <n v="147.6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5"/>
    <n v="121.5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6"/>
    <n v="123.92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7"/>
    <n v="130.35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8"/>
    <n v="135.63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9"/>
    <n v="150.01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0"/>
    <n v="152.8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1"/>
    <n v="165.81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2"/>
    <n v="180.96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3"/>
    <n v="184.7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4"/>
    <n v="197.05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5"/>
    <n v="204.08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6"/>
    <n v="214.86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7"/>
    <n v="221.85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8"/>
    <n v="227.1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19"/>
    <n v="218.67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20"/>
    <n v="221.26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5"/>
    <n v="60"/>
    <s v="United States"/>
    <n v="10"/>
    <x v="21"/>
    <n v="225.81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0"/>
    <n v="125.61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"/>
    <n v="130.3899999999999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2"/>
    <n v="132.08000000000001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3"/>
    <n v="141.5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4"/>
    <n v="144.18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5"/>
    <n v="106.38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6"/>
    <n v="107.52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7"/>
    <n v="111.69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8"/>
    <n v="117.98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9"/>
    <n v="127.38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0"/>
    <n v="130.44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1"/>
    <n v="141.3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2"/>
    <n v="153.31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3"/>
    <n v="156.18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4"/>
    <n v="166.05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5"/>
    <n v="172.51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6"/>
    <n v="179.94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7"/>
    <n v="185.61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8"/>
    <n v="190.0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19"/>
    <n v="186.1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20"/>
    <n v="188.92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6"/>
    <n v="70"/>
    <s v="United States"/>
    <n v="10"/>
    <x v="21"/>
    <n v="193.06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0"/>
    <n v="158.59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"/>
    <n v="154.56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2"/>
    <n v="170.64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3"/>
    <n v="165.2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4"/>
    <n v="172.46"/>
    <x v="0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5"/>
    <n v="161.06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6"/>
    <n v="159.94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7"/>
    <n v="167.65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8"/>
    <n v="173.41"/>
    <x v="1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9"/>
    <n v="175.31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0"/>
    <n v="178.83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1"/>
    <n v="194.22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2"/>
    <n v="211.95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3"/>
    <n v="216.39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4"/>
    <n v="230.76"/>
    <x v="2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5"/>
    <n v="258.86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6"/>
    <n v="271.38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7"/>
    <n v="280.26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8"/>
    <n v="287.05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19"/>
    <n v="279.27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20"/>
    <n v="283.16000000000003"/>
    <x v="3"/>
    <x v="0"/>
    <n v="1080"/>
  </r>
  <r>
    <s v="Soybean"/>
    <n v="80"/>
    <x v="2"/>
    <x v="2"/>
    <s v="Total, allocated overhead"/>
    <x v="17"/>
    <x v="17"/>
    <s v="dollars per planted acre"/>
    <s v="$ / planted ac"/>
    <n v="10"/>
    <x v="7"/>
    <n v="100"/>
    <s v="United States"/>
    <n v="10"/>
    <x v="21"/>
    <n v="289.19"/>
    <x v="3"/>
    <x v="0"/>
    <n v="108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0"/>
    <n v="245.83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"/>
    <n v="247.56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2"/>
    <n v="249.02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3"/>
    <n v="254.1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4"/>
    <n v="264.08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5"/>
    <n v="232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6"/>
    <n v="238.49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7"/>
    <n v="249.01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8"/>
    <n v="264.39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9"/>
    <n v="278.0899999999999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0"/>
    <n v="297.05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1"/>
    <n v="334.69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2"/>
    <n v="358.2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3"/>
    <n v="364.09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4"/>
    <n v="383.04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5"/>
    <n v="437.59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6"/>
    <n v="458.31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7"/>
    <n v="466.7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8"/>
    <n v="463.3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19"/>
    <n v="443.46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20"/>
    <n v="443.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0"/>
    <n v="10"/>
    <s v="United States"/>
    <n v="10"/>
    <x v="21"/>
    <n v="449.83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0"/>
    <n v="250.52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"/>
    <n v="252.64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2"/>
    <n v="252.27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3"/>
    <n v="258.47000000000003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4"/>
    <n v="266.88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5"/>
    <n v="237.92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6"/>
    <n v="246.31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7"/>
    <n v="256.47000000000003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8"/>
    <n v="270.35000000000002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9"/>
    <n v="284.74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0"/>
    <n v="296.6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1"/>
    <n v="423.3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2"/>
    <n v="360.2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3"/>
    <n v="366.8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4"/>
    <n v="391.75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5"/>
    <n v="452.76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6"/>
    <n v="474.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7"/>
    <n v="484.99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8"/>
    <n v="484.83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19"/>
    <n v="460.78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20"/>
    <n v="460.9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1"/>
    <n v="20"/>
    <s v="United States"/>
    <n v="10"/>
    <x v="21"/>
    <n v="466.9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0"/>
    <n v="246.94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"/>
    <n v="252.85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2"/>
    <n v="251.49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3"/>
    <n v="259.45999999999998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4"/>
    <n v="274.39999999999998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5"/>
    <n v="247.39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6"/>
    <n v="253.1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7"/>
    <n v="262.76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8"/>
    <n v="278.73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9"/>
    <n v="270.92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0"/>
    <n v="285.3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1"/>
    <n v="324.89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2"/>
    <n v="345.83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3"/>
    <n v="348.82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4"/>
    <n v="373.3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5"/>
    <n v="413.01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6"/>
    <n v="429.1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7"/>
    <n v="436.9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8"/>
    <n v="434.64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19"/>
    <n v="414.7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20"/>
    <n v="413.88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2"/>
    <n v="30"/>
    <s v="United States"/>
    <n v="10"/>
    <x v="21"/>
    <n v="418.8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0"/>
    <n v="197.55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"/>
    <n v="197.39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2"/>
    <n v="201.56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3"/>
    <n v="205.3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4"/>
    <n v="214.52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5"/>
    <n v="176.87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6"/>
    <n v="188.19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7"/>
    <n v="197.18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8"/>
    <n v="212.04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9"/>
    <n v="227.15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0"/>
    <n v="240.2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1"/>
    <n v="267.0899999999999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2"/>
    <n v="286.95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3"/>
    <n v="294.8999999999999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4"/>
    <n v="310.3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5"/>
    <n v="375.86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6"/>
    <n v="390.89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7"/>
    <n v="400.01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8"/>
    <n v="399.6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19"/>
    <n v="386.5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20"/>
    <n v="389.13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3"/>
    <n v="40"/>
    <s v="United States"/>
    <n v="10"/>
    <x v="21"/>
    <n v="394.8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0"/>
    <n v="226.4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"/>
    <n v="230.05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2"/>
    <n v="236.38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3"/>
    <n v="235.47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4"/>
    <n v="247.85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5"/>
    <n v="236.02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6"/>
    <n v="242.3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7"/>
    <n v="251.78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8"/>
    <n v="270.24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9"/>
    <n v="283.0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0"/>
    <n v="298.0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1"/>
    <n v="333.75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2"/>
    <n v="347.4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3"/>
    <n v="359.0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4"/>
    <n v="383.5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5"/>
    <n v="391.5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6"/>
    <n v="406.7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7"/>
    <n v="415.6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8"/>
    <n v="411.78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19"/>
    <n v="397.79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20"/>
    <n v="400.24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4"/>
    <n v="50"/>
    <s v="United States"/>
    <n v="10"/>
    <x v="21"/>
    <n v="406.28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0"/>
    <n v="221.11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"/>
    <n v="211.54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2"/>
    <n v="222.2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3"/>
    <n v="229.21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4"/>
    <n v="238.43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5"/>
    <n v="193.45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6"/>
    <n v="200.5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7"/>
    <n v="212.28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8"/>
    <n v="228.98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9"/>
    <n v="245.6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0"/>
    <n v="259.52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1"/>
    <n v="297.4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2"/>
    <n v="314.4599999999999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3"/>
    <n v="316.45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4"/>
    <n v="339.53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5"/>
    <n v="391.7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6"/>
    <n v="405.0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7"/>
    <n v="410.7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8"/>
    <n v="406.29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19"/>
    <n v="386.4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20"/>
    <n v="384.19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5"/>
    <n v="60"/>
    <s v="United States"/>
    <n v="10"/>
    <x v="21"/>
    <n v="388.34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0"/>
    <n v="216.73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"/>
    <n v="223.82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2"/>
    <n v="221.02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3"/>
    <n v="232.91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4"/>
    <n v="248.4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5"/>
    <n v="186.1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6"/>
    <n v="185.17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7"/>
    <n v="199.53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8"/>
    <n v="213.45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9"/>
    <n v="235.5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0"/>
    <n v="250.79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1"/>
    <n v="296.1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2"/>
    <n v="308.69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3"/>
    <n v="303.61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4"/>
    <n v="329.4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5"/>
    <n v="380.0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6"/>
    <n v="390.51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7"/>
    <n v="395.2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8"/>
    <n v="388.2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19"/>
    <n v="373.31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20"/>
    <n v="370.96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6"/>
    <n v="70"/>
    <s v="United States"/>
    <n v="10"/>
    <x v="21"/>
    <n v="374.8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0"/>
    <n v="241.47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"/>
    <n v="237.99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2"/>
    <n v="250.8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3"/>
    <n v="249.24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4"/>
    <n v="263.31"/>
    <x v="0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5"/>
    <n v="247.01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6"/>
    <n v="250.77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7"/>
    <n v="263.26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8"/>
    <n v="280.44"/>
    <x v="1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9"/>
    <n v="295.97000000000003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0"/>
    <n v="311.79000000000002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1"/>
    <n v="352.07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2"/>
    <n v="366.18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3"/>
    <n v="375.83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4"/>
    <n v="402.46"/>
    <x v="2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5"/>
    <n v="502.13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6"/>
    <n v="519.02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7"/>
    <n v="528.98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8"/>
    <n v="516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19"/>
    <n v="499.15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20"/>
    <n v="503.17"/>
    <x v="3"/>
    <x v="0"/>
    <n v="1090"/>
  </r>
  <r>
    <s v="Soybean"/>
    <n v="80"/>
    <x v="3"/>
    <x v="3"/>
    <s v="Total, costs listed"/>
    <x v="18"/>
    <x v="18"/>
    <s v="dollars per planted acre"/>
    <s v="$ / planted ac"/>
    <n v="10"/>
    <x v="7"/>
    <n v="100"/>
    <s v="United States"/>
    <n v="10"/>
    <x v="21"/>
    <n v="512.32000000000005"/>
    <x v="3"/>
    <x v="0"/>
    <n v="109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0"/>
    <n v="32.94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"/>
    <n v="-24.39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2"/>
    <n v="-71.0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3"/>
    <n v="-71.650000000000006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4"/>
    <n v="-85.46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5"/>
    <n v="-24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6"/>
    <n v="-5.0199999999999996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7"/>
    <n v="4.45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8"/>
    <n v="0.18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9"/>
    <n v="-23.2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0"/>
    <n v="60.7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1"/>
    <n v="115.9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2"/>
    <n v="78.8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3"/>
    <n v="85.2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4"/>
    <n v="142.32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5"/>
    <n v="159.22999999999999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6"/>
    <n v="112.7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7"/>
    <n v="55.5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8"/>
    <n v="-32.74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19"/>
    <n v="48.4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20"/>
    <n v="11.2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0"/>
    <n v="10"/>
    <s v="United States"/>
    <n v="10"/>
    <x v="21"/>
    <n v="-5.6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0"/>
    <n v="41.53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"/>
    <n v="-15.28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2"/>
    <n v="-66.209999999999994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3"/>
    <n v="-58.67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4"/>
    <n v="-77.099999999999994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5"/>
    <n v="-14.75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6"/>
    <n v="-9.1999999999999993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7"/>
    <n v="15.61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8"/>
    <n v="11.74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9"/>
    <n v="-8.24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0"/>
    <n v="96.92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1"/>
    <n v="84.47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2"/>
    <n v="142.5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3"/>
    <n v="138.5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4"/>
    <n v="224.18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5"/>
    <n v="159.5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6"/>
    <n v="129.69999999999999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7"/>
    <n v="69.38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8"/>
    <n v="-20.99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19"/>
    <n v="71.2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20"/>
    <n v="31.4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1"/>
    <n v="20"/>
    <s v="United States"/>
    <n v="10"/>
    <x v="21"/>
    <n v="19.1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0"/>
    <n v="33.4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"/>
    <n v="-28.01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2"/>
    <n v="-62.29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3"/>
    <n v="-77.4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4"/>
    <n v="-124.4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5"/>
    <n v="-33.43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6"/>
    <n v="-58.62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7"/>
    <n v="-49.22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8"/>
    <n v="-30.48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9"/>
    <n v="-18.84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0"/>
    <n v="59.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1"/>
    <n v="59.91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2"/>
    <n v="69.97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3"/>
    <n v="119.18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4"/>
    <n v="198.94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5"/>
    <n v="220.14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6"/>
    <n v="118.5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7"/>
    <n v="58.0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8"/>
    <n v="-4.4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19"/>
    <n v="85.07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20"/>
    <n v="2.37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2"/>
    <n v="30"/>
    <s v="United States"/>
    <n v="10"/>
    <x v="21"/>
    <n v="8.41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0"/>
    <n v="37.67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"/>
    <n v="6.73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2"/>
    <n v="-33.159999999999997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3"/>
    <n v="-43.8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4"/>
    <n v="-72.400000000000006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5"/>
    <n v="-1.48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6"/>
    <n v="-3.46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7"/>
    <n v="-28.76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8"/>
    <n v="8.6199999999999992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9"/>
    <n v="-46.9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0"/>
    <n v="63.5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1"/>
    <n v="65.540000000000006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2"/>
    <n v="36.45000000000000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3"/>
    <n v="58.08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4"/>
    <n v="62.7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5"/>
    <n v="143.6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6"/>
    <n v="29.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7"/>
    <n v="-23.3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8"/>
    <n v="-80.6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19"/>
    <n v="7.2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20"/>
    <n v="-63.1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3"/>
    <n v="40"/>
    <s v="United States"/>
    <n v="10"/>
    <x v="21"/>
    <n v="-76.0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0"/>
    <n v="36.409999999999997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"/>
    <n v="-41.7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2"/>
    <n v="-82.03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3"/>
    <n v="-120.81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4"/>
    <n v="-90.8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5"/>
    <n v="-66.48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6"/>
    <n v="-16.07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7"/>
    <n v="6.88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8"/>
    <n v="0.32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9"/>
    <n v="-55.84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0"/>
    <n v="54.97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1"/>
    <n v="148.4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2"/>
    <n v="134.9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3"/>
    <n v="51.28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4"/>
    <n v="66.36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5"/>
    <n v="47.08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6"/>
    <n v="141.33000000000001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7"/>
    <n v="37.09000000000000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8"/>
    <n v="-18.48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19"/>
    <n v="86.8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20"/>
    <n v="-17.11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4"/>
    <n v="50"/>
    <s v="United States"/>
    <n v="10"/>
    <x v="21"/>
    <n v="-10.7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0"/>
    <n v="27.65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"/>
    <n v="-36.18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2"/>
    <n v="-121.2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3"/>
    <n v="-73.83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4"/>
    <n v="-72.290000000000006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5"/>
    <n v="-34.82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6"/>
    <n v="53.34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7"/>
    <n v="1.1000000000000001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8"/>
    <n v="-27.39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9"/>
    <n v="-36.869999999999997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0"/>
    <n v="-43.2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1"/>
    <n v="90.96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2"/>
    <n v="79.14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3"/>
    <n v="11.22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4"/>
    <n v="154.47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5"/>
    <n v="226.1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6"/>
    <n v="85.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7"/>
    <n v="50.41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8"/>
    <n v="-61.0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19"/>
    <n v="-7.32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20"/>
    <n v="37.3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5"/>
    <n v="60"/>
    <s v="United States"/>
    <n v="10"/>
    <x v="21"/>
    <n v="-37.34000000000000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0"/>
    <n v="-4.07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"/>
    <n v="-6.62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2"/>
    <n v="-100.06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3"/>
    <n v="-58.58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4"/>
    <n v="-87.76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5"/>
    <n v="-61.67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6"/>
    <n v="38.76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7"/>
    <n v="-0.23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8"/>
    <n v="-50.88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9"/>
    <n v="-41.0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0"/>
    <n v="-44.2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1"/>
    <n v="91.18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2"/>
    <n v="65.2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3"/>
    <n v="6.6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4"/>
    <n v="113.62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5"/>
    <n v="178.46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6"/>
    <n v="56.59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7"/>
    <n v="46.7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8"/>
    <n v="-83.61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19"/>
    <n v="-34.51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20"/>
    <n v="24.69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6"/>
    <n v="70"/>
    <s v="United States"/>
    <n v="10"/>
    <x v="21"/>
    <n v="-59.4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0"/>
    <n v="-25.09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"/>
    <n v="-94.49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2"/>
    <n v="-130.05000000000001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3"/>
    <n v="-136.44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4"/>
    <n v="-122.35"/>
    <x v="0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5"/>
    <n v="-46.84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6"/>
    <n v="52.44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7"/>
    <n v="1.84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8"/>
    <n v="-37.06"/>
    <x v="1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9"/>
    <n v="-82.1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0"/>
    <n v="-59.95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1"/>
    <n v="1.53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2"/>
    <n v="-24.58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3"/>
    <n v="-43.19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4"/>
    <n v="14.04"/>
    <x v="2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5"/>
    <n v="11.9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6"/>
    <n v="59.14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7"/>
    <n v="34.52000000000000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8"/>
    <n v="-64.739999999999995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19"/>
    <n v="-49.73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20"/>
    <n v="-6.94"/>
    <x v="3"/>
    <x v="0"/>
    <n v="1100"/>
  </r>
  <r>
    <s v="Soybean"/>
    <n v="80"/>
    <x v="4"/>
    <x v="4"/>
    <s v="Value of production less total costs listed"/>
    <x v="19"/>
    <x v="19"/>
    <s v="dollars per planted acre"/>
    <s v="$ / planted ac"/>
    <n v="10"/>
    <x v="7"/>
    <n v="100"/>
    <s v="United States"/>
    <n v="10"/>
    <x v="21"/>
    <n v="-39.32"/>
    <x v="3"/>
    <x v="0"/>
    <n v="110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0"/>
    <n v="199.31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"/>
    <n v="143.85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2"/>
    <n v="101.6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3"/>
    <n v="105.1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4"/>
    <n v="96.79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5"/>
    <n v="134.5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6"/>
    <n v="155.81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7"/>
    <n v="171.6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8"/>
    <n v="174.36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9"/>
    <n v="161.4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0"/>
    <n v="251.1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1"/>
    <n v="322.8500000000000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2"/>
    <n v="306.61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3"/>
    <n v="317.4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4"/>
    <n v="388.49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5"/>
    <n v="424.53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6"/>
    <n v="394.4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7"/>
    <n v="345.45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8"/>
    <n v="263.5899999999999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19"/>
    <n v="331.6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20"/>
    <n v="296.64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0"/>
    <n v="10"/>
    <s v="United States"/>
    <n v="10"/>
    <x v="21"/>
    <n v="285.3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0"/>
    <n v="214.38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"/>
    <n v="160.06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2"/>
    <n v="111.84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3"/>
    <n v="125.26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4"/>
    <n v="111.51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5"/>
    <n v="152.91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6"/>
    <n v="161.7299999999999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7"/>
    <n v="194.21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8"/>
    <n v="196.86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9"/>
    <n v="188.49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0"/>
    <n v="295.5299999999999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1"/>
    <n v="370.49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2"/>
    <n v="382.3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3"/>
    <n v="383.4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4"/>
    <n v="487.16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5"/>
    <n v="449.3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6"/>
    <n v="437.48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7"/>
    <n v="387.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8"/>
    <n v="304.58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19"/>
    <n v="379.4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20"/>
    <n v="342.28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1"/>
    <n v="20"/>
    <s v="United States"/>
    <n v="10"/>
    <x v="21"/>
    <n v="335.49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0"/>
    <n v="192.12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"/>
    <n v="135.68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2"/>
    <n v="103.2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3"/>
    <n v="94.5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4"/>
    <n v="53.45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5"/>
    <n v="129.68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6"/>
    <n v="105.78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7"/>
    <n v="120.32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8"/>
    <n v="145.6399999999999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9"/>
    <n v="150.36000000000001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0"/>
    <n v="231.4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1"/>
    <n v="246.64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2"/>
    <n v="274.7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3"/>
    <n v="327.6000000000000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4"/>
    <n v="421.7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5"/>
    <n v="451.69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6"/>
    <n v="362.85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7"/>
    <n v="310.43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8"/>
    <n v="253.75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19"/>
    <n v="332.3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20"/>
    <n v="252.2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2"/>
    <n v="30"/>
    <s v="United States"/>
    <n v="10"/>
    <x v="21"/>
    <n v="263.05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0"/>
    <n v="165.3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"/>
    <n v="137.30000000000001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2"/>
    <n v="101.88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3"/>
    <n v="95.32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4"/>
    <n v="70.28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5"/>
    <n v="110.76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6"/>
    <n v="113.08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7"/>
    <n v="92.7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8"/>
    <n v="137.1399999999999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9"/>
    <n v="97.8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0"/>
    <n v="211.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1"/>
    <n v="226.71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2"/>
    <n v="211.8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3"/>
    <n v="237.15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4"/>
    <n v="253.69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5"/>
    <n v="374.94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6"/>
    <n v="272.05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7"/>
    <n v="227.74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8"/>
    <n v="176.3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19"/>
    <n v="255.98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20"/>
    <n v="188.7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3"/>
    <n v="40"/>
    <s v="United States"/>
    <n v="10"/>
    <x v="21"/>
    <n v="180.2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0"/>
    <n v="182.08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"/>
    <n v="107.53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2"/>
    <n v="74.56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3"/>
    <n v="32.11999999999999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4"/>
    <n v="70.239999999999995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5"/>
    <n v="83.45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6"/>
    <n v="136.78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7"/>
    <n v="166.27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8"/>
    <n v="165.34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9"/>
    <n v="121.0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0"/>
    <n v="235.7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1"/>
    <n v="344.7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2"/>
    <n v="348.6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3"/>
    <n v="269.41000000000003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4"/>
    <n v="298.8999999999999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5"/>
    <n v="270.97000000000003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6"/>
    <n v="376.62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7"/>
    <n v="280.3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8"/>
    <n v="230.48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19"/>
    <n v="327.3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20"/>
    <n v="226.39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4"/>
    <n v="50"/>
    <s v="United States"/>
    <n v="10"/>
    <x v="21"/>
    <n v="237.1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0"/>
    <n v="163.31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"/>
    <n v="90.1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2"/>
    <n v="16.329999999999998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3"/>
    <n v="70.59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4"/>
    <n v="75.36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5"/>
    <n v="86.72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6"/>
    <n v="177.26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7"/>
    <n v="131.4499999999999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8"/>
    <n v="108.24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9"/>
    <n v="113.14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0"/>
    <n v="109.6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1"/>
    <n v="256.7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2"/>
    <n v="260.1000000000000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3"/>
    <n v="195.95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4"/>
    <n v="351.5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5"/>
    <n v="430.24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6"/>
    <n v="300.45999999999998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7"/>
    <n v="272.2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8"/>
    <n v="166.0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19"/>
    <n v="211.35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20"/>
    <n v="258.5899999999999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5"/>
    <n v="60"/>
    <s v="United States"/>
    <n v="10"/>
    <x v="21"/>
    <n v="188.4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0"/>
    <n v="121.54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"/>
    <n v="123.7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2"/>
    <n v="32.020000000000003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3"/>
    <n v="82.92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4"/>
    <n v="56.42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5"/>
    <n v="44.71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6"/>
    <n v="146.28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7"/>
    <n v="111.46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8"/>
    <n v="67.099999999999994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9"/>
    <n v="86.29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0"/>
    <n v="86.15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1"/>
    <n v="232.5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2"/>
    <n v="218.54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3"/>
    <n v="162.8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4"/>
    <n v="279.6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5"/>
    <n v="350.9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6"/>
    <n v="236.53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7"/>
    <n v="232.36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8"/>
    <n v="106.4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19"/>
    <n v="151.62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20"/>
    <n v="213.6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6"/>
    <n v="70"/>
    <s v="United States"/>
    <n v="10"/>
    <x v="21"/>
    <n v="133.6100000000000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0"/>
    <n v="133.5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"/>
    <n v="60.07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2"/>
    <n v="40.590000000000003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3"/>
    <n v="28.76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4"/>
    <n v="50.11"/>
    <x v="0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5"/>
    <n v="114.22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6"/>
    <n v="212.38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7"/>
    <n v="169.49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8"/>
    <n v="136.35"/>
    <x v="1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9"/>
    <n v="93.1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0"/>
    <n v="118.8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1"/>
    <n v="195.75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2"/>
    <n v="187.37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3"/>
    <n v="173.2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4"/>
    <n v="244.8"/>
    <x v="2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5"/>
    <n v="270.8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6"/>
    <n v="330.52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7"/>
    <n v="314.77999999999997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8"/>
    <n v="222.31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19"/>
    <n v="229.54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20"/>
    <n v="276.22000000000003"/>
    <x v="3"/>
    <x v="0"/>
    <n v="1110"/>
  </r>
  <r>
    <s v="Soybean"/>
    <n v="80"/>
    <x v="4"/>
    <x v="4"/>
    <s v="Value of production less operating costs"/>
    <x v="20"/>
    <x v="20"/>
    <s v="dollars per planted acre"/>
    <s v="$ / planted ac"/>
    <n v="10"/>
    <x v="7"/>
    <n v="100"/>
    <s v="United States"/>
    <n v="10"/>
    <x v="21"/>
    <n v="249.87"/>
    <x v="3"/>
    <x v="0"/>
    <n v="111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0"/>
    <n v="43"/>
    <x v="0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"/>
    <n v="43"/>
    <x v="0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2"/>
    <n v="40"/>
    <x v="0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3"/>
    <n v="41"/>
    <x v="0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4"/>
    <n v="43"/>
    <x v="0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5"/>
    <n v="40"/>
    <x v="1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6"/>
    <n v="36"/>
    <x v="1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7"/>
    <n v="45"/>
    <x v="1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8"/>
    <n v="47"/>
    <x v="1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9"/>
    <n v="46"/>
    <x v="2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0"/>
    <n v="45"/>
    <x v="2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1"/>
    <n v="43"/>
    <x v="2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2"/>
    <n v="47"/>
    <x v="2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3"/>
    <n v="47"/>
    <x v="2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4"/>
    <n v="44"/>
    <x v="2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5"/>
    <n v="42"/>
    <x v="3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6"/>
    <n v="43"/>
    <x v="3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7"/>
    <n v="48"/>
    <x v="3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8"/>
    <n v="48"/>
    <x v="3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19"/>
    <n v="52"/>
    <x v="3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20"/>
    <n v="49"/>
    <x v="3"/>
    <x v="0"/>
    <n v="1120"/>
  </r>
  <r>
    <s v="Soybean"/>
    <n v="80"/>
    <x v="5"/>
    <x v="5"/>
    <s v="Yield"/>
    <x v="21"/>
    <x v="21"/>
    <s v="bushels per planted acre"/>
    <s v="bu / planted ac"/>
    <n v="20"/>
    <x v="0"/>
    <n v="10"/>
    <s v="United States"/>
    <n v="10"/>
    <x v="21"/>
    <n v="51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0"/>
    <n v="45"/>
    <x v="0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"/>
    <n v="46"/>
    <x v="0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2"/>
    <n v="42"/>
    <x v="0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3"/>
    <n v="45"/>
    <x v="0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4"/>
    <n v="46"/>
    <x v="0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5"/>
    <n v="43"/>
    <x v="1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6"/>
    <n v="36"/>
    <x v="1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7"/>
    <n v="49"/>
    <x v="1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8"/>
    <n v="49"/>
    <x v="1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9"/>
    <n v="50"/>
    <x v="2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0"/>
    <n v="48"/>
    <x v="2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1"/>
    <n v="46"/>
    <x v="2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2"/>
    <n v="51"/>
    <x v="2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3"/>
    <n v="51"/>
    <x v="2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4"/>
    <n v="49"/>
    <x v="2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5"/>
    <n v="43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6"/>
    <n v="45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7"/>
    <n v="51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8"/>
    <n v="52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19"/>
    <n v="56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20"/>
    <n v="53"/>
    <x v="3"/>
    <x v="0"/>
    <n v="1120"/>
  </r>
  <r>
    <s v="Soybean"/>
    <n v="80"/>
    <x v="5"/>
    <x v="5"/>
    <s v="Yield"/>
    <x v="21"/>
    <x v="21"/>
    <s v="bushels per planted acre"/>
    <s v="bu / planted ac"/>
    <n v="20"/>
    <x v="1"/>
    <n v="20"/>
    <s v="United States"/>
    <n v="10"/>
    <x v="21"/>
    <n v="56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0"/>
    <n v="43"/>
    <x v="0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"/>
    <n v="44"/>
    <x v="0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2"/>
    <n v="43"/>
    <x v="0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3"/>
    <n v="41"/>
    <x v="0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4"/>
    <n v="37"/>
    <x v="0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5"/>
    <n v="41"/>
    <x v="1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6"/>
    <n v="30"/>
    <x v="1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7"/>
    <n v="38"/>
    <x v="1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8"/>
    <n v="43"/>
    <x v="1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9"/>
    <n v="46"/>
    <x v="2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0"/>
    <n v="43"/>
    <x v="2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1"/>
    <n v="37"/>
    <x v="2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2"/>
    <n v="42"/>
    <x v="2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3"/>
    <n v="48"/>
    <x v="2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4"/>
    <n v="46"/>
    <x v="2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5"/>
    <n v="45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6"/>
    <n v="42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7"/>
    <n v="44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8"/>
    <n v="49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19"/>
    <n v="53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20"/>
    <n v="45"/>
    <x v="3"/>
    <x v="0"/>
    <n v="1120"/>
  </r>
  <r>
    <s v="Soybean"/>
    <n v="80"/>
    <x v="5"/>
    <x v="5"/>
    <s v="Yield"/>
    <x v="21"/>
    <x v="21"/>
    <s v="bushels per planted acre"/>
    <s v="bu / planted ac"/>
    <n v="20"/>
    <x v="2"/>
    <n v="30"/>
    <s v="United States"/>
    <n v="10"/>
    <x v="21"/>
    <n v="49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0"/>
    <n v="38"/>
    <x v="0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"/>
    <n v="42"/>
    <x v="0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2"/>
    <n v="40"/>
    <x v="0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3"/>
    <n v="38"/>
    <x v="0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4"/>
    <n v="36"/>
    <x v="0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5"/>
    <n v="35"/>
    <x v="1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6"/>
    <n v="30"/>
    <x v="1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7"/>
    <n v="29"/>
    <x v="1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8"/>
    <n v="40"/>
    <x v="1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9"/>
    <n v="34"/>
    <x v="2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0"/>
    <n v="39"/>
    <x v="2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1"/>
    <n v="31"/>
    <x v="2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2"/>
    <n v="35"/>
    <x v="2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3"/>
    <n v="37"/>
    <x v="2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4"/>
    <n v="32"/>
    <x v="2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5"/>
    <n v="37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6"/>
    <n v="33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7"/>
    <n v="37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8"/>
    <n v="37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19"/>
    <n v="44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20"/>
    <n v="37"/>
    <x v="3"/>
    <x v="0"/>
    <n v="1120"/>
  </r>
  <r>
    <s v="Soybean"/>
    <n v="80"/>
    <x v="5"/>
    <x v="5"/>
    <s v="Yield"/>
    <x v="21"/>
    <x v="21"/>
    <s v="bushels per planted acre"/>
    <s v="bu / planted ac"/>
    <n v="20"/>
    <x v="3"/>
    <n v="40"/>
    <s v="United States"/>
    <n v="10"/>
    <x v="21"/>
    <n v="38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0"/>
    <n v="41"/>
    <x v="0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"/>
    <n v="37"/>
    <x v="0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2"/>
    <n v="35"/>
    <x v="0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3"/>
    <n v="26"/>
    <x v="0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4"/>
    <n v="39"/>
    <x v="0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5"/>
    <n v="33"/>
    <x v="1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6"/>
    <n v="34"/>
    <x v="1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7"/>
    <n v="49"/>
    <x v="1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8"/>
    <n v="48"/>
    <x v="1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9"/>
    <n v="42"/>
    <x v="2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0"/>
    <n v="43"/>
    <x v="2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1"/>
    <n v="44"/>
    <x v="2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2"/>
    <n v="51"/>
    <x v="2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3"/>
    <n v="42"/>
    <x v="2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4"/>
    <n v="38"/>
    <x v="2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5"/>
    <n v="31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6"/>
    <n v="42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7"/>
    <n v="42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8"/>
    <n v="45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19"/>
    <n v="52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20"/>
    <n v="43"/>
    <x v="3"/>
    <x v="0"/>
    <n v="1120"/>
  </r>
  <r>
    <s v="Soybean"/>
    <n v="80"/>
    <x v="5"/>
    <x v="5"/>
    <s v="Yield"/>
    <x v="21"/>
    <x v="21"/>
    <s v="bushels per planted acre"/>
    <s v="bu / planted ac"/>
    <n v="20"/>
    <x v="4"/>
    <n v="50"/>
    <s v="United States"/>
    <n v="10"/>
    <x v="21"/>
    <n v="48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0"/>
    <n v="36"/>
    <x v="0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"/>
    <n v="32"/>
    <x v="0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2"/>
    <n v="22"/>
    <x v="0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3"/>
    <n v="34"/>
    <x v="0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4"/>
    <n v="39"/>
    <x v="0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5"/>
    <n v="29"/>
    <x v="1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6"/>
    <n v="37"/>
    <x v="1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7"/>
    <n v="38"/>
    <x v="1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8"/>
    <n v="35"/>
    <x v="1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9"/>
    <n v="36"/>
    <x v="2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0"/>
    <n v="26"/>
    <x v="2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1"/>
    <n v="36"/>
    <x v="2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2"/>
    <n v="40"/>
    <x v="2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3"/>
    <n v="31"/>
    <x v="2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4"/>
    <n v="40"/>
    <x v="2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5"/>
    <n v="43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6"/>
    <n v="37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7"/>
    <n v="42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8"/>
    <n v="36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19"/>
    <n v="39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20"/>
    <n v="44"/>
    <x v="3"/>
    <x v="0"/>
    <n v="1120"/>
  </r>
  <r>
    <s v="Soybean"/>
    <n v="80"/>
    <x v="5"/>
    <x v="5"/>
    <s v="Yield"/>
    <x v="21"/>
    <x v="21"/>
    <s v="bushels per planted acre"/>
    <s v="bu / planted ac"/>
    <n v="20"/>
    <x v="5"/>
    <n v="60"/>
    <s v="United States"/>
    <n v="10"/>
    <x v="21"/>
    <n v="39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0"/>
    <n v="31"/>
    <x v="0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"/>
    <n v="40"/>
    <x v="0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2"/>
    <n v="27"/>
    <x v="0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3"/>
    <n v="39"/>
    <x v="0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4"/>
    <n v="39"/>
    <x v="0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5"/>
    <n v="23"/>
    <x v="1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6"/>
    <n v="32"/>
    <x v="1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7"/>
    <n v="37"/>
    <x v="1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8"/>
    <n v="29"/>
    <x v="1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9"/>
    <n v="34"/>
    <x v="2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0"/>
    <n v="25"/>
    <x v="2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1"/>
    <n v="36"/>
    <x v="2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2"/>
    <n v="38"/>
    <x v="2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3"/>
    <n v="29"/>
    <x v="2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4"/>
    <n v="35"/>
    <x v="2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5"/>
    <n v="39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6"/>
    <n v="34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7"/>
    <n v="40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8"/>
    <n v="32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19"/>
    <n v="35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20"/>
    <n v="41"/>
    <x v="3"/>
    <x v="0"/>
    <n v="1120"/>
  </r>
  <r>
    <s v="Soybean"/>
    <n v="80"/>
    <x v="5"/>
    <x v="5"/>
    <s v="Yield"/>
    <x v="21"/>
    <x v="21"/>
    <s v="bushels per planted acre"/>
    <s v="bu / planted ac"/>
    <n v="20"/>
    <x v="6"/>
    <n v="70"/>
    <s v="United States"/>
    <n v="10"/>
    <x v="21"/>
    <n v="35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0"/>
    <n v="31"/>
    <x v="0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"/>
    <n v="25"/>
    <x v="0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2"/>
    <n v="25"/>
    <x v="0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3"/>
    <n v="24"/>
    <x v="0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4"/>
    <n v="33"/>
    <x v="0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5"/>
    <n v="37"/>
    <x v="1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6"/>
    <n v="45"/>
    <x v="1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7"/>
    <n v="45"/>
    <x v="1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8"/>
    <n v="42"/>
    <x v="1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9"/>
    <n v="36"/>
    <x v="2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0"/>
    <n v="32"/>
    <x v="2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1"/>
    <n v="34"/>
    <x v="2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2"/>
    <n v="35"/>
    <x v="2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3"/>
    <n v="33"/>
    <x v="2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4"/>
    <n v="34"/>
    <x v="2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5"/>
    <n v="36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6"/>
    <n v="44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7"/>
    <n v="50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8"/>
    <n v="46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19"/>
    <n v="46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20"/>
    <n v="51"/>
    <x v="3"/>
    <x v="0"/>
    <n v="1120"/>
  </r>
  <r>
    <s v="Soybean"/>
    <n v="80"/>
    <x v="5"/>
    <x v="5"/>
    <s v="Yield"/>
    <x v="21"/>
    <x v="21"/>
    <s v="bushels per planted acre"/>
    <s v="bu / planted ac"/>
    <n v="20"/>
    <x v="7"/>
    <n v="100"/>
    <s v="United States"/>
    <n v="10"/>
    <x v="21"/>
    <n v="50"/>
    <x v="3"/>
    <x v="0"/>
    <n v="112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0"/>
    <n v="6.5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"/>
    <n v="5.19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2"/>
    <n v="4.45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3"/>
    <n v="4.45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4"/>
    <n v="4.150000000000000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5"/>
    <n v="5.2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6"/>
    <n v="6.56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7"/>
    <n v="5.6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8"/>
    <n v="5.68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9"/>
    <n v="5.5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0"/>
    <n v="7.95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1"/>
    <n v="10.48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2"/>
    <n v="9.3000000000000007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3"/>
    <n v="9.5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4"/>
    <n v="11.9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5"/>
    <n v="14.21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6"/>
    <n v="13.2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7"/>
    <n v="10.8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8"/>
    <n v="8.9700000000000006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19"/>
    <n v="9.4600000000000009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20"/>
    <n v="9.279999999999999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0"/>
    <n v="10"/>
    <s v="United States"/>
    <n v="10"/>
    <x v="21"/>
    <n v="8.7100000000000009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0"/>
    <n v="6.49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"/>
    <n v="5.16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2"/>
    <n v="4.43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3"/>
    <n v="4.440000000000000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4"/>
    <n v="4.16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5"/>
    <n v="5.19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6"/>
    <n v="6.57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7"/>
    <n v="5.58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8"/>
    <n v="5.7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9"/>
    <n v="5.53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0"/>
    <n v="8.1999999999999993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1"/>
    <n v="11.0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2"/>
    <n v="9.8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3"/>
    <n v="9.91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4"/>
    <n v="12.57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5"/>
    <n v="14.2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6"/>
    <n v="13.42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7"/>
    <n v="10.87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8"/>
    <n v="8.92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19"/>
    <n v="9.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20"/>
    <n v="9.2899999999999991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1"/>
    <n v="20"/>
    <s v="United States"/>
    <n v="10"/>
    <x v="21"/>
    <n v="8.6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0"/>
    <n v="6.52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"/>
    <n v="5.1100000000000003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2"/>
    <n v="4.400000000000000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3"/>
    <n v="4.440000000000000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4"/>
    <n v="4.07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5"/>
    <n v="5.18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6"/>
    <n v="6.5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7"/>
    <n v="5.59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8"/>
    <n v="5.72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9"/>
    <n v="5.48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0"/>
    <n v="8.02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1"/>
    <n v="10.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2"/>
    <n v="9.9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3"/>
    <n v="9.75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4"/>
    <n v="12.4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5"/>
    <n v="14.07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6"/>
    <n v="13.0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7"/>
    <n v="11.2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8"/>
    <n v="8.779999999999999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19"/>
    <n v="9.43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20"/>
    <n v="9.2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2"/>
    <n v="30"/>
    <s v="United States"/>
    <n v="10"/>
    <x v="21"/>
    <n v="8.7200000000000006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0"/>
    <n v="6.19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"/>
    <n v="4.8600000000000003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2"/>
    <n v="4.21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3"/>
    <n v="4.25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4"/>
    <n v="3.9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5"/>
    <n v="5.0199999999999996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6"/>
    <n v="6.17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7"/>
    <n v="5.75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8"/>
    <n v="5.54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9"/>
    <n v="5.3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0"/>
    <n v="7.79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1"/>
    <n v="10.73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2"/>
    <n v="9.2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3"/>
    <n v="9.5399999999999991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4"/>
    <n v="11.6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5"/>
    <n v="14.0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6"/>
    <n v="12.73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7"/>
    <n v="10.1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8"/>
    <n v="8.6199999999999992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19"/>
    <n v="8.9499999999999993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20"/>
    <n v="8.81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3"/>
    <n v="40"/>
    <s v="United States"/>
    <n v="10"/>
    <x v="21"/>
    <n v="8.39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0"/>
    <n v="6.41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"/>
    <n v="5.09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2"/>
    <n v="4.41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3"/>
    <n v="4.41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4"/>
    <n v="4.01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5"/>
    <n v="5.18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6"/>
    <n v="6.59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7"/>
    <n v="5.33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8"/>
    <n v="5.59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9"/>
    <n v="5.41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0"/>
    <n v="8.2100000000000009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1"/>
    <n v="10.9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2"/>
    <n v="9.4600000000000009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3"/>
    <n v="9.77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4"/>
    <n v="11.8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5"/>
    <n v="14.1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6"/>
    <n v="13.0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7"/>
    <n v="10.7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8"/>
    <n v="8.7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19"/>
    <n v="9.32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20"/>
    <n v="8.91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4"/>
    <n v="50"/>
    <s v="United States"/>
    <n v="10"/>
    <x v="21"/>
    <n v="8.2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0"/>
    <n v="6.91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"/>
    <n v="5.48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2"/>
    <n v="4.59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3"/>
    <n v="4.57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4"/>
    <n v="4.26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5"/>
    <n v="5.47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6"/>
    <n v="6.82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7"/>
    <n v="5.63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8"/>
    <n v="5.74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9"/>
    <n v="5.8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0"/>
    <n v="8.32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1"/>
    <n v="10.79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2"/>
    <n v="9.8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3"/>
    <n v="10.57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4"/>
    <n v="12.35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5"/>
    <n v="14.37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6"/>
    <n v="13.26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7"/>
    <n v="10.9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8"/>
    <n v="9.59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19"/>
    <n v="9.7200000000000006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20"/>
    <n v="9.5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5"/>
    <n v="60"/>
    <s v="United States"/>
    <n v="10"/>
    <x v="21"/>
    <n v="9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0"/>
    <n v="6.86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"/>
    <n v="5.43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2"/>
    <n v="4.480000000000000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3"/>
    <n v="4.47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4"/>
    <n v="4.0999999999999996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5"/>
    <n v="5.41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6"/>
    <n v="7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7"/>
    <n v="5.41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8"/>
    <n v="5.6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9"/>
    <n v="5.72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0"/>
    <n v="8.2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1"/>
    <n v="10.7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2"/>
    <n v="9.8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3"/>
    <n v="10.7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4"/>
    <n v="12.6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5"/>
    <n v="14.32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6"/>
    <n v="13.1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7"/>
    <n v="11.0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8"/>
    <n v="9.52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19"/>
    <n v="9.6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20"/>
    <n v="9.65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6"/>
    <n v="70"/>
    <s v="United States"/>
    <n v="10"/>
    <x v="21"/>
    <n v="9.01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0"/>
    <n v="6.98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"/>
    <n v="5.74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2"/>
    <n v="4.83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3"/>
    <n v="4.7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4"/>
    <n v="4.32"/>
    <x v="0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5"/>
    <n v="5.41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6"/>
    <n v="6.68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7"/>
    <n v="5.92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8"/>
    <n v="5.81"/>
    <x v="1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9"/>
    <n v="5.9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0"/>
    <n v="7.87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1"/>
    <n v="10.4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2"/>
    <n v="9.76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3"/>
    <n v="10.08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4"/>
    <n v="12.25"/>
    <x v="2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5"/>
    <n v="14.28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6"/>
    <n v="13.14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7"/>
    <n v="11.27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8"/>
    <n v="9.81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19"/>
    <n v="9.77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20"/>
    <n v="9.73"/>
    <x v="3"/>
    <x v="0"/>
    <n v="1130"/>
  </r>
  <r>
    <s v="Soybean"/>
    <n v="80"/>
    <x v="5"/>
    <x v="5"/>
    <s v="Price"/>
    <x v="22"/>
    <x v="22"/>
    <s v="dollars per bushel at harvest"/>
    <s v="$ / bu at harvest"/>
    <n v="30"/>
    <x v="7"/>
    <n v="100"/>
    <s v="United States"/>
    <n v="10"/>
    <x v="21"/>
    <n v="9.4600000000000009"/>
    <x v="3"/>
    <x v="0"/>
    <n v="113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0"/>
    <n v="220"/>
    <x v="0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"/>
    <n v="220"/>
    <x v="0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2"/>
    <n v="220"/>
    <x v="0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3"/>
    <n v="220"/>
    <x v="0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4"/>
    <n v="220"/>
    <x v="0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5"/>
    <n v="268"/>
    <x v="1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6"/>
    <n v="268"/>
    <x v="1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7"/>
    <n v="268"/>
    <x v="1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8"/>
    <n v="268"/>
    <x v="1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9"/>
    <n v="303"/>
    <x v="2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0"/>
    <n v="303"/>
    <x v="2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1"/>
    <n v="303"/>
    <x v="2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2"/>
    <n v="303"/>
    <x v="2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3"/>
    <n v="303"/>
    <x v="2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4"/>
    <n v="303"/>
    <x v="2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5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6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7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8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19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20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0"/>
    <n v="10"/>
    <s v="United States"/>
    <n v="10"/>
    <x v="21"/>
    <n v="273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0"/>
    <n v="225"/>
    <x v="0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"/>
    <n v="225"/>
    <x v="0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2"/>
    <n v="225"/>
    <x v="0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3"/>
    <n v="225"/>
    <x v="0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4"/>
    <n v="225"/>
    <x v="0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5"/>
    <n v="280"/>
    <x v="1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6"/>
    <n v="280"/>
    <x v="1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7"/>
    <n v="280"/>
    <x v="1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8"/>
    <n v="280"/>
    <x v="1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9"/>
    <n v="299"/>
    <x v="2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0"/>
    <n v="299"/>
    <x v="2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1"/>
    <n v="299"/>
    <x v="2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2"/>
    <n v="299"/>
    <x v="2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3"/>
    <n v="299"/>
    <x v="2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4"/>
    <n v="299"/>
    <x v="2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5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6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7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8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19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20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1"/>
    <n v="20"/>
    <s v="United States"/>
    <n v="10"/>
    <x v="21"/>
    <n v="268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0"/>
    <n v="115"/>
    <x v="0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"/>
    <n v="115"/>
    <x v="0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2"/>
    <n v="115"/>
    <x v="0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3"/>
    <n v="115"/>
    <x v="0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4"/>
    <n v="115"/>
    <x v="0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5"/>
    <n v="135"/>
    <x v="1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6"/>
    <n v="135"/>
    <x v="1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7"/>
    <n v="135"/>
    <x v="1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8"/>
    <n v="135"/>
    <x v="1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9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0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1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2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3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4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5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6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7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8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19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20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2"/>
    <n v="30"/>
    <s v="United States"/>
    <n v="10"/>
    <x v="21"/>
    <n v="136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0"/>
    <n v="281"/>
    <x v="0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"/>
    <n v="281"/>
    <x v="0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2"/>
    <n v="281"/>
    <x v="0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3"/>
    <n v="281"/>
    <x v="0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4"/>
    <n v="281"/>
    <x v="0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5"/>
    <n v="460"/>
    <x v="1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6"/>
    <n v="460"/>
    <x v="1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7"/>
    <n v="460"/>
    <x v="1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8"/>
    <n v="460"/>
    <x v="1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9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0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1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2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3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4"/>
    <n v="164"/>
    <x v="2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5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6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7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8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19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20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3"/>
    <n v="40"/>
    <s v="United States"/>
    <n v="10"/>
    <x v="21"/>
    <n v="511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0"/>
    <n v="170"/>
    <x v="0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"/>
    <n v="170"/>
    <x v="0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2"/>
    <n v="170"/>
    <x v="0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3"/>
    <n v="170"/>
    <x v="0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4"/>
    <n v="170"/>
    <x v="0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5"/>
    <n v="246"/>
    <x v="1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6"/>
    <n v="246"/>
    <x v="1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7"/>
    <n v="246"/>
    <x v="1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8"/>
    <n v="246"/>
    <x v="1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9"/>
    <n v="254"/>
    <x v="2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0"/>
    <n v="254"/>
    <x v="2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1"/>
    <n v="254"/>
    <x v="2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2"/>
    <n v="254"/>
    <x v="2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3"/>
    <n v="254"/>
    <x v="2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4"/>
    <n v="254"/>
    <x v="2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5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6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7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8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19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20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4"/>
    <n v="50"/>
    <s v="United States"/>
    <n v="10"/>
    <x v="21"/>
    <n v="293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0"/>
    <n v="130"/>
    <x v="0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"/>
    <n v="130"/>
    <x v="0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2"/>
    <n v="130"/>
    <x v="0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3"/>
    <n v="130"/>
    <x v="0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4"/>
    <n v="130"/>
    <x v="0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5"/>
    <n v="171"/>
    <x v="1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6"/>
    <n v="171"/>
    <x v="1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7"/>
    <n v="171"/>
    <x v="1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8"/>
    <n v="171"/>
    <x v="1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9"/>
    <n v="321"/>
    <x v="2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0"/>
    <n v="321"/>
    <x v="2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1"/>
    <n v="321"/>
    <x v="2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2"/>
    <n v="321"/>
    <x v="2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3"/>
    <n v="321"/>
    <x v="2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4"/>
    <n v="321"/>
    <x v="2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5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6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7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8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19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20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5"/>
    <n v="60"/>
    <s v="United States"/>
    <n v="10"/>
    <x v="21"/>
    <n v="137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0"/>
    <n v="234"/>
    <x v="0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"/>
    <n v="234"/>
    <x v="0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2"/>
    <n v="234"/>
    <x v="0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3"/>
    <n v="234"/>
    <x v="0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4"/>
    <n v="234"/>
    <x v="0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5"/>
    <n v="180"/>
    <x v="1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6"/>
    <n v="180"/>
    <x v="1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7"/>
    <n v="180"/>
    <x v="1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8"/>
    <n v="180"/>
    <x v="1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9"/>
    <n v="240"/>
    <x v="2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0"/>
    <n v="240"/>
    <x v="2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1"/>
    <n v="240"/>
    <x v="2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2"/>
    <n v="240"/>
    <x v="2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3"/>
    <n v="240"/>
    <x v="2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4"/>
    <n v="240"/>
    <x v="2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5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6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7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8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19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20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6"/>
    <n v="70"/>
    <s v="United States"/>
    <n v="10"/>
    <x v="21"/>
    <n v="233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0"/>
    <n v="495"/>
    <x v="0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"/>
    <n v="495"/>
    <x v="0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2"/>
    <n v="495"/>
    <x v="0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3"/>
    <n v="495"/>
    <x v="0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4"/>
    <n v="495"/>
    <x v="0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5"/>
    <n v="538"/>
    <x v="1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6"/>
    <n v="538"/>
    <x v="1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7"/>
    <n v="538"/>
    <x v="1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8"/>
    <n v="538"/>
    <x v="1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9"/>
    <n v="676"/>
    <x v="2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0"/>
    <n v="676"/>
    <x v="2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1"/>
    <n v="676"/>
    <x v="2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2"/>
    <n v="676"/>
    <x v="2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3"/>
    <n v="676"/>
    <x v="2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4"/>
    <n v="676"/>
    <x v="2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5"/>
    <n v="635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6"/>
    <n v="635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7"/>
    <n v="635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8"/>
    <n v="635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19"/>
    <n v="635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20"/>
    <n v="635"/>
    <x v="3"/>
    <x v="0"/>
    <n v="1190"/>
  </r>
  <r>
    <s v="Soybean"/>
    <n v="80"/>
    <x v="5"/>
    <x v="5"/>
    <s v="Enterprise size"/>
    <x v="23"/>
    <x v="23"/>
    <s v="planted acres"/>
    <s v="planted ac"/>
    <n v="40"/>
    <x v="7"/>
    <n v="100"/>
    <s v="United States"/>
    <n v="10"/>
    <x v="21"/>
    <n v="635"/>
    <x v="3"/>
    <x v="0"/>
    <n v="119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0"/>
    <n v="95"/>
    <x v="0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"/>
    <n v="95"/>
    <x v="0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2"/>
    <n v="95"/>
    <x v="0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3"/>
    <n v="95"/>
    <x v="0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4"/>
    <n v="95"/>
    <x v="0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5"/>
    <n v="91"/>
    <x v="1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6"/>
    <n v="91"/>
    <x v="1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7"/>
    <n v="91"/>
    <x v="1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8"/>
    <n v="91"/>
    <x v="1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9"/>
    <n v="91"/>
    <x v="2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0"/>
    <n v="91"/>
    <x v="2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1"/>
    <n v="91"/>
    <x v="2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2"/>
    <n v="91"/>
    <x v="2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3"/>
    <n v="91"/>
    <x v="2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4"/>
    <n v="91"/>
    <x v="2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5"/>
    <n v="90"/>
    <x v="3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6"/>
    <n v="90"/>
    <x v="3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7"/>
    <n v="90"/>
    <x v="3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8"/>
    <n v="90"/>
    <x v="3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19"/>
    <n v="90"/>
    <x v="3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20"/>
    <n v="90"/>
    <x v="3"/>
    <x v="0"/>
    <n v="1350"/>
  </r>
  <r>
    <s v="Soybean"/>
    <n v="80"/>
    <x v="6"/>
    <x v="6"/>
    <s v="Dryland"/>
    <x v="24"/>
    <x v="24"/>
    <s v="percent of acres"/>
    <s v="% of ac"/>
    <n v="70"/>
    <x v="0"/>
    <n v="10"/>
    <s v="United States"/>
    <n v="10"/>
    <x v="21"/>
    <n v="90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0"/>
    <n v="98"/>
    <x v="0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"/>
    <n v="98"/>
    <x v="0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2"/>
    <n v="98"/>
    <x v="0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3"/>
    <n v="98"/>
    <x v="0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4"/>
    <n v="98"/>
    <x v="0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5"/>
    <n v="95"/>
    <x v="1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6"/>
    <n v="95"/>
    <x v="1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7"/>
    <n v="95"/>
    <x v="1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8"/>
    <n v="95"/>
    <x v="1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9"/>
    <n v="96"/>
    <x v="2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0"/>
    <n v="96"/>
    <x v="2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1"/>
    <n v="96"/>
    <x v="2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2"/>
    <n v="96"/>
    <x v="2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3"/>
    <n v="96"/>
    <x v="2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4"/>
    <n v="96"/>
    <x v="2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5"/>
    <n v="95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6"/>
    <n v="95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7"/>
    <n v="95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8"/>
    <n v="95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19"/>
    <n v="95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20"/>
    <n v="95"/>
    <x v="3"/>
    <x v="0"/>
    <n v="1350"/>
  </r>
  <r>
    <s v="Soybean"/>
    <n v="80"/>
    <x v="6"/>
    <x v="6"/>
    <s v="Dryland"/>
    <x v="24"/>
    <x v="24"/>
    <s v="percent of acres"/>
    <s v="% of ac"/>
    <n v="70"/>
    <x v="1"/>
    <n v="20"/>
    <s v="United States"/>
    <n v="10"/>
    <x v="21"/>
    <n v="95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0"/>
    <n v="97"/>
    <x v="0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"/>
    <n v="97"/>
    <x v="0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2"/>
    <n v="97"/>
    <x v="0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3"/>
    <n v="97"/>
    <x v="0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4"/>
    <n v="97"/>
    <x v="0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5"/>
    <n v="97"/>
    <x v="1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6"/>
    <n v="97"/>
    <x v="1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7"/>
    <n v="97"/>
    <x v="1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8"/>
    <n v="97"/>
    <x v="1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9"/>
    <n v="98"/>
    <x v="2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0"/>
    <n v="98"/>
    <x v="2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1"/>
    <n v="98"/>
    <x v="2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2"/>
    <n v="98"/>
    <x v="2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3"/>
    <n v="98"/>
    <x v="2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4"/>
    <n v="98"/>
    <x v="2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5"/>
    <n v="97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6"/>
    <n v="97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7"/>
    <n v="97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8"/>
    <n v="97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19"/>
    <n v="97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20"/>
    <n v="97"/>
    <x v="3"/>
    <x v="0"/>
    <n v="1350"/>
  </r>
  <r>
    <s v="Soybean"/>
    <n v="80"/>
    <x v="6"/>
    <x v="6"/>
    <s v="Dryland"/>
    <x v="24"/>
    <x v="24"/>
    <s v="percent of acres"/>
    <s v="% of ac"/>
    <n v="70"/>
    <x v="2"/>
    <n v="30"/>
    <s v="United States"/>
    <n v="10"/>
    <x v="21"/>
    <n v="97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0"/>
    <n v="93"/>
    <x v="0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"/>
    <n v="93"/>
    <x v="0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2"/>
    <n v="93"/>
    <x v="0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3"/>
    <n v="93"/>
    <x v="0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4"/>
    <n v="93"/>
    <x v="0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5"/>
    <n v="97"/>
    <x v="1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6"/>
    <n v="97"/>
    <x v="1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7"/>
    <n v="97"/>
    <x v="1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8"/>
    <n v="97"/>
    <x v="1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9"/>
    <n v="98"/>
    <x v="2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0"/>
    <n v="98"/>
    <x v="2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1"/>
    <n v="98"/>
    <x v="2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2"/>
    <n v="98"/>
    <x v="2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3"/>
    <n v="98"/>
    <x v="2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4"/>
    <n v="98"/>
    <x v="2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5"/>
    <n v="98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6"/>
    <n v="98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7"/>
    <n v="98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8"/>
    <n v="98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19"/>
    <n v="98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20"/>
    <n v="98"/>
    <x v="3"/>
    <x v="0"/>
    <n v="1350"/>
  </r>
  <r>
    <s v="Soybean"/>
    <n v="80"/>
    <x v="6"/>
    <x v="6"/>
    <s v="Dryland"/>
    <x v="24"/>
    <x v="24"/>
    <s v="percent of acres"/>
    <s v="% of ac"/>
    <n v="70"/>
    <x v="3"/>
    <n v="40"/>
    <s v="United States"/>
    <n v="10"/>
    <x v="21"/>
    <n v="98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0"/>
    <n v="80"/>
    <x v="0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"/>
    <n v="80"/>
    <x v="0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2"/>
    <n v="80"/>
    <x v="0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3"/>
    <n v="80"/>
    <x v="0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4"/>
    <n v="80"/>
    <x v="0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5"/>
    <n v="68"/>
    <x v="1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6"/>
    <n v="68"/>
    <x v="1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7"/>
    <n v="68"/>
    <x v="1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8"/>
    <n v="68"/>
    <x v="1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9"/>
    <n v="68"/>
    <x v="2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0"/>
    <n v="68"/>
    <x v="2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1"/>
    <n v="68"/>
    <x v="2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2"/>
    <n v="68"/>
    <x v="2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3"/>
    <n v="68"/>
    <x v="2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4"/>
    <n v="68"/>
    <x v="2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5"/>
    <n v="79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6"/>
    <n v="79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7"/>
    <n v="79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8"/>
    <n v="79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19"/>
    <n v="79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20"/>
    <n v="79"/>
    <x v="3"/>
    <x v="0"/>
    <n v="1350"/>
  </r>
  <r>
    <s v="Soybean"/>
    <n v="80"/>
    <x v="6"/>
    <x v="6"/>
    <s v="Dryland"/>
    <x v="24"/>
    <x v="24"/>
    <s v="percent of acres"/>
    <s v="% of ac"/>
    <n v="70"/>
    <x v="4"/>
    <n v="50"/>
    <s v="United States"/>
    <n v="10"/>
    <x v="21"/>
    <n v="79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0"/>
    <n v="100"/>
    <x v="0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"/>
    <n v="100"/>
    <x v="0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2"/>
    <n v="100"/>
    <x v="0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3"/>
    <n v="100"/>
    <x v="0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4"/>
    <n v="100"/>
    <x v="0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5"/>
    <n v="92"/>
    <x v="1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6"/>
    <n v="92"/>
    <x v="1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7"/>
    <n v="92"/>
    <x v="1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8"/>
    <n v="92"/>
    <x v="1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9"/>
    <n v="94"/>
    <x v="2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0"/>
    <n v="94"/>
    <x v="2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1"/>
    <n v="94"/>
    <x v="2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2"/>
    <n v="94"/>
    <x v="2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3"/>
    <n v="94"/>
    <x v="2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4"/>
    <n v="94"/>
    <x v="2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5"/>
    <n v="96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6"/>
    <n v="96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7"/>
    <n v="96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8"/>
    <n v="96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19"/>
    <n v="96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20"/>
    <n v="96"/>
    <x v="3"/>
    <x v="0"/>
    <n v="1350"/>
  </r>
  <r>
    <s v="Soybean"/>
    <n v="80"/>
    <x v="6"/>
    <x v="6"/>
    <s v="Dryland"/>
    <x v="24"/>
    <x v="24"/>
    <s v="percent of acres"/>
    <s v="% of ac"/>
    <n v="70"/>
    <x v="5"/>
    <n v="60"/>
    <s v="United States"/>
    <n v="10"/>
    <x v="21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0"/>
    <n v="100"/>
    <x v="0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"/>
    <n v="100"/>
    <x v="0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2"/>
    <n v="100"/>
    <x v="0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3"/>
    <n v="100"/>
    <x v="0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4"/>
    <n v="100"/>
    <x v="0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5"/>
    <n v="100"/>
    <x v="1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6"/>
    <n v="100"/>
    <x v="1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7"/>
    <n v="100"/>
    <x v="1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8"/>
    <n v="100"/>
    <x v="1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9"/>
    <n v="100"/>
    <x v="2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0"/>
    <n v="100"/>
    <x v="2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1"/>
    <n v="100"/>
    <x v="2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2"/>
    <n v="100"/>
    <x v="2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3"/>
    <n v="100"/>
    <x v="2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4"/>
    <n v="100"/>
    <x v="2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5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6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7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8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19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20"/>
    <n v="96"/>
    <x v="3"/>
    <x v="0"/>
    <n v="1350"/>
  </r>
  <r>
    <s v="Soybean"/>
    <n v="80"/>
    <x v="6"/>
    <x v="6"/>
    <s v="Dryland"/>
    <x v="24"/>
    <x v="24"/>
    <s v="percent of acres"/>
    <s v="% of ac"/>
    <n v="70"/>
    <x v="6"/>
    <n v="70"/>
    <s v="United States"/>
    <n v="10"/>
    <x v="21"/>
    <n v="96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0"/>
    <n v="81"/>
    <x v="0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"/>
    <n v="81"/>
    <x v="0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2"/>
    <n v="81"/>
    <x v="0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3"/>
    <n v="81"/>
    <x v="0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4"/>
    <n v="81"/>
    <x v="0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5"/>
    <n v="57"/>
    <x v="1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6"/>
    <n v="57"/>
    <x v="1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7"/>
    <n v="57"/>
    <x v="1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8"/>
    <n v="57"/>
    <x v="1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9"/>
    <n v="62"/>
    <x v="2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0"/>
    <n v="62"/>
    <x v="2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1"/>
    <n v="62"/>
    <x v="2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2"/>
    <n v="62"/>
    <x v="2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3"/>
    <n v="62"/>
    <x v="2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4"/>
    <n v="62"/>
    <x v="2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5"/>
    <n v="50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6"/>
    <n v="50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7"/>
    <n v="50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8"/>
    <n v="50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19"/>
    <n v="50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20"/>
    <n v="50"/>
    <x v="3"/>
    <x v="0"/>
    <n v="1350"/>
  </r>
  <r>
    <s v="Soybean"/>
    <n v="80"/>
    <x v="6"/>
    <x v="6"/>
    <s v="Dryland"/>
    <x v="24"/>
    <x v="24"/>
    <s v="percent of acres"/>
    <s v="% of ac"/>
    <n v="70"/>
    <x v="7"/>
    <n v="100"/>
    <s v="United States"/>
    <n v="10"/>
    <x v="21"/>
    <n v="50"/>
    <x v="3"/>
    <x v="0"/>
    <n v="135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0"/>
    <n v="5"/>
    <x v="0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"/>
    <n v="5"/>
    <x v="0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2"/>
    <n v="5"/>
    <x v="0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3"/>
    <n v="5"/>
    <x v="0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4"/>
    <n v="5"/>
    <x v="0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5"/>
    <n v="9"/>
    <x v="1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6"/>
    <n v="9"/>
    <x v="1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7"/>
    <n v="9"/>
    <x v="1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8"/>
    <n v="9"/>
    <x v="1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9"/>
    <n v="9"/>
    <x v="2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0"/>
    <n v="9"/>
    <x v="2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1"/>
    <n v="9"/>
    <x v="2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2"/>
    <n v="9"/>
    <x v="2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3"/>
    <n v="9"/>
    <x v="2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4"/>
    <n v="9"/>
    <x v="2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5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6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7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8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19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20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0"/>
    <n v="10"/>
    <s v="United States"/>
    <n v="10"/>
    <x v="21"/>
    <n v="10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0"/>
    <n v="2"/>
    <x v="0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"/>
    <n v="2"/>
    <x v="0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2"/>
    <n v="2"/>
    <x v="0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3"/>
    <n v="2"/>
    <x v="0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4"/>
    <n v="2"/>
    <x v="0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5"/>
    <n v="5"/>
    <x v="1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6"/>
    <n v="5"/>
    <x v="1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7"/>
    <n v="5"/>
    <x v="1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8"/>
    <n v="5"/>
    <x v="1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9"/>
    <n v="4"/>
    <x v="2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0"/>
    <n v="4"/>
    <x v="2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1"/>
    <n v="4"/>
    <x v="2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2"/>
    <n v="4"/>
    <x v="2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3"/>
    <n v="4"/>
    <x v="2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4"/>
    <n v="4"/>
    <x v="2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5"/>
    <n v="5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6"/>
    <n v="5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7"/>
    <n v="5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8"/>
    <n v="5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19"/>
    <n v="5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20"/>
    <n v="5"/>
    <x v="3"/>
    <x v="0"/>
    <n v="1360"/>
  </r>
  <r>
    <s v="Soybean"/>
    <n v="80"/>
    <x v="6"/>
    <x v="6"/>
    <s v="Irrigated"/>
    <x v="25"/>
    <x v="25"/>
    <s v="percent of acres"/>
    <s v="% of ac"/>
    <n v="70"/>
    <x v="1"/>
    <n v="20"/>
    <s v="United States"/>
    <n v="10"/>
    <x v="21"/>
    <n v="5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0"/>
    <n v="3"/>
    <x v="0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"/>
    <n v="3"/>
    <x v="0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2"/>
    <n v="3"/>
    <x v="0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3"/>
    <n v="3"/>
    <x v="0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4"/>
    <n v="3"/>
    <x v="0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5"/>
    <n v="3"/>
    <x v="1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6"/>
    <n v="3"/>
    <x v="1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7"/>
    <n v="3"/>
    <x v="1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8"/>
    <n v="3"/>
    <x v="1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9"/>
    <n v="2"/>
    <x v="2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0"/>
    <n v="2"/>
    <x v="2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1"/>
    <n v="2"/>
    <x v="2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2"/>
    <n v="2"/>
    <x v="2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3"/>
    <n v="2"/>
    <x v="2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4"/>
    <n v="2"/>
    <x v="2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5"/>
    <n v="3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6"/>
    <n v="3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7"/>
    <n v="3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8"/>
    <n v="3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19"/>
    <n v="3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20"/>
    <n v="3"/>
    <x v="3"/>
    <x v="0"/>
    <n v="1360"/>
  </r>
  <r>
    <s v="Soybean"/>
    <n v="80"/>
    <x v="6"/>
    <x v="6"/>
    <s v="Irrigated"/>
    <x v="25"/>
    <x v="25"/>
    <s v="percent of acres"/>
    <s v="% of ac"/>
    <n v="70"/>
    <x v="2"/>
    <n v="30"/>
    <s v="United States"/>
    <n v="10"/>
    <x v="21"/>
    <n v="3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0"/>
    <n v="7"/>
    <x v="0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"/>
    <n v="7"/>
    <x v="0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2"/>
    <n v="7"/>
    <x v="0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3"/>
    <n v="7"/>
    <x v="0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4"/>
    <n v="7"/>
    <x v="0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5"/>
    <n v="3"/>
    <x v="1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6"/>
    <n v="3"/>
    <x v="1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7"/>
    <n v="3"/>
    <x v="1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8"/>
    <n v="3"/>
    <x v="1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9"/>
    <n v="2"/>
    <x v="2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0"/>
    <n v="2"/>
    <x v="2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1"/>
    <n v="2"/>
    <x v="2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2"/>
    <n v="2"/>
    <x v="2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3"/>
    <n v="2"/>
    <x v="2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4"/>
    <n v="2"/>
    <x v="2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5"/>
    <n v="2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6"/>
    <n v="2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7"/>
    <n v="2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8"/>
    <n v="2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19"/>
    <n v="2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20"/>
    <n v="2"/>
    <x v="3"/>
    <x v="0"/>
    <n v="1360"/>
  </r>
  <r>
    <s v="Soybean"/>
    <n v="80"/>
    <x v="6"/>
    <x v="6"/>
    <s v="Irrigated"/>
    <x v="25"/>
    <x v="25"/>
    <s v="percent of acres"/>
    <s v="% of ac"/>
    <n v="70"/>
    <x v="3"/>
    <n v="40"/>
    <s v="United States"/>
    <n v="10"/>
    <x v="21"/>
    <n v="2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0"/>
    <n v="20"/>
    <x v="0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"/>
    <n v="20"/>
    <x v="0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2"/>
    <n v="20"/>
    <x v="0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3"/>
    <n v="20"/>
    <x v="0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4"/>
    <n v="20"/>
    <x v="0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5"/>
    <n v="32"/>
    <x v="1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6"/>
    <n v="32"/>
    <x v="1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7"/>
    <n v="32"/>
    <x v="1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8"/>
    <n v="32"/>
    <x v="1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9"/>
    <n v="32"/>
    <x v="2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0"/>
    <n v="32"/>
    <x v="2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1"/>
    <n v="32"/>
    <x v="2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2"/>
    <n v="32"/>
    <x v="2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3"/>
    <n v="32"/>
    <x v="2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4"/>
    <n v="32"/>
    <x v="2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5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6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7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8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19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20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4"/>
    <n v="50"/>
    <s v="United States"/>
    <n v="10"/>
    <x v="21"/>
    <n v="21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0"/>
    <n v="0"/>
    <x v="0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"/>
    <n v="0"/>
    <x v="0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2"/>
    <n v="0"/>
    <x v="0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3"/>
    <n v="0"/>
    <x v="0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4"/>
    <n v="0"/>
    <x v="0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5"/>
    <n v="8"/>
    <x v="1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6"/>
    <n v="8"/>
    <x v="1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7"/>
    <n v="8"/>
    <x v="1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8"/>
    <n v="8"/>
    <x v="1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9"/>
    <n v="6"/>
    <x v="2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0"/>
    <n v="6"/>
    <x v="2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1"/>
    <n v="6"/>
    <x v="2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2"/>
    <n v="6"/>
    <x v="2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3"/>
    <n v="6"/>
    <x v="2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4"/>
    <n v="6"/>
    <x v="2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5"/>
    <n v="4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6"/>
    <n v="4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7"/>
    <n v="4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8"/>
    <n v="4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19"/>
    <n v="4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20"/>
    <n v="4"/>
    <x v="3"/>
    <x v="0"/>
    <n v="1360"/>
  </r>
  <r>
    <s v="Soybean"/>
    <n v="80"/>
    <x v="6"/>
    <x v="6"/>
    <s v="Irrigated"/>
    <x v="25"/>
    <x v="25"/>
    <s v="percent of acres"/>
    <s v="% of ac"/>
    <n v="70"/>
    <x v="5"/>
    <n v="60"/>
    <s v="United States"/>
    <n v="10"/>
    <x v="21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0"/>
    <n v="0"/>
    <x v="0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"/>
    <n v="0"/>
    <x v="0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2"/>
    <n v="0"/>
    <x v="0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3"/>
    <n v="0"/>
    <x v="0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4"/>
    <n v="0"/>
    <x v="0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5"/>
    <n v="0"/>
    <x v="1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6"/>
    <n v="0"/>
    <x v="1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7"/>
    <n v="0"/>
    <x v="1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8"/>
    <n v="0"/>
    <x v="1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9"/>
    <n v="0"/>
    <x v="2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0"/>
    <n v="0"/>
    <x v="2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1"/>
    <n v="0"/>
    <x v="2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2"/>
    <n v="0"/>
    <x v="2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3"/>
    <n v="0"/>
    <x v="2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4"/>
    <n v="0"/>
    <x v="2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5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6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7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8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19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20"/>
    <n v="4"/>
    <x v="3"/>
    <x v="0"/>
    <n v="1360"/>
  </r>
  <r>
    <s v="Soybean"/>
    <n v="80"/>
    <x v="6"/>
    <x v="6"/>
    <s v="Irrigated"/>
    <x v="25"/>
    <x v="25"/>
    <s v="percent of acres"/>
    <s v="% of ac"/>
    <n v="70"/>
    <x v="6"/>
    <n v="70"/>
    <s v="United States"/>
    <n v="10"/>
    <x v="21"/>
    <n v="4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0"/>
    <n v="19"/>
    <x v="0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"/>
    <n v="19"/>
    <x v="0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2"/>
    <n v="19"/>
    <x v="0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3"/>
    <n v="19"/>
    <x v="0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4"/>
    <n v="19"/>
    <x v="0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5"/>
    <n v="43"/>
    <x v="1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6"/>
    <n v="43"/>
    <x v="1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7"/>
    <n v="43"/>
    <x v="1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8"/>
    <n v="43"/>
    <x v="1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9"/>
    <n v="38"/>
    <x v="2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0"/>
    <n v="38"/>
    <x v="2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1"/>
    <n v="38"/>
    <x v="2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2"/>
    <n v="38"/>
    <x v="2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3"/>
    <n v="38"/>
    <x v="2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4"/>
    <n v="38"/>
    <x v="2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5"/>
    <n v="50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6"/>
    <n v="50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7"/>
    <n v="50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8"/>
    <n v="50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19"/>
    <n v="50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20"/>
    <n v="50"/>
    <x v="3"/>
    <x v="0"/>
    <n v="1360"/>
  </r>
  <r>
    <s v="Soybean"/>
    <n v="80"/>
    <x v="6"/>
    <x v="6"/>
    <s v="Irrigated"/>
    <x v="25"/>
    <x v="25"/>
    <s v="percent of acres"/>
    <s v="% of ac"/>
    <n v="70"/>
    <x v="7"/>
    <n v="100"/>
    <s v="United States"/>
    <n v="10"/>
    <x v="21"/>
    <n v="50"/>
    <x v="3"/>
    <x v="0"/>
    <n v="13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1000000}" name="PivotTable8" cacheId="0" applyNumberFormats="0" applyBorderFormats="0" applyFontFormats="0" applyPatternFormats="0" applyAlignmentFormats="0" applyWidthHeightFormats="1" dataCaption="Values" updatedVersion="5" minRefreshableVersion="3" showDrill="0" showDataTips="0" rowGrandTotals="0" colGrandTotals="0" itemPrintTitles="1" createdVersion="5" indent="0" showHeaders="0" compact="0" compactData="0" multipleFieldFilters="0">
  <location ref="A129" firstHeaderRow="0" firstDataRow="0" firstDataCol="1"/>
  <pivotFields count="19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h="1" x="0"/>
      </items>
    </pivotField>
    <pivotField compact="0" outline="0" showAll="0" defaultSubtotal="0"/>
  </pivotFields>
  <rowFields count="1">
    <field x="17"/>
  </rowFields>
  <rowItems count="1">
    <i>
      <x/>
    </i>
  </rowItems>
  <colItems count="1">
    <i/>
  </colItems>
  <formats count="2">
    <format dxfId="1">
      <pivotArea type="all" dataOnly="0" outline="0" fieldPosition="0"/>
    </format>
    <format dxfId="0">
      <pivotArea dataOnly="0" labelOnly="1" outline="0" fieldPosition="0">
        <references count="1">
          <reference field="17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PivotTable7" cacheId="0" applyNumberFormats="0" applyBorderFormats="0" applyFontFormats="0" applyPatternFormats="0" applyAlignmentFormats="0" applyWidthHeightFormats="1" dataCaption="Values" updatedVersion="5" minRefreshableVersion="3" showDrill="0" showDataTips="0" rowGrandTotals="0" colGrandTotals="0" itemPrintTitles="1" mergeItem="1" createdVersion="5" indent="0" showHeaders="0" outline="1" outlineData="1" multipleFieldFilters="0">
  <location ref="A55:W123" firstHeaderRow="1" firstDataRow="3" firstDataCol="1"/>
  <pivotFields count="19">
    <pivotField showAll="0" defaultSubtotal="0"/>
    <pivotField showAll="0" defaultSubtotal="0"/>
    <pivotField axis="axisRow" showAll="0" defaultSubtotal="0">
      <items count="7">
        <item x="2"/>
        <item x="3"/>
        <item x="0"/>
        <item x="4"/>
        <item x="1"/>
        <item x="6"/>
        <item x="5"/>
      </items>
    </pivotField>
    <pivotField axis="axisRow" showAll="0" sortType="ascending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/>
    <pivotField axis="axisRow" showAll="0" defaultSubtotal="0">
      <items count="26">
        <item x="13"/>
        <item x="4"/>
        <item x="5"/>
        <item x="24"/>
        <item x="23"/>
        <item x="3"/>
        <item x="6"/>
        <item x="16"/>
        <item x="11"/>
        <item x="9"/>
        <item x="25"/>
        <item x="14"/>
        <item x="12"/>
        <item x="22"/>
        <item x="0"/>
        <item x="8"/>
        <item x="7"/>
        <item x="2"/>
        <item x="15"/>
        <item x="17"/>
        <item x="18"/>
        <item x="1"/>
        <item x="10"/>
        <item x="20"/>
        <item x="19"/>
        <item x="21"/>
      </items>
    </pivotField>
    <pivotField axis="axisRow" showAll="0" sortType="ascending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showAll="0" defaultSubtotal="0"/>
    <pivotField showAll="0" defaultSubtotal="0"/>
    <pivotField showAll="0" defaultSubtotal="0"/>
    <pivotField showAll="0" defaultSubtotal="0">
      <items count="8">
        <item h="1" x="5"/>
        <item h="1" x="1"/>
        <item h="1" x="7"/>
        <item h="1" x="2"/>
        <item h="1" x="3"/>
        <item h="1" x="4"/>
        <item h="1" x="6"/>
        <item x="0"/>
      </items>
    </pivotField>
    <pivotField showAll="0" defaultSubtotal="0"/>
    <pivotField showAll="0" defaultSubtotal="0"/>
    <pivotField showAll="0" defaultSubtotal="0"/>
    <pivotField axis="axisCol" showAll="0" sortType="descending" defaultSubtotal="0">
      <items count="22"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showAll="0" defaultSubtotal="0"/>
    <pivotField axis="axisCol" showAll="0" sortType="descending" defaultSubtotal="0">
      <items count="4">
        <item x="3"/>
        <item x="2"/>
        <item x="1"/>
        <item x="0"/>
      </items>
    </pivotField>
    <pivotField showAll="0" defaultSubtotal="0"/>
    <pivotField showAll="0" defaultSubtotal="0"/>
  </pivotFields>
  <rowFields count="4">
    <field x="3"/>
    <field x="2"/>
    <field x="6"/>
    <field x="5"/>
  </rowFields>
  <rowItems count="66">
    <i>
      <x/>
    </i>
    <i r="1">
      <x v="2"/>
    </i>
    <i r="2">
      <x/>
    </i>
    <i r="3">
      <x v="14"/>
    </i>
    <i r="2">
      <x v="1"/>
    </i>
    <i r="3">
      <x v="21"/>
    </i>
    <i>
      <x v="1"/>
    </i>
    <i r="1">
      <x v="4"/>
    </i>
    <i r="2">
      <x v="2"/>
    </i>
    <i r="3">
      <x v="17"/>
    </i>
    <i r="2">
      <x v="3"/>
    </i>
    <i r="3">
      <x v="5"/>
    </i>
    <i r="2">
      <x v="4"/>
    </i>
    <i r="3">
      <x v="1"/>
    </i>
    <i r="2">
      <x v="5"/>
    </i>
    <i r="3">
      <x v="2"/>
    </i>
    <i r="2">
      <x v="6"/>
    </i>
    <i r="3">
      <x v="6"/>
    </i>
    <i r="2">
      <x v="7"/>
    </i>
    <i r="3">
      <x v="16"/>
    </i>
    <i r="2">
      <x v="8"/>
    </i>
    <i r="3">
      <x v="15"/>
    </i>
    <i r="2">
      <x v="9"/>
    </i>
    <i r="3">
      <x v="9"/>
    </i>
    <i r="2">
      <x v="10"/>
    </i>
    <i r="3">
      <x v="22"/>
    </i>
    <i>
      <x v="2"/>
    </i>
    <i r="1">
      <x/>
    </i>
    <i r="2">
      <x v="11"/>
    </i>
    <i r="3">
      <x v="8"/>
    </i>
    <i r="2">
      <x v="12"/>
    </i>
    <i r="3">
      <x v="12"/>
    </i>
    <i r="2">
      <x v="13"/>
    </i>
    <i r="3">
      <x/>
    </i>
    <i r="2">
      <x v="14"/>
    </i>
    <i r="3">
      <x v="11"/>
    </i>
    <i r="2">
      <x v="15"/>
    </i>
    <i r="3">
      <x v="18"/>
    </i>
    <i r="2">
      <x v="16"/>
    </i>
    <i r="3">
      <x v="7"/>
    </i>
    <i r="2">
      <x v="17"/>
    </i>
    <i r="3">
      <x v="19"/>
    </i>
    <i>
      <x v="3"/>
    </i>
    <i r="1">
      <x v="1"/>
    </i>
    <i r="2">
      <x v="18"/>
    </i>
    <i r="3">
      <x v="20"/>
    </i>
    <i>
      <x v="4"/>
    </i>
    <i r="1">
      <x v="3"/>
    </i>
    <i r="2">
      <x v="19"/>
    </i>
    <i r="3">
      <x v="24"/>
    </i>
    <i r="2">
      <x v="20"/>
    </i>
    <i r="3">
      <x v="23"/>
    </i>
    <i>
      <x v="5"/>
    </i>
    <i r="1">
      <x v="6"/>
    </i>
    <i r="2">
      <x v="21"/>
    </i>
    <i r="3">
      <x v="25"/>
    </i>
    <i r="2">
      <x v="22"/>
    </i>
    <i r="3">
      <x v="13"/>
    </i>
    <i r="2">
      <x v="23"/>
    </i>
    <i r="3">
      <x v="4"/>
    </i>
    <i>
      <x v="6"/>
    </i>
    <i r="1">
      <x v="5"/>
    </i>
    <i r="2">
      <x v="24"/>
    </i>
    <i r="3">
      <x v="3"/>
    </i>
    <i r="2">
      <x v="25"/>
    </i>
    <i r="3">
      <x v="10"/>
    </i>
  </rowItems>
  <colFields count="2">
    <field x="16"/>
    <field x="14"/>
  </colFields>
  <colItems count="2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 v="7"/>
    </i>
    <i r="1">
      <x v="8"/>
    </i>
    <i r="1">
      <x v="9"/>
    </i>
    <i r="1">
      <x v="10"/>
    </i>
    <i r="1">
      <x v="11"/>
    </i>
    <i r="1">
      <x v="12"/>
    </i>
    <i>
      <x v="2"/>
      <x v="13"/>
    </i>
    <i r="1">
      <x v="14"/>
    </i>
    <i r="1">
      <x v="15"/>
    </i>
    <i r="1">
      <x v="16"/>
    </i>
    <i>
      <x v="3"/>
      <x v="17"/>
    </i>
    <i r="1">
      <x v="18"/>
    </i>
    <i r="1">
      <x v="19"/>
    </i>
    <i r="1">
      <x v="20"/>
    </i>
    <i r="1">
      <x v="21"/>
    </i>
  </colItems>
  <dataFields count="1">
    <dataField name="Sum of Value" fld="15" baseField="0" baseItem="0"/>
  </dataFields>
  <formats count="72">
    <format dxfId="73">
      <pivotArea dataOnly="0" fieldPosition="0">
        <references count="1">
          <reference field="2" count="0"/>
        </references>
      </pivotArea>
    </format>
    <format dxfId="72">
      <pivotArea dataOnly="0" fieldPosition="0">
        <references count="1">
          <reference field="2" count="0"/>
        </references>
      </pivotArea>
    </format>
    <format dxfId="71">
      <pivotArea dataOnly="0" labelOnly="1" fieldPosition="0">
        <references count="2">
          <reference field="14" count="5">
            <x v="2"/>
            <x v="3"/>
            <x v="4"/>
            <x v="5"/>
            <x v="6"/>
          </reference>
          <reference field="16" count="1" selected="0">
            <x v="0"/>
          </reference>
        </references>
      </pivotArea>
    </format>
    <format dxfId="70">
      <pivotArea dataOnly="0" labelOnly="1" fieldPosition="0">
        <references count="2">
          <reference field="14" count="6">
            <x v="7"/>
            <x v="8"/>
            <x v="9"/>
            <x v="10"/>
            <x v="11"/>
            <x v="12"/>
          </reference>
          <reference field="16" count="1" selected="0">
            <x v="1"/>
          </reference>
        </references>
      </pivotArea>
    </format>
    <format dxfId="69">
      <pivotArea dataOnly="0" labelOnly="1" fieldPosition="0">
        <references count="2">
          <reference field="14" count="4">
            <x v="13"/>
            <x v="14"/>
            <x v="15"/>
            <x v="16"/>
          </reference>
          <reference field="16" count="1" selected="0">
            <x v="2"/>
          </reference>
        </references>
      </pivotArea>
    </format>
    <format dxfId="68">
      <pivotArea dataOnly="0" labelOnly="1" fieldPosition="0">
        <references count="2">
          <reference field="14" count="5">
            <x v="17"/>
            <x v="18"/>
            <x v="19"/>
            <x v="20"/>
            <x v="21"/>
          </reference>
          <reference field="16" count="1" selected="0">
            <x v="3"/>
          </reference>
        </references>
      </pivotArea>
    </format>
    <format dxfId="67">
      <pivotArea dataOnly="0" labelOnly="1" fieldPosition="0">
        <references count="1">
          <reference field="16" count="0"/>
        </references>
      </pivotArea>
    </format>
    <format dxfId="66">
      <pivotArea dataOnly="0" labelOnly="1" fieldPosition="0">
        <references count="2">
          <reference field="14" count="5">
            <x v="2"/>
            <x v="3"/>
            <x v="4"/>
            <x v="5"/>
            <x v="6"/>
          </reference>
          <reference field="16" count="1" selected="0">
            <x v="0"/>
          </reference>
        </references>
      </pivotArea>
    </format>
    <format dxfId="65">
      <pivotArea dataOnly="0" labelOnly="1" fieldPosition="0">
        <references count="2">
          <reference field="14" count="6">
            <x v="7"/>
            <x v="8"/>
            <x v="9"/>
            <x v="10"/>
            <x v="11"/>
            <x v="12"/>
          </reference>
          <reference field="16" count="1" selected="0">
            <x v="1"/>
          </reference>
        </references>
      </pivotArea>
    </format>
    <format dxfId="64">
      <pivotArea dataOnly="0" labelOnly="1" fieldPosition="0">
        <references count="2">
          <reference field="14" count="4">
            <x v="13"/>
            <x v="14"/>
            <x v="15"/>
            <x v="16"/>
          </reference>
          <reference field="16" count="1" selected="0">
            <x v="2"/>
          </reference>
        </references>
      </pivotArea>
    </format>
    <format dxfId="63">
      <pivotArea dataOnly="0" labelOnly="1" fieldPosition="0">
        <references count="2">
          <reference field="14" count="5">
            <x v="17"/>
            <x v="18"/>
            <x v="19"/>
            <x v="20"/>
            <x v="21"/>
          </reference>
          <reference field="16" count="1" selected="0">
            <x v="3"/>
          </reference>
        </references>
      </pivotArea>
    </format>
    <format dxfId="62">
      <pivotArea collapsedLevelsAreSubtotals="1" fieldPosition="0">
        <references count="4">
          <reference field="2" count="1" selected="0">
            <x v="2"/>
          </reference>
          <reference field="3" count="1" selected="0">
            <x v="0"/>
          </reference>
          <reference field="5" count="1">
            <x v="14"/>
          </reference>
          <reference field="6" count="1" selected="0">
            <x v="0"/>
          </reference>
        </references>
      </pivotArea>
    </format>
    <format dxfId="61">
      <pivotArea collapsedLevelsAreSubtotals="1" fieldPosition="0">
        <references count="3">
          <reference field="2" count="1" selected="0">
            <x v="2"/>
          </reference>
          <reference field="3" count="1" selected="0">
            <x v="0"/>
          </reference>
          <reference field="6" count="1">
            <x v="1"/>
          </reference>
        </references>
      </pivotArea>
    </format>
    <format dxfId="60">
      <pivotArea collapsedLevelsAreSubtotals="1" fieldPosition="0">
        <references count="4">
          <reference field="2" count="1" selected="0">
            <x v="2"/>
          </reference>
          <reference field="3" count="1" selected="0">
            <x v="0"/>
          </reference>
          <reference field="5" count="1">
            <x v="21"/>
          </reference>
          <reference field="6" count="1" selected="0">
            <x v="1"/>
          </reference>
        </references>
      </pivotArea>
    </format>
    <format dxfId="59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17"/>
          </reference>
          <reference field="6" count="1" selected="0">
            <x v="2"/>
          </reference>
        </references>
      </pivotArea>
    </format>
    <format dxfId="58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3"/>
          </reference>
        </references>
      </pivotArea>
    </format>
    <format dxfId="57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5"/>
          </reference>
          <reference field="6" count="1" selected="0">
            <x v="3"/>
          </reference>
        </references>
      </pivotArea>
    </format>
    <format dxfId="56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4"/>
          </reference>
        </references>
      </pivotArea>
    </format>
    <format dxfId="55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1"/>
          </reference>
          <reference field="6" count="1" selected="0">
            <x v="4"/>
          </reference>
        </references>
      </pivotArea>
    </format>
    <format dxfId="54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5"/>
          </reference>
        </references>
      </pivotArea>
    </format>
    <format dxfId="53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2"/>
          </reference>
          <reference field="6" count="1" selected="0">
            <x v="5"/>
          </reference>
        </references>
      </pivotArea>
    </format>
    <format dxfId="52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6"/>
          </reference>
        </references>
      </pivotArea>
    </format>
    <format dxfId="51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6"/>
          </reference>
          <reference field="6" count="1" selected="0">
            <x v="6"/>
          </reference>
        </references>
      </pivotArea>
    </format>
    <format dxfId="50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7"/>
          </reference>
        </references>
      </pivotArea>
    </format>
    <format dxfId="49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16"/>
          </reference>
          <reference field="6" count="1" selected="0">
            <x v="7"/>
          </reference>
        </references>
      </pivotArea>
    </format>
    <format dxfId="48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8"/>
          </reference>
        </references>
      </pivotArea>
    </format>
    <format dxfId="47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15"/>
          </reference>
          <reference field="6" count="1" selected="0">
            <x v="8"/>
          </reference>
        </references>
      </pivotArea>
    </format>
    <format dxfId="46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9"/>
          </reference>
        </references>
      </pivotArea>
    </format>
    <format dxfId="45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9"/>
          </reference>
          <reference field="6" count="1" selected="0">
            <x v="9"/>
          </reference>
        </references>
      </pivotArea>
    </format>
    <format dxfId="44">
      <pivotArea collapsedLevelsAreSubtotals="1" fieldPosition="0">
        <references count="3">
          <reference field="2" count="1" selected="0">
            <x v="4"/>
          </reference>
          <reference field="3" count="1" selected="0">
            <x v="1"/>
          </reference>
          <reference field="6" count="1">
            <x v="10"/>
          </reference>
        </references>
      </pivotArea>
    </format>
    <format dxfId="43">
      <pivotArea collapsedLevelsAreSubtotals="1" fieldPosition="0">
        <references count="4">
          <reference field="2" count="1" selected="0">
            <x v="4"/>
          </reference>
          <reference field="3" count="1" selected="0">
            <x v="1"/>
          </reference>
          <reference field="5" count="1">
            <x v="22"/>
          </reference>
          <reference field="6" count="1" selected="0">
            <x v="10"/>
          </reference>
        </references>
      </pivotArea>
    </format>
    <format dxfId="42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8"/>
          </reference>
          <reference field="6" count="1" selected="0">
            <x v="11"/>
          </reference>
        </references>
      </pivotArea>
    </format>
    <format dxfId="41">
      <pivotArea collapsedLevelsAreSubtotals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12"/>
          </reference>
        </references>
      </pivotArea>
    </format>
    <format dxfId="40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12"/>
          </reference>
          <reference field="6" count="1" selected="0">
            <x v="12"/>
          </reference>
        </references>
      </pivotArea>
    </format>
    <format dxfId="39">
      <pivotArea collapsedLevelsAreSubtotals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13"/>
          </reference>
        </references>
      </pivotArea>
    </format>
    <format dxfId="38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0"/>
          </reference>
          <reference field="6" count="1" selected="0">
            <x v="13"/>
          </reference>
        </references>
      </pivotArea>
    </format>
    <format dxfId="37">
      <pivotArea collapsedLevelsAreSubtotals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14"/>
          </reference>
        </references>
      </pivotArea>
    </format>
    <format dxfId="36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11"/>
          </reference>
          <reference field="6" count="1" selected="0">
            <x v="14"/>
          </reference>
        </references>
      </pivotArea>
    </format>
    <format dxfId="35">
      <pivotArea collapsedLevelsAreSubtotals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15"/>
          </reference>
        </references>
      </pivotArea>
    </format>
    <format dxfId="34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18"/>
          </reference>
          <reference field="6" count="1" selected="0">
            <x v="15"/>
          </reference>
        </references>
      </pivotArea>
    </format>
    <format dxfId="33">
      <pivotArea collapsedLevelsAreSubtotals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16"/>
          </reference>
        </references>
      </pivotArea>
    </format>
    <format dxfId="32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7"/>
          </reference>
          <reference field="6" count="1" selected="0">
            <x v="16"/>
          </reference>
        </references>
      </pivotArea>
    </format>
    <format dxfId="31">
      <pivotArea collapsedLevelsAreSubtotals="1" fieldPosition="0">
        <references count="3">
          <reference field="2" count="1" selected="0">
            <x v="0"/>
          </reference>
          <reference field="3" count="1" selected="0">
            <x v="2"/>
          </reference>
          <reference field="6" count="1">
            <x v="17"/>
          </reference>
        </references>
      </pivotArea>
    </format>
    <format dxfId="30">
      <pivotArea collapsedLevelsAreSubtotals="1" fieldPosition="0">
        <references count="4">
          <reference field="2" count="1" selected="0">
            <x v="0"/>
          </reference>
          <reference field="3" count="1" selected="0">
            <x v="2"/>
          </reference>
          <reference field="5" count="1">
            <x v="19"/>
          </reference>
          <reference field="6" count="1" selected="0">
            <x v="17"/>
          </reference>
        </references>
      </pivotArea>
    </format>
    <format dxfId="29">
      <pivotArea collapsedLevelsAreSubtotals="1" fieldPosition="0">
        <references count="4">
          <reference field="2" count="1" selected="0">
            <x v="1"/>
          </reference>
          <reference field="3" count="1" selected="0">
            <x v="3"/>
          </reference>
          <reference field="5" count="1">
            <x v="20"/>
          </reference>
          <reference field="6" count="1" selected="0">
            <x v="18"/>
          </reference>
        </references>
      </pivotArea>
    </format>
    <format dxfId="28">
      <pivotArea collapsedLevelsAreSubtotals="1" fieldPosition="0">
        <references count="4">
          <reference field="2" count="1" selected="0">
            <x v="3"/>
          </reference>
          <reference field="3" count="1" selected="0">
            <x v="4"/>
          </reference>
          <reference field="5" count="1">
            <x v="24"/>
          </reference>
          <reference field="6" count="1" selected="0">
            <x v="19"/>
          </reference>
        </references>
      </pivotArea>
    </format>
    <format dxfId="27">
      <pivotArea collapsedLevelsAreSubtotals="1" fieldPosition="0">
        <references count="3">
          <reference field="2" count="1" selected="0">
            <x v="3"/>
          </reference>
          <reference field="3" count="1" selected="0">
            <x v="4"/>
          </reference>
          <reference field="6" count="1">
            <x v="20"/>
          </reference>
        </references>
      </pivotArea>
    </format>
    <format dxfId="26">
      <pivotArea collapsedLevelsAreSubtotals="1" fieldPosition="0">
        <references count="4">
          <reference field="2" count="1" selected="0">
            <x v="3"/>
          </reference>
          <reference field="3" count="1" selected="0">
            <x v="4"/>
          </reference>
          <reference field="5" count="1">
            <x v="23"/>
          </reference>
          <reference field="6" count="1" selected="0">
            <x v="20"/>
          </reference>
        </references>
      </pivotArea>
    </format>
    <format dxfId="25">
      <pivotArea collapsedLevelsAreSubtotals="1" fieldPosition="0">
        <references count="4">
          <reference field="2" count="1" selected="0">
            <x v="6"/>
          </reference>
          <reference field="3" count="1" selected="0">
            <x v="5"/>
          </reference>
          <reference field="5" count="1">
            <x v="25"/>
          </reference>
          <reference field="6" count="1" selected="0">
            <x v="21"/>
          </reference>
        </references>
      </pivotArea>
    </format>
    <format dxfId="24">
      <pivotArea collapsedLevelsAreSubtotals="1" fieldPosition="0">
        <references count="3">
          <reference field="2" count="1" selected="0">
            <x v="6"/>
          </reference>
          <reference field="3" count="1" selected="0">
            <x v="5"/>
          </reference>
          <reference field="6" count="1">
            <x v="22"/>
          </reference>
        </references>
      </pivotArea>
    </format>
    <format dxfId="23">
      <pivotArea collapsedLevelsAreSubtotals="1" fieldPosition="0">
        <references count="4">
          <reference field="2" count="1" selected="0">
            <x v="6"/>
          </reference>
          <reference field="3" count="1" selected="0">
            <x v="5"/>
          </reference>
          <reference field="5" count="1">
            <x v="13"/>
          </reference>
          <reference field="6" count="1" selected="0">
            <x v="22"/>
          </reference>
        </references>
      </pivotArea>
    </format>
    <format dxfId="22">
      <pivotArea collapsedLevelsAreSubtotals="1" fieldPosition="0">
        <references count="3">
          <reference field="2" count="1" selected="0">
            <x v="6"/>
          </reference>
          <reference field="3" count="1" selected="0">
            <x v="5"/>
          </reference>
          <reference field="6" count="1">
            <x v="23"/>
          </reference>
        </references>
      </pivotArea>
    </format>
    <format dxfId="21">
      <pivotArea collapsedLevelsAreSubtotals="1" fieldPosition="0">
        <references count="4">
          <reference field="2" count="1" selected="0">
            <x v="6"/>
          </reference>
          <reference field="3" count="1" selected="0">
            <x v="5"/>
          </reference>
          <reference field="5" count="1">
            <x v="4"/>
          </reference>
          <reference field="6" count="1" selected="0">
            <x v="23"/>
          </reference>
        </references>
      </pivotArea>
    </format>
    <format dxfId="20">
      <pivotArea collapsedLevelsAreSubtotals="1" fieldPosition="0">
        <references count="4">
          <reference field="2" count="1" selected="0">
            <x v="5"/>
          </reference>
          <reference field="3" count="1" selected="0">
            <x v="6"/>
          </reference>
          <reference field="5" count="1">
            <x v="3"/>
          </reference>
          <reference field="6" count="1" selected="0">
            <x v="24"/>
          </reference>
        </references>
      </pivotArea>
    </format>
    <format dxfId="19">
      <pivotArea collapsedLevelsAreSubtotals="1" fieldPosition="0">
        <references count="3">
          <reference field="2" count="1" selected="0">
            <x v="5"/>
          </reference>
          <reference field="3" count="1" selected="0">
            <x v="6"/>
          </reference>
          <reference field="6" count="1">
            <x v="25"/>
          </reference>
        </references>
      </pivotArea>
    </format>
    <format dxfId="18">
      <pivotArea collapsedLevelsAreSubtotals="1" fieldPosition="0">
        <references count="4">
          <reference field="2" count="1" selected="0">
            <x v="5"/>
          </reference>
          <reference field="3" count="1" selected="0">
            <x v="6"/>
          </reference>
          <reference field="5" count="1">
            <x v="10"/>
          </reference>
          <reference field="6" count="1" selected="0">
            <x v="25"/>
          </reference>
        </references>
      </pivotArea>
    </format>
    <format dxfId="17">
      <pivotArea collapsedLevelsAreSubtotals="1" fieldPosition="0">
        <references count="4">
          <reference field="2" count="1" selected="0">
            <x v="6"/>
          </reference>
          <reference field="3" count="1" selected="0">
            <x v="5"/>
          </reference>
          <reference field="5" count="1">
            <x v="25"/>
          </reference>
          <reference field="6" count="1" selected="0">
            <x v="21"/>
          </reference>
        </references>
      </pivotArea>
    </format>
    <format dxfId="16">
      <pivotArea collapsedLevelsAreSubtotals="1" fieldPosition="0">
        <references count="4">
          <reference field="2" count="1" selected="0">
            <x v="6"/>
          </reference>
          <reference field="3" count="1" selected="0">
            <x v="5"/>
          </reference>
          <reference field="5" count="1">
            <x v="4"/>
          </reference>
          <reference field="6" count="1" selected="0">
            <x v="23"/>
          </reference>
        </references>
      </pivotArea>
    </format>
    <format dxfId="15">
      <pivotArea collapsedLevelsAreSubtotals="1" fieldPosition="0">
        <references count="4">
          <reference field="2" count="1" selected="0">
            <x v="6"/>
          </reference>
          <reference field="3" count="1" selected="0">
            <x v="5"/>
          </reference>
          <reference field="5" count="1">
            <x v="13"/>
          </reference>
          <reference field="6" count="1" selected="0">
            <x v="22"/>
          </reference>
        </references>
      </pivotArea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3">
          <reference field="2" count="1" selected="0">
            <x v="2"/>
          </reference>
          <reference field="3" count="1" selected="0">
            <x v="0"/>
          </reference>
          <reference field="6" count="0"/>
        </references>
      </pivotArea>
    </format>
    <format dxfId="10">
      <pivotArea dataOnly="0" labelOnly="1" fieldPosition="0">
        <references count="4">
          <reference field="2" count="1" selected="0">
            <x v="2"/>
          </reference>
          <reference field="3" count="1" selected="0">
            <x v="0"/>
          </reference>
          <reference field="5" count="0"/>
          <reference field="6" count="1" selected="0">
            <x v="0"/>
          </reference>
        </references>
      </pivotArea>
    </format>
    <format dxfId="9">
      <pivotArea dataOnly="0" labelOnly="1" fieldPosition="0">
        <references count="1">
          <reference field="16" count="0"/>
        </references>
      </pivotArea>
    </format>
    <format dxfId="8">
      <pivotArea dataOnly="0" labelOnly="1" fieldPosition="0">
        <references count="2">
          <reference field="14" count="5">
            <x v="2"/>
            <x v="3"/>
            <x v="4"/>
            <x v="5"/>
            <x v="6"/>
          </reference>
          <reference field="16" count="1" selected="0">
            <x v="0"/>
          </reference>
        </references>
      </pivotArea>
    </format>
    <format dxfId="7">
      <pivotArea dataOnly="0" labelOnly="1" fieldPosition="0">
        <references count="2">
          <reference field="14" count="6">
            <x v="7"/>
            <x v="8"/>
            <x v="9"/>
            <x v="10"/>
            <x v="11"/>
            <x v="12"/>
          </reference>
          <reference field="16" count="1" selected="0">
            <x v="1"/>
          </reference>
        </references>
      </pivotArea>
    </format>
    <format dxfId="6">
      <pivotArea dataOnly="0" labelOnly="1" fieldPosition="0">
        <references count="2">
          <reference field="14" count="4">
            <x v="13"/>
            <x v="14"/>
            <x v="15"/>
            <x v="16"/>
          </reference>
          <reference field="16" count="1" selected="0">
            <x v="2"/>
          </reference>
        </references>
      </pivotArea>
    </format>
    <format dxfId="5">
      <pivotArea dataOnly="0" labelOnly="1" fieldPosition="0">
        <references count="2">
          <reference field="14" count="5">
            <x v="17"/>
            <x v="18"/>
            <x v="19"/>
            <x v="20"/>
            <x v="21"/>
          </reference>
          <reference field="16" count="1" selected="0">
            <x v="3"/>
          </reference>
        </references>
      </pivotArea>
    </format>
    <format dxfId="4">
      <pivotArea dataOnly="0" fieldPosition="0">
        <references count="1">
          <reference field="2" count="0"/>
        </references>
      </pivotArea>
    </format>
    <format dxfId="3">
      <pivotArea dataOnly="0" labelOnly="1" fieldPosition="0">
        <references count="2">
          <reference field="14" count="1">
            <x v="1"/>
          </reference>
          <reference field="16" count="1" selected="0">
            <x v="0"/>
          </reference>
        </references>
      </pivotArea>
    </format>
    <format dxfId="2">
      <pivotArea dataOnly="0" labelOnly="1" fieldPosition="0">
        <references count="2">
          <reference field="14" count="1">
            <x v="0"/>
          </reference>
          <reference field="16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rs.usda.gov/data-products/commodity-costs-and-returns/documentation/" TargetMode="External"/><Relationship Id="rId7" Type="http://schemas.openxmlformats.org/officeDocument/2006/relationships/comments" Target="../comments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1.xml"/><Relationship Id="rId4" Type="http://schemas.openxmlformats.org/officeDocument/2006/relationships/hyperlink" Target="https://wayback.archive-it.org/5923/20110913212900/http:/www.ers.usda.gov/Briefing/ARMS/resourceregions/resourceregions.ht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6C4B-69BD-431D-9A20-1396FF704802}">
  <dimension ref="A1:S133"/>
  <sheetViews>
    <sheetView workbookViewId="0">
      <selection sqref="A1:V199"/>
    </sheetView>
  </sheetViews>
  <sheetFormatPr defaultRowHeight="14.4" x14ac:dyDescent="0.55000000000000004"/>
  <cols>
    <col min="1" max="1" width="31.68359375" bestFit="1" customWidth="1"/>
    <col min="2" max="2" width="11.68359375" bestFit="1" customWidth="1"/>
  </cols>
  <sheetData>
    <row r="1" spans="1:19" x14ac:dyDescent="0.55000000000000004">
      <c r="B1" t="s">
        <v>1065</v>
      </c>
      <c r="C1" t="s">
        <v>5</v>
      </c>
    </row>
    <row r="2" spans="1:19" x14ac:dyDescent="0.55000000000000004">
      <c r="A2" t="s">
        <v>12</v>
      </c>
      <c r="B2">
        <v>100</v>
      </c>
    </row>
    <row r="3" spans="1:19" x14ac:dyDescent="0.55000000000000004">
      <c r="A3" s="3" t="s">
        <v>10</v>
      </c>
      <c r="E3" t="s">
        <v>1074</v>
      </c>
      <c r="J3" t="s">
        <v>1068</v>
      </c>
      <c r="M3" t="s">
        <v>1078</v>
      </c>
      <c r="Q3" t="s">
        <v>178</v>
      </c>
    </row>
    <row r="4" spans="1:19" x14ac:dyDescent="0.55000000000000004">
      <c r="A4" s="5" t="s">
        <v>171</v>
      </c>
      <c r="B4" s="51">
        <v>896000</v>
      </c>
      <c r="C4" t="s">
        <v>1067</v>
      </c>
      <c r="E4" t="s">
        <v>176</v>
      </c>
      <c r="F4">
        <v>15.25</v>
      </c>
      <c r="G4" t="s">
        <v>1079</v>
      </c>
      <c r="I4" t="s">
        <v>176</v>
      </c>
      <c r="J4">
        <v>10.4</v>
      </c>
      <c r="K4" t="s">
        <v>1079</v>
      </c>
      <c r="M4" t="s">
        <v>176</v>
      </c>
      <c r="N4">
        <v>9</v>
      </c>
      <c r="O4" t="s">
        <v>1079</v>
      </c>
      <c r="Q4" t="s">
        <v>176</v>
      </c>
      <c r="R4">
        <v>10</v>
      </c>
      <c r="S4" t="s">
        <v>1079</v>
      </c>
    </row>
    <row r="5" spans="1:19" x14ac:dyDescent="0.55000000000000004">
      <c r="A5" t="s">
        <v>175</v>
      </c>
      <c r="B5">
        <v>100</v>
      </c>
    </row>
    <row r="6" spans="1:19" x14ac:dyDescent="0.55000000000000004">
      <c r="A6" t="s">
        <v>183</v>
      </c>
      <c r="B6">
        <v>0</v>
      </c>
    </row>
    <row r="7" spans="1:19" x14ac:dyDescent="0.55000000000000004">
      <c r="A7" t="s">
        <v>13</v>
      </c>
      <c r="B7" s="2">
        <v>635000</v>
      </c>
      <c r="C7" t="s">
        <v>1069</v>
      </c>
      <c r="E7" t="s">
        <v>1070</v>
      </c>
      <c r="F7">
        <v>800</v>
      </c>
      <c r="G7" t="s">
        <v>1071</v>
      </c>
      <c r="H7" t="s">
        <v>1072</v>
      </c>
      <c r="I7" t="s">
        <v>1070</v>
      </c>
      <c r="J7">
        <v>907</v>
      </c>
      <c r="K7" t="s">
        <v>1071</v>
      </c>
      <c r="L7" t="s">
        <v>1075</v>
      </c>
      <c r="M7" t="s">
        <v>1070</v>
      </c>
    </row>
    <row r="8" spans="1:19" x14ac:dyDescent="0.55000000000000004">
      <c r="A8" t="s">
        <v>14</v>
      </c>
      <c r="B8">
        <v>0</v>
      </c>
    </row>
    <row r="9" spans="1:19" x14ac:dyDescent="0.55000000000000004">
      <c r="A9" t="s">
        <v>655</v>
      </c>
      <c r="B9" s="122">
        <v>1642666.6666666665</v>
      </c>
      <c r="C9">
        <v>16426.666666666664</v>
      </c>
    </row>
    <row r="10" spans="1:19" x14ac:dyDescent="0.55000000000000004">
      <c r="A10" t="s">
        <v>24</v>
      </c>
      <c r="B10">
        <v>0</v>
      </c>
    </row>
    <row r="11" spans="1:19" x14ac:dyDescent="0.55000000000000004">
      <c r="A11" t="s">
        <v>23</v>
      </c>
      <c r="B11" s="159">
        <v>11800</v>
      </c>
      <c r="C11">
        <v>118</v>
      </c>
      <c r="E11" t="s">
        <v>1073</v>
      </c>
      <c r="F11">
        <v>134</v>
      </c>
      <c r="G11" t="s">
        <v>972</v>
      </c>
      <c r="I11" t="s">
        <v>1073</v>
      </c>
      <c r="J11">
        <v>112</v>
      </c>
      <c r="K11" t="s">
        <v>972</v>
      </c>
      <c r="M11" t="s">
        <v>1073</v>
      </c>
      <c r="N11">
        <v>108</v>
      </c>
      <c r="O11" t="s">
        <v>972</v>
      </c>
      <c r="Q11" t="s">
        <v>1073</v>
      </c>
      <c r="R11">
        <v>43</v>
      </c>
    </row>
    <row r="12" spans="1:19" x14ac:dyDescent="0.55000000000000004">
      <c r="A12" t="s">
        <v>22</v>
      </c>
      <c r="B12" s="159">
        <v>2225</v>
      </c>
      <c r="C12">
        <v>22.25</v>
      </c>
      <c r="E12" t="s">
        <v>1076</v>
      </c>
      <c r="F12">
        <v>22.25</v>
      </c>
      <c r="G12" t="s">
        <v>972</v>
      </c>
      <c r="I12" t="s">
        <v>1076</v>
      </c>
      <c r="M12" t="s">
        <v>1076</v>
      </c>
      <c r="Q12" t="s">
        <v>1076</v>
      </c>
      <c r="R12">
        <v>10.477419354838707</v>
      </c>
    </row>
    <row r="13" spans="1:19" x14ac:dyDescent="0.55000000000000004">
      <c r="A13" t="s">
        <v>21</v>
      </c>
      <c r="B13" s="159">
        <v>1000</v>
      </c>
      <c r="C13">
        <v>10</v>
      </c>
      <c r="E13" t="s">
        <v>1077</v>
      </c>
      <c r="F13">
        <v>10</v>
      </c>
      <c r="G13" t="s">
        <v>972</v>
      </c>
      <c r="I13" t="s">
        <v>1077</v>
      </c>
      <c r="M13" t="s">
        <v>1077</v>
      </c>
      <c r="Q13" t="s">
        <v>1077</v>
      </c>
      <c r="R13">
        <v>23.23404255319149</v>
      </c>
    </row>
    <row r="14" spans="1:19" x14ac:dyDescent="0.55000000000000004">
      <c r="A14" s="176" t="s">
        <v>222</v>
      </c>
      <c r="B14" s="122">
        <v>0</v>
      </c>
      <c r="E14" t="s">
        <v>1080</v>
      </c>
      <c r="F14">
        <v>0</v>
      </c>
      <c r="G14" t="s">
        <v>972</v>
      </c>
      <c r="I14" t="s">
        <v>1080</v>
      </c>
      <c r="M14" t="s">
        <v>1080</v>
      </c>
      <c r="Q14" t="s">
        <v>1080</v>
      </c>
    </row>
    <row r="15" spans="1:19" x14ac:dyDescent="0.55000000000000004">
      <c r="A15" t="s">
        <v>15</v>
      </c>
      <c r="B15" s="2">
        <v>239.89876612993427</v>
      </c>
      <c r="C15" t="s">
        <v>1081</v>
      </c>
      <c r="D15">
        <v>2.3989876612993428</v>
      </c>
      <c r="E15" t="s">
        <v>15</v>
      </c>
      <c r="G15" t="s">
        <v>972</v>
      </c>
      <c r="I15" t="s">
        <v>15</v>
      </c>
      <c r="M15" t="s">
        <v>15</v>
      </c>
      <c r="Q15" t="s">
        <v>15</v>
      </c>
    </row>
    <row r="16" spans="1:19" x14ac:dyDescent="0.55000000000000004">
      <c r="A16" s="176" t="s">
        <v>16</v>
      </c>
      <c r="B16" s="2">
        <v>0.51182586082982084</v>
      </c>
      <c r="C16" t="s">
        <v>1081</v>
      </c>
      <c r="D16">
        <v>5.1182586082982083E-3</v>
      </c>
      <c r="E16" t="s">
        <v>16</v>
      </c>
      <c r="F16">
        <v>0</v>
      </c>
      <c r="I16" t="s">
        <v>16</v>
      </c>
      <c r="J16">
        <v>0</v>
      </c>
      <c r="M16" t="s">
        <v>16</v>
      </c>
      <c r="N16">
        <v>0</v>
      </c>
      <c r="Q16" t="s">
        <v>16</v>
      </c>
    </row>
    <row r="17" spans="1:18" x14ac:dyDescent="0.55000000000000004">
      <c r="A17" t="s">
        <v>307</v>
      </c>
      <c r="B17" s="15">
        <v>112.27272727272728</v>
      </c>
      <c r="C17" t="s">
        <v>1082</v>
      </c>
      <c r="D17">
        <v>1.1227272727272728</v>
      </c>
    </row>
    <row r="18" spans="1:18" x14ac:dyDescent="0.55000000000000004">
      <c r="A18" t="s">
        <v>17</v>
      </c>
      <c r="B18">
        <v>0</v>
      </c>
      <c r="D18">
        <v>0</v>
      </c>
    </row>
    <row r="19" spans="1:18" x14ac:dyDescent="0.55000000000000004">
      <c r="A19" t="s">
        <v>18</v>
      </c>
      <c r="B19">
        <v>1565.6463749999998</v>
      </c>
      <c r="D19">
        <v>15.656463749999999</v>
      </c>
      <c r="Q19" t="s">
        <v>18</v>
      </c>
      <c r="R19">
        <v>1565.6463749999998</v>
      </c>
    </row>
    <row r="20" spans="1:18" x14ac:dyDescent="0.55000000000000004">
      <c r="A20" t="s">
        <v>100</v>
      </c>
      <c r="D20">
        <v>0</v>
      </c>
      <c r="E20">
        <v>5.7797999999999998</v>
      </c>
    </row>
    <row r="21" spans="1:18" x14ac:dyDescent="0.55000000000000004">
      <c r="A21" t="s">
        <v>262</v>
      </c>
      <c r="D21">
        <v>0</v>
      </c>
      <c r="E21">
        <v>3.6437246963562751</v>
      </c>
    </row>
    <row r="22" spans="1:18" x14ac:dyDescent="0.55000000000000004">
      <c r="A22" t="s">
        <v>269</v>
      </c>
      <c r="D22">
        <v>0</v>
      </c>
    </row>
    <row r="23" spans="1:18" x14ac:dyDescent="0.55000000000000004">
      <c r="A23" t="s">
        <v>19</v>
      </c>
      <c r="B23" s="15">
        <v>3333.3333333333335</v>
      </c>
      <c r="D23">
        <v>33.333333333333336</v>
      </c>
    </row>
    <row r="24" spans="1:18" x14ac:dyDescent="0.55000000000000004">
      <c r="A24" t="s">
        <v>154</v>
      </c>
      <c r="B24">
        <v>1654900.0000000002</v>
      </c>
      <c r="D24">
        <v>16549.000000000004</v>
      </c>
    </row>
    <row r="25" spans="1:18" x14ac:dyDescent="0.55000000000000004">
      <c r="A25" t="s">
        <v>679</v>
      </c>
      <c r="B25" s="1">
        <v>230000</v>
      </c>
      <c r="D25">
        <v>2300</v>
      </c>
    </row>
    <row r="27" spans="1:18" x14ac:dyDescent="0.55000000000000004">
      <c r="A27" s="42"/>
      <c r="B27" s="42"/>
    </row>
    <row r="28" spans="1:18" x14ac:dyDescent="0.55000000000000004">
      <c r="A28" s="146" t="s">
        <v>26</v>
      </c>
      <c r="B28" s="42"/>
    </row>
    <row r="29" spans="1:18" x14ac:dyDescent="0.55000000000000004">
      <c r="A29" s="42" t="s">
        <v>36</v>
      </c>
      <c r="B29" s="42"/>
    </row>
    <row r="30" spans="1:18" x14ac:dyDescent="0.55000000000000004">
      <c r="A30" s="42" t="s">
        <v>37</v>
      </c>
      <c r="B30" s="42"/>
    </row>
    <row r="31" spans="1:18" x14ac:dyDescent="0.55000000000000004">
      <c r="A31" s="42" t="s">
        <v>38</v>
      </c>
      <c r="B31" s="42"/>
    </row>
    <row r="32" spans="1:18" x14ac:dyDescent="0.55000000000000004">
      <c r="A32" s="42" t="s">
        <v>41</v>
      </c>
      <c r="B32" s="42"/>
    </row>
    <row r="33" spans="1:2" x14ac:dyDescent="0.55000000000000004">
      <c r="A33" s="42" t="s">
        <v>39</v>
      </c>
      <c r="B33" s="42"/>
    </row>
    <row r="34" spans="1:2" x14ac:dyDescent="0.55000000000000004">
      <c r="A34" s="42" t="s">
        <v>40</v>
      </c>
      <c r="B34" s="42"/>
    </row>
    <row r="35" spans="1:2" x14ac:dyDescent="0.55000000000000004">
      <c r="A35" s="42" t="s">
        <v>42</v>
      </c>
      <c r="B35" s="42">
        <v>896000</v>
      </c>
    </row>
    <row r="36" spans="1:2" x14ac:dyDescent="0.55000000000000004">
      <c r="A36" s="42" t="s">
        <v>90</v>
      </c>
      <c r="B36" s="42"/>
    </row>
    <row r="37" spans="1:2" x14ac:dyDescent="0.55000000000000004">
      <c r="A37" s="42" t="s">
        <v>59</v>
      </c>
      <c r="B37" s="42">
        <v>493696.00000000006</v>
      </c>
    </row>
    <row r="38" spans="1:2" x14ac:dyDescent="0.55000000000000004">
      <c r="A38" s="42" t="s">
        <v>626</v>
      </c>
      <c r="B38" s="42"/>
    </row>
    <row r="39" spans="1:2" x14ac:dyDescent="0.55000000000000004">
      <c r="A39" s="42" t="s">
        <v>627</v>
      </c>
      <c r="B39" s="42"/>
    </row>
    <row r="40" spans="1:2" x14ac:dyDescent="0.55000000000000004">
      <c r="A40" s="42" t="s">
        <v>429</v>
      </c>
      <c r="B40" s="147"/>
    </row>
    <row r="41" spans="1:2" x14ac:dyDescent="0.55000000000000004">
      <c r="A41" s="42" t="s">
        <v>628</v>
      </c>
      <c r="B41" s="42">
        <v>246400.00000000003</v>
      </c>
    </row>
    <row r="42" spans="1:2" x14ac:dyDescent="0.55000000000000004">
      <c r="A42" s="42" t="s">
        <v>630</v>
      </c>
      <c r="B42" s="42"/>
    </row>
    <row r="43" spans="1:2" x14ac:dyDescent="0.55000000000000004">
      <c r="A43" s="42" t="s">
        <v>631</v>
      </c>
      <c r="B43" s="42"/>
    </row>
    <row r="44" spans="1:2" x14ac:dyDescent="0.55000000000000004">
      <c r="A44" s="42" t="s">
        <v>632</v>
      </c>
      <c r="B44" s="42"/>
    </row>
    <row r="45" spans="1:2" x14ac:dyDescent="0.55000000000000004">
      <c r="A45" s="42" t="s">
        <v>1052</v>
      </c>
      <c r="B45" s="42">
        <v>115.35934310850439</v>
      </c>
    </row>
    <row r="46" spans="1:2" x14ac:dyDescent="0.55000000000000004">
      <c r="A46" s="42" t="s">
        <v>983</v>
      </c>
      <c r="B46" s="42">
        <v>1300544</v>
      </c>
    </row>
    <row r="47" spans="1:2" x14ac:dyDescent="0.55000000000000004">
      <c r="A47" s="42" t="s">
        <v>96</v>
      </c>
      <c r="B47" s="42">
        <v>22014.720000000001</v>
      </c>
    </row>
    <row r="48" spans="1:2" x14ac:dyDescent="0.55000000000000004">
      <c r="A48" s="42" t="s">
        <v>17</v>
      </c>
      <c r="B48" s="42">
        <v>770273.27999999991</v>
      </c>
    </row>
    <row r="49" spans="1:2" x14ac:dyDescent="0.55000000000000004">
      <c r="A49" s="42" t="s">
        <v>27</v>
      </c>
      <c r="B49" s="42"/>
    </row>
    <row r="50" spans="1:2" x14ac:dyDescent="0.55000000000000004">
      <c r="A50" s="42" t="s">
        <v>19</v>
      </c>
      <c r="B50" s="42">
        <v>5419.3548387096771</v>
      </c>
    </row>
    <row r="51" spans="1:2" x14ac:dyDescent="0.55000000000000004">
      <c r="A51" s="42" t="s">
        <v>20</v>
      </c>
      <c r="B51" s="42">
        <v>586735.48387096776</v>
      </c>
    </row>
    <row r="52" spans="1:2" x14ac:dyDescent="0.55000000000000004">
      <c r="A52" s="42"/>
      <c r="B52" s="42"/>
    </row>
    <row r="53" spans="1:2" x14ac:dyDescent="0.55000000000000004">
      <c r="A53" s="3" t="s">
        <v>28</v>
      </c>
    </row>
    <row r="54" spans="1:2" x14ac:dyDescent="0.55000000000000004">
      <c r="A54" s="42" t="s">
        <v>43</v>
      </c>
    </row>
    <row r="55" spans="1:2" x14ac:dyDescent="0.55000000000000004">
      <c r="A55" s="42" t="s">
        <v>44</v>
      </c>
    </row>
    <row r="56" spans="1:2" x14ac:dyDescent="0.55000000000000004">
      <c r="A56" s="42" t="s">
        <v>45</v>
      </c>
    </row>
    <row r="57" spans="1:2" x14ac:dyDescent="0.55000000000000004">
      <c r="A57" s="42" t="s">
        <v>46</v>
      </c>
    </row>
    <row r="58" spans="1:2" x14ac:dyDescent="0.55000000000000004">
      <c r="A58" s="42" t="s">
        <v>629</v>
      </c>
    </row>
    <row r="59" spans="1:2" x14ac:dyDescent="0.55000000000000004">
      <c r="A59" s="42" t="s">
        <v>783</v>
      </c>
      <c r="B59" s="42">
        <v>478464</v>
      </c>
    </row>
    <row r="60" spans="1:2" x14ac:dyDescent="0.55000000000000004">
      <c r="A60" s="42" t="s">
        <v>59</v>
      </c>
    </row>
    <row r="61" spans="1:2" x14ac:dyDescent="0.55000000000000004">
      <c r="A61" s="42" t="s">
        <v>635</v>
      </c>
      <c r="B61" s="15"/>
    </row>
    <row r="62" spans="1:2" x14ac:dyDescent="0.55000000000000004">
      <c r="A62" s="42" t="s">
        <v>58</v>
      </c>
      <c r="B62" s="42">
        <v>1792</v>
      </c>
    </row>
    <row r="63" spans="1:2" x14ac:dyDescent="0.55000000000000004">
      <c r="A63" s="42" t="s">
        <v>17</v>
      </c>
      <c r="B63" s="42">
        <v>85155.840000000011</v>
      </c>
    </row>
    <row r="64" spans="1:2" x14ac:dyDescent="0.55000000000000004">
      <c r="A64" s="42" t="s">
        <v>27</v>
      </c>
    </row>
    <row r="65" spans="1:2" x14ac:dyDescent="0.55000000000000004">
      <c r="A65" s="42" t="s">
        <v>19</v>
      </c>
      <c r="B65" s="42">
        <v>1083.8709677419354</v>
      </c>
    </row>
    <row r="66" spans="1:2" x14ac:dyDescent="0.55000000000000004">
      <c r="A66" s="42" t="s">
        <v>20</v>
      </c>
      <c r="B66" s="42">
        <v>47690.322580645159</v>
      </c>
    </row>
    <row r="67" spans="1:2" x14ac:dyDescent="0.55000000000000004">
      <c r="A67" s="116"/>
    </row>
    <row r="68" spans="1:2" x14ac:dyDescent="0.55000000000000004">
      <c r="A68" s="3" t="s">
        <v>49</v>
      </c>
    </row>
    <row r="69" spans="1:2" x14ac:dyDescent="0.55000000000000004">
      <c r="A69" t="s">
        <v>50</v>
      </c>
    </row>
    <row r="70" spans="1:2" x14ac:dyDescent="0.55000000000000004">
      <c r="A70" t="s">
        <v>51</v>
      </c>
    </row>
    <row r="71" spans="1:2" x14ac:dyDescent="0.55000000000000004">
      <c r="A71" t="s">
        <v>52</v>
      </c>
    </row>
    <row r="72" spans="1:2" x14ac:dyDescent="0.55000000000000004">
      <c r="A72" t="s">
        <v>53</v>
      </c>
    </row>
    <row r="75" spans="1:2" x14ac:dyDescent="0.55000000000000004">
      <c r="A75" s="3" t="s">
        <v>29</v>
      </c>
    </row>
    <row r="76" spans="1:2" x14ac:dyDescent="0.55000000000000004">
      <c r="A76" s="3" t="s">
        <v>11</v>
      </c>
    </row>
    <row r="77" spans="1:2" x14ac:dyDescent="0.55000000000000004">
      <c r="A77" s="5" t="s">
        <v>35</v>
      </c>
    </row>
    <row r="78" spans="1:2" x14ac:dyDescent="0.55000000000000004">
      <c r="A78" t="s">
        <v>30</v>
      </c>
    </row>
    <row r="79" spans="1:2" x14ac:dyDescent="0.55000000000000004">
      <c r="A79" t="s">
        <v>625</v>
      </c>
      <c r="B79" s="15">
        <v>156.35</v>
      </c>
    </row>
    <row r="80" spans="1:2" x14ac:dyDescent="0.55000000000000004">
      <c r="A80" t="s">
        <v>32</v>
      </c>
    </row>
    <row r="81" spans="1:2" x14ac:dyDescent="0.55000000000000004">
      <c r="A81" t="s">
        <v>36</v>
      </c>
    </row>
    <row r="82" spans="1:2" x14ac:dyDescent="0.55000000000000004">
      <c r="A82" t="s">
        <v>37</v>
      </c>
    </row>
    <row r="83" spans="1:2" x14ac:dyDescent="0.55000000000000004">
      <c r="A83" t="s">
        <v>38</v>
      </c>
    </row>
    <row r="84" spans="1:2" x14ac:dyDescent="0.55000000000000004">
      <c r="A84" t="s">
        <v>41</v>
      </c>
    </row>
    <row r="85" spans="1:2" x14ac:dyDescent="0.55000000000000004">
      <c r="A85" t="s">
        <v>39</v>
      </c>
    </row>
    <row r="86" spans="1:2" x14ac:dyDescent="0.55000000000000004">
      <c r="A86" s="1" t="s">
        <v>40</v>
      </c>
    </row>
    <row r="87" spans="1:2" x14ac:dyDescent="0.55000000000000004">
      <c r="A87" t="s">
        <v>42</v>
      </c>
      <c r="B87">
        <v>896000</v>
      </c>
    </row>
    <row r="89" spans="1:2" x14ac:dyDescent="0.55000000000000004">
      <c r="A89" s="42"/>
      <c r="B89" s="42"/>
    </row>
    <row r="90" spans="1:2" x14ac:dyDescent="0.55000000000000004">
      <c r="A90" s="146" t="s">
        <v>26</v>
      </c>
      <c r="B90" s="42"/>
    </row>
    <row r="91" spans="1:2" x14ac:dyDescent="0.55000000000000004">
      <c r="A91" s="42" t="s">
        <v>43</v>
      </c>
      <c r="B91" s="42"/>
    </row>
    <row r="92" spans="1:2" x14ac:dyDescent="0.55000000000000004">
      <c r="A92" s="42" t="s">
        <v>44</v>
      </c>
      <c r="B92" s="42"/>
    </row>
    <row r="93" spans="1:2" x14ac:dyDescent="0.55000000000000004">
      <c r="A93" s="42" t="s">
        <v>45</v>
      </c>
      <c r="B93" s="42"/>
    </row>
    <row r="94" spans="1:2" x14ac:dyDescent="0.55000000000000004">
      <c r="A94" s="42" t="s">
        <v>46</v>
      </c>
      <c r="B94" s="42"/>
    </row>
    <row r="95" spans="1:2" x14ac:dyDescent="0.55000000000000004">
      <c r="A95" s="42" t="s">
        <v>629</v>
      </c>
      <c r="B95" s="42"/>
    </row>
    <row r="96" spans="1:2" x14ac:dyDescent="0.55000000000000004">
      <c r="A96" s="42" t="s">
        <v>783</v>
      </c>
      <c r="B96" s="42">
        <v>478464</v>
      </c>
    </row>
    <row r="97" spans="1:2" x14ac:dyDescent="0.55000000000000004">
      <c r="A97" s="57" t="s">
        <v>33</v>
      </c>
      <c r="B97" s="42"/>
    </row>
    <row r="98" spans="1:2" x14ac:dyDescent="0.55000000000000004">
      <c r="A98" s="42" t="s">
        <v>34</v>
      </c>
      <c r="B98" s="147"/>
    </row>
    <row r="99" spans="1:2" x14ac:dyDescent="0.55000000000000004">
      <c r="A99" s="42" t="s">
        <v>1019</v>
      </c>
      <c r="B99" s="42">
        <v>51072</v>
      </c>
    </row>
    <row r="100" spans="1:2" x14ac:dyDescent="0.55000000000000004">
      <c r="A100" s="42" t="s">
        <v>634</v>
      </c>
      <c r="B100" s="42"/>
    </row>
    <row r="101" spans="1:2" x14ac:dyDescent="0.55000000000000004">
      <c r="A101" s="42" t="s">
        <v>633</v>
      </c>
      <c r="B101" s="42">
        <v>882341.97333333339</v>
      </c>
    </row>
    <row r="102" spans="1:2" x14ac:dyDescent="0.55000000000000004">
      <c r="A102" s="42" t="s">
        <v>1020</v>
      </c>
      <c r="B102" s="42">
        <v>980672</v>
      </c>
    </row>
    <row r="103" spans="1:2" x14ac:dyDescent="0.55000000000000004">
      <c r="A103" s="42" t="s">
        <v>1040</v>
      </c>
      <c r="B103" s="42">
        <v>1792</v>
      </c>
    </row>
    <row r="104" spans="1:2" x14ac:dyDescent="0.55000000000000004">
      <c r="A104" s="42" t="s">
        <v>1021</v>
      </c>
      <c r="B104" s="42">
        <v>672896</v>
      </c>
    </row>
    <row r="105" spans="1:2" x14ac:dyDescent="0.55000000000000004">
      <c r="A105" s="42" t="s">
        <v>1022</v>
      </c>
      <c r="B105" s="42">
        <v>1389588.4799999997</v>
      </c>
    </row>
    <row r="106" spans="1:2" x14ac:dyDescent="0.55000000000000004">
      <c r="A106" s="42" t="s">
        <v>32</v>
      </c>
      <c r="B106" s="42"/>
    </row>
    <row r="107" spans="1:2" x14ac:dyDescent="0.55000000000000004">
      <c r="A107" s="42"/>
      <c r="B107" s="42"/>
    </row>
    <row r="108" spans="1:2" x14ac:dyDescent="0.55000000000000004">
      <c r="A108" s="146" t="s">
        <v>28</v>
      </c>
      <c r="B108" s="42"/>
    </row>
    <row r="109" spans="1:2" x14ac:dyDescent="0.55000000000000004">
      <c r="A109" s="42" t="s">
        <v>50</v>
      </c>
    </row>
    <row r="110" spans="1:2" x14ac:dyDescent="0.55000000000000004">
      <c r="A110" s="42" t="s">
        <v>51</v>
      </c>
    </row>
    <row r="111" spans="1:2" x14ac:dyDescent="0.55000000000000004">
      <c r="A111" s="42" t="s">
        <v>52</v>
      </c>
      <c r="B111" s="42">
        <v>33868.800000000003</v>
      </c>
    </row>
    <row r="112" spans="1:2" x14ac:dyDescent="0.55000000000000004">
      <c r="A112" s="42" t="s">
        <v>53</v>
      </c>
      <c r="B112" s="15"/>
    </row>
    <row r="113" spans="1:2" x14ac:dyDescent="0.55000000000000004">
      <c r="A113" s="42" t="s">
        <v>59</v>
      </c>
      <c r="B113" s="42">
        <v>287168</v>
      </c>
    </row>
    <row r="114" spans="1:2" x14ac:dyDescent="0.55000000000000004">
      <c r="A114" s="42" t="s">
        <v>95</v>
      </c>
    </row>
    <row r="115" spans="1:2" x14ac:dyDescent="0.55000000000000004">
      <c r="A115" s="42" t="s">
        <v>636</v>
      </c>
    </row>
    <row r="116" spans="1:2" x14ac:dyDescent="0.55000000000000004">
      <c r="A116" s="42" t="s">
        <v>637</v>
      </c>
      <c r="B116" s="141"/>
    </row>
    <row r="117" spans="1:2" x14ac:dyDescent="0.55000000000000004">
      <c r="A117" s="42" t="s">
        <v>96</v>
      </c>
      <c r="B117" s="42">
        <v>22014.720000000001</v>
      </c>
    </row>
    <row r="118" spans="1:2" x14ac:dyDescent="0.55000000000000004">
      <c r="A118" s="42" t="s">
        <v>97</v>
      </c>
    </row>
    <row r="119" spans="1:2" x14ac:dyDescent="0.55000000000000004">
      <c r="A119" s="42" t="s">
        <v>98</v>
      </c>
      <c r="B119" s="42">
        <v>0</v>
      </c>
    </row>
    <row r="120" spans="1:2" x14ac:dyDescent="0.55000000000000004">
      <c r="A120" s="42" t="s">
        <v>18</v>
      </c>
      <c r="B120" s="42">
        <v>69431.039999999994</v>
      </c>
    </row>
    <row r="121" spans="1:2" x14ac:dyDescent="0.55000000000000004">
      <c r="A121" s="42" t="s">
        <v>100</v>
      </c>
      <c r="B121" s="42">
        <v>36104.140800000001</v>
      </c>
    </row>
    <row r="122" spans="1:2" x14ac:dyDescent="0.55000000000000004">
      <c r="A122" s="42" t="s">
        <v>32</v>
      </c>
    </row>
    <row r="128" spans="1:2" x14ac:dyDescent="0.55000000000000004">
      <c r="A128" s="3" t="s">
        <v>49</v>
      </c>
    </row>
    <row r="129" spans="1:1" x14ac:dyDescent="0.55000000000000004">
      <c r="A129" t="s">
        <v>54</v>
      </c>
    </row>
    <row r="130" spans="1:1" x14ac:dyDescent="0.55000000000000004">
      <c r="A130" s="123" t="s">
        <v>819</v>
      </c>
    </row>
    <row r="131" spans="1:1" x14ac:dyDescent="0.55000000000000004">
      <c r="A131" s="123" t="s">
        <v>820</v>
      </c>
    </row>
    <row r="132" spans="1:1" x14ac:dyDescent="0.55000000000000004">
      <c r="A132" s="123" t="s">
        <v>821</v>
      </c>
    </row>
    <row r="133" spans="1:1" x14ac:dyDescent="0.55000000000000004">
      <c r="A133" s="123" t="s">
        <v>822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471C-CFE9-45D2-BD54-5560AE59A63B}">
  <dimension ref="A1:G42"/>
  <sheetViews>
    <sheetView workbookViewId="0">
      <selection activeCell="F8" sqref="F8"/>
    </sheetView>
  </sheetViews>
  <sheetFormatPr defaultRowHeight="14.4" x14ac:dyDescent="0.55000000000000004"/>
  <sheetData>
    <row r="1" spans="1:7" x14ac:dyDescent="0.55000000000000004">
      <c r="A1" t="s">
        <v>1053</v>
      </c>
      <c r="B1" s="3" t="s">
        <v>73</v>
      </c>
      <c r="C1" s="3" t="s">
        <v>74</v>
      </c>
      <c r="D1" s="4" t="s">
        <v>1054</v>
      </c>
      <c r="E1" s="4" t="s">
        <v>75</v>
      </c>
    </row>
    <row r="2" spans="1:7" x14ac:dyDescent="0.55000000000000004">
      <c r="A2" t="s">
        <v>10</v>
      </c>
      <c r="B2" s="3"/>
      <c r="C2" s="3"/>
      <c r="D2" s="4"/>
      <c r="E2" s="3"/>
    </row>
    <row r="3" spans="1:7" x14ac:dyDescent="0.55000000000000004">
      <c r="A3" t="s">
        <v>7</v>
      </c>
      <c r="B3" s="3">
        <v>0</v>
      </c>
      <c r="C3" s="3">
        <v>0</v>
      </c>
      <c r="D3" s="4">
        <v>0</v>
      </c>
      <c r="E3" s="4">
        <v>0</v>
      </c>
    </row>
    <row r="4" spans="1:7" x14ac:dyDescent="0.55000000000000004">
      <c r="A4" t="s">
        <v>93</v>
      </c>
      <c r="B4" s="3">
        <v>0</v>
      </c>
      <c r="C4" s="3">
        <v>0</v>
      </c>
      <c r="D4" s="4">
        <v>0</v>
      </c>
      <c r="E4" s="4">
        <v>0</v>
      </c>
    </row>
    <row r="5" spans="1:7" x14ac:dyDescent="0.55000000000000004">
      <c r="A5" t="s">
        <v>1102</v>
      </c>
      <c r="B5" s="3">
        <v>0</v>
      </c>
      <c r="C5" s="3">
        <v>0</v>
      </c>
      <c r="D5" s="4">
        <v>0</v>
      </c>
      <c r="E5" s="4">
        <v>0</v>
      </c>
    </row>
    <row r="6" spans="1:7" x14ac:dyDescent="0.55000000000000004">
      <c r="A6" t="s">
        <v>14</v>
      </c>
      <c r="B6" s="3">
        <v>0</v>
      </c>
      <c r="C6" s="3">
        <v>0</v>
      </c>
      <c r="D6" s="4">
        <v>0</v>
      </c>
      <c r="E6" s="4">
        <v>0</v>
      </c>
    </row>
    <row r="7" spans="1:7" x14ac:dyDescent="0.55000000000000004">
      <c r="A7" t="s">
        <v>25</v>
      </c>
      <c r="B7" s="8">
        <v>0</v>
      </c>
      <c r="C7" s="3">
        <v>0</v>
      </c>
      <c r="D7" s="155">
        <v>-1000</v>
      </c>
      <c r="E7" s="4">
        <v>0</v>
      </c>
    </row>
    <row r="8" spans="1:7" x14ac:dyDescent="0.55000000000000004">
      <c r="A8" t="s">
        <v>24</v>
      </c>
      <c r="B8" s="8">
        <v>8.93</v>
      </c>
      <c r="C8" s="8">
        <v>0.13200000000000001</v>
      </c>
      <c r="D8" s="155">
        <v>1610</v>
      </c>
      <c r="E8" s="3">
        <v>3.6579999999999998E-3</v>
      </c>
      <c r="F8" t="s">
        <v>1120</v>
      </c>
    </row>
    <row r="9" spans="1:7" x14ac:dyDescent="0.55000000000000004">
      <c r="A9" t="s">
        <v>23</v>
      </c>
      <c r="B9" s="8">
        <v>59.300000000000004</v>
      </c>
      <c r="C9" s="8">
        <v>0.56759999999999999</v>
      </c>
      <c r="D9" s="155">
        <v>5205</v>
      </c>
      <c r="E9" s="3">
        <v>3.8143000000000001E-3</v>
      </c>
      <c r="F9" t="s">
        <v>1121</v>
      </c>
    </row>
    <row r="10" spans="1:7" x14ac:dyDescent="0.55000000000000004">
      <c r="A10" t="s">
        <v>22</v>
      </c>
      <c r="B10" s="8">
        <v>96.880645161290317</v>
      </c>
      <c r="C10" s="8">
        <v>0.66236129032258073</v>
      </c>
      <c r="D10" s="155">
        <v>5018.0967741935483</v>
      </c>
      <c r="E10" s="3">
        <v>3.033761290322581E-2</v>
      </c>
      <c r="F10" t="s">
        <v>1124</v>
      </c>
      <c r="G10">
        <v>0.43661971830985913</v>
      </c>
    </row>
    <row r="11" spans="1:7" x14ac:dyDescent="0.55000000000000004">
      <c r="A11" t="s">
        <v>21</v>
      </c>
      <c r="B11" s="8">
        <v>26.151282051282056</v>
      </c>
      <c r="C11" s="8">
        <v>0.27187692307692307</v>
      </c>
      <c r="D11" s="155">
        <v>3235.7692307692309</v>
      </c>
      <c r="E11" s="3">
        <v>4.9873025641025649E-3</v>
      </c>
      <c r="F11" t="s">
        <v>1125</v>
      </c>
      <c r="G11">
        <v>0.82978723404255317</v>
      </c>
    </row>
    <row r="12" spans="1:7" x14ac:dyDescent="0.55000000000000004">
      <c r="A12" t="s">
        <v>1064</v>
      </c>
      <c r="B12" s="155">
        <v>16.5</v>
      </c>
      <c r="C12" s="164">
        <v>0.04</v>
      </c>
      <c r="D12" s="155">
        <v>1536</v>
      </c>
      <c r="E12" s="3">
        <v>6.3331000000000004E-3</v>
      </c>
      <c r="F12" t="s">
        <v>1126</v>
      </c>
    </row>
    <row r="13" spans="1:7" x14ac:dyDescent="0.55000000000000004">
      <c r="A13" t="s">
        <v>15</v>
      </c>
      <c r="B13" s="155">
        <v>25.8</v>
      </c>
      <c r="C13" s="164">
        <v>13.21003963011889</v>
      </c>
      <c r="D13" s="165">
        <v>1863</v>
      </c>
      <c r="E13" s="3">
        <v>9.2817999999999998E-3</v>
      </c>
      <c r="F13" t="s">
        <v>1127</v>
      </c>
    </row>
    <row r="14" spans="1:7" x14ac:dyDescent="0.55000000000000004">
      <c r="A14" t="s">
        <v>158</v>
      </c>
      <c r="B14" s="155">
        <v>25.8</v>
      </c>
      <c r="C14" s="164">
        <v>26.420079260237781</v>
      </c>
      <c r="D14" s="165">
        <v>1863</v>
      </c>
      <c r="E14" s="3">
        <v>9.2817999999999998E-3</v>
      </c>
      <c r="F14" t="s">
        <v>1128</v>
      </c>
    </row>
    <row r="15" spans="1:7" x14ac:dyDescent="0.55000000000000004">
      <c r="A15" t="s">
        <v>153</v>
      </c>
      <c r="B15" s="165">
        <v>52.800000000000004</v>
      </c>
      <c r="C15" s="8">
        <v>0.31559999999999999</v>
      </c>
      <c r="D15" s="165">
        <v>3816</v>
      </c>
      <c r="E15" s="3">
        <v>1.4836999999999999E-2</v>
      </c>
      <c r="F15" t="s">
        <v>1129</v>
      </c>
    </row>
    <row r="16" spans="1:7" x14ac:dyDescent="0.55000000000000004">
      <c r="A16" t="s">
        <v>624</v>
      </c>
      <c r="B16" s="165">
        <v>40.899999999999991</v>
      </c>
      <c r="C16" s="8">
        <v>0.29399999999999998</v>
      </c>
      <c r="D16" s="165">
        <v>1936</v>
      </c>
      <c r="E16" s="3">
        <v>4.9131000000000001E-3</v>
      </c>
      <c r="F16" t="s">
        <v>1130</v>
      </c>
    </row>
    <row r="17" spans="1:6" x14ac:dyDescent="0.55000000000000004">
      <c r="A17" t="s">
        <v>933</v>
      </c>
      <c r="B17" s="165">
        <v>0.1</v>
      </c>
      <c r="C17" s="8">
        <v>0.06</v>
      </c>
      <c r="D17" s="165">
        <v>13</v>
      </c>
      <c r="E17" s="3">
        <v>0</v>
      </c>
      <c r="F17" t="s">
        <v>1131</v>
      </c>
    </row>
    <row r="18" spans="1:6" x14ac:dyDescent="0.55000000000000004">
      <c r="A18" t="s">
        <v>1083</v>
      </c>
      <c r="B18" s="165">
        <v>34.4</v>
      </c>
      <c r="C18" s="164">
        <v>22</v>
      </c>
      <c r="D18" s="165">
        <v>1738</v>
      </c>
      <c r="E18" s="3">
        <v>4.7862E-3</v>
      </c>
      <c r="F18" t="s">
        <v>1132</v>
      </c>
    </row>
    <row r="19" spans="1:6" x14ac:dyDescent="0.55000000000000004">
      <c r="A19" t="s">
        <v>89</v>
      </c>
      <c r="B19" s="8">
        <v>79.500000000000014</v>
      </c>
      <c r="C19" s="164">
        <v>8.6761290322580642</v>
      </c>
      <c r="D19" s="155">
        <v>1790</v>
      </c>
      <c r="E19" s="3">
        <v>9.4985000000000002E-4</v>
      </c>
      <c r="F19" t="s">
        <v>1133</v>
      </c>
    </row>
    <row r="20" spans="1:6" x14ac:dyDescent="0.55000000000000004">
      <c r="A20" t="s">
        <v>1094</v>
      </c>
      <c r="B20" s="164">
        <v>0</v>
      </c>
      <c r="C20" s="166">
        <v>4.607679162072767E-2</v>
      </c>
      <c r="D20" s="167">
        <v>0</v>
      </c>
      <c r="E20" s="168">
        <v>0</v>
      </c>
    </row>
    <row r="21" spans="1:6" x14ac:dyDescent="0.55000000000000004">
      <c r="A21" t="s">
        <v>41</v>
      </c>
      <c r="B21" s="155">
        <v>0</v>
      </c>
      <c r="C21" s="155">
        <v>0</v>
      </c>
      <c r="D21" s="155">
        <v>0</v>
      </c>
      <c r="E21" s="3">
        <v>0</v>
      </c>
    </row>
    <row r="22" spans="1:6" x14ac:dyDescent="0.55000000000000004">
      <c r="A22" t="s">
        <v>1055</v>
      </c>
      <c r="B22" s="165">
        <v>0</v>
      </c>
      <c r="C22" s="8">
        <v>0.57200000000000006</v>
      </c>
      <c r="D22" s="165">
        <v>0</v>
      </c>
      <c r="E22" s="165">
        <v>0</v>
      </c>
    </row>
    <row r="23" spans="1:6" x14ac:dyDescent="0.55000000000000004">
      <c r="A23" t="s">
        <v>1135</v>
      </c>
      <c r="B23" s="8">
        <v>56.800000000000004</v>
      </c>
      <c r="C23" s="169">
        <v>0.48</v>
      </c>
      <c r="D23" s="155">
        <v>8235</v>
      </c>
      <c r="E23" s="3">
        <v>1.2398000000000001E-3</v>
      </c>
      <c r="F23" t="s">
        <v>1134</v>
      </c>
    </row>
    <row r="24" spans="1:6" x14ac:dyDescent="0.55000000000000004">
      <c r="A24" t="s">
        <v>1136</v>
      </c>
      <c r="B24" s="152">
        <v>56.800000000000004</v>
      </c>
      <c r="C24" s="152">
        <v>0.48</v>
      </c>
      <c r="D24" s="152">
        <v>8235</v>
      </c>
      <c r="E24" s="153">
        <v>1.2398000000000001E-3</v>
      </c>
    </row>
    <row r="25" spans="1:6" x14ac:dyDescent="0.55000000000000004">
      <c r="A25" t="s">
        <v>90</v>
      </c>
      <c r="B25" s="8">
        <v>78.099999999999994</v>
      </c>
      <c r="C25" s="8">
        <v>0.91199999999999992</v>
      </c>
      <c r="D25" s="155">
        <v>2174</v>
      </c>
      <c r="E25" s="3">
        <v>5.6798999999999999E-3</v>
      </c>
      <c r="F25" t="s">
        <v>1137</v>
      </c>
    </row>
    <row r="26" spans="1:6" x14ac:dyDescent="0.55000000000000004">
      <c r="A26" t="s">
        <v>59</v>
      </c>
      <c r="B26" s="158">
        <v>7.7999999999999999E-5</v>
      </c>
      <c r="C26" s="154">
        <v>5.5199999999999997E-4</v>
      </c>
      <c r="D26" s="4">
        <v>7.6379000000000004E-3</v>
      </c>
      <c r="E26" s="3">
        <v>1.0300000000000001E-3</v>
      </c>
      <c r="F26" t="s">
        <v>1103</v>
      </c>
    </row>
    <row r="27" spans="1:6" x14ac:dyDescent="0.55000000000000004">
      <c r="A27" t="s">
        <v>626</v>
      </c>
      <c r="B27" s="3">
        <v>7.1999999999999993</v>
      </c>
      <c r="C27" s="164">
        <v>0.11</v>
      </c>
      <c r="D27" s="165">
        <v>87</v>
      </c>
      <c r="E27" s="3">
        <v>3.2620000000000001E-4</v>
      </c>
      <c r="F27" t="s">
        <v>1139</v>
      </c>
    </row>
    <row r="28" spans="1:6" x14ac:dyDescent="0.55000000000000004">
      <c r="A28" t="s">
        <v>627</v>
      </c>
      <c r="B28" s="165">
        <v>191</v>
      </c>
      <c r="C28" s="164">
        <v>2.75</v>
      </c>
      <c r="D28" s="165">
        <v>8357</v>
      </c>
      <c r="E28" s="3">
        <v>0.21734000000000001</v>
      </c>
      <c r="F28" t="s">
        <v>1138</v>
      </c>
    </row>
    <row r="29" spans="1:6" x14ac:dyDescent="0.55000000000000004">
      <c r="A29" t="s">
        <v>429</v>
      </c>
      <c r="B29" s="170">
        <v>25.8</v>
      </c>
      <c r="C29" s="164">
        <v>5.5</v>
      </c>
      <c r="D29" s="170">
        <v>1863</v>
      </c>
      <c r="E29" s="170">
        <v>9.2817999999999998E-3</v>
      </c>
      <c r="F29" t="s">
        <v>1140</v>
      </c>
    </row>
    <row r="30" spans="1:6" x14ac:dyDescent="0.55000000000000004">
      <c r="A30" t="s">
        <v>628</v>
      </c>
      <c r="B30" s="8">
        <v>4.3</v>
      </c>
      <c r="C30" s="164">
        <v>1.7000000000000001E-2</v>
      </c>
      <c r="D30" s="165">
        <v>298</v>
      </c>
      <c r="E30" s="3">
        <v>3.9822000000000002E-4</v>
      </c>
      <c r="F30" t="s">
        <v>1141</v>
      </c>
    </row>
    <row r="31" spans="1:6" x14ac:dyDescent="0.55000000000000004">
      <c r="A31" t="s">
        <v>630</v>
      </c>
      <c r="B31" s="8">
        <v>38.700000000000003</v>
      </c>
      <c r="C31" s="155">
        <v>0.42</v>
      </c>
      <c r="D31" s="155">
        <v>1794</v>
      </c>
      <c r="E31" s="3">
        <v>9.5576999999999999E-4</v>
      </c>
      <c r="F31" t="s">
        <v>1142</v>
      </c>
    </row>
    <row r="32" spans="1:6" x14ac:dyDescent="0.55000000000000004">
      <c r="A32" t="s">
        <v>631</v>
      </c>
      <c r="B32" s="165">
        <v>36.599999999999994</v>
      </c>
      <c r="C32" s="155">
        <v>0.66</v>
      </c>
      <c r="D32" s="165">
        <v>1272</v>
      </c>
      <c r="E32" s="3">
        <v>6.3308000000000003E-2</v>
      </c>
      <c r="F32" t="s">
        <v>1143</v>
      </c>
    </row>
    <row r="33" spans="1:6" x14ac:dyDescent="0.55000000000000004">
      <c r="A33" t="s">
        <v>632</v>
      </c>
      <c r="B33" s="165">
        <v>20.799999999999997</v>
      </c>
      <c r="C33" s="169">
        <v>0.45119999999999999</v>
      </c>
      <c r="D33" s="165">
        <v>1275</v>
      </c>
      <c r="E33" s="3">
        <v>5.1333999999999998E-3</v>
      </c>
      <c r="F33" t="s">
        <v>1144</v>
      </c>
    </row>
    <row r="34" spans="1:6" x14ac:dyDescent="0.55000000000000004">
      <c r="A34" t="s">
        <v>1052</v>
      </c>
      <c r="B34" s="165">
        <v>134.20000000000002</v>
      </c>
      <c r="C34" s="169">
        <v>47.64</v>
      </c>
      <c r="D34" s="165">
        <v>9576</v>
      </c>
      <c r="E34" s="3">
        <v>0.28749999999999998</v>
      </c>
      <c r="F34" t="s">
        <v>1145</v>
      </c>
    </row>
    <row r="35" spans="1:6" x14ac:dyDescent="0.55000000000000004">
      <c r="A35" t="s">
        <v>1051</v>
      </c>
      <c r="B35" s="168">
        <v>134.20000000000002</v>
      </c>
      <c r="C35" s="164">
        <v>70</v>
      </c>
      <c r="D35" s="168">
        <v>9576</v>
      </c>
      <c r="E35" s="168">
        <v>0.28749999999999998</v>
      </c>
      <c r="F35" t="s">
        <v>1146</v>
      </c>
    </row>
    <row r="36" spans="1:6" x14ac:dyDescent="0.55000000000000004">
      <c r="A36" t="s">
        <v>58</v>
      </c>
      <c r="B36" s="8">
        <v>79.799999999999983</v>
      </c>
      <c r="C36" s="8">
        <v>3.2160000000000002</v>
      </c>
      <c r="D36" s="155">
        <v>1940</v>
      </c>
      <c r="E36" s="3">
        <v>3.0763000000000001E-3</v>
      </c>
      <c r="F36" t="s">
        <v>1147</v>
      </c>
    </row>
    <row r="37" spans="1:6" x14ac:dyDescent="0.55000000000000004">
      <c r="A37" t="s">
        <v>17</v>
      </c>
      <c r="B37" s="8">
        <v>3.1388888888888884</v>
      </c>
      <c r="C37" s="171">
        <v>1.8722222222222223E-2</v>
      </c>
      <c r="D37" s="155">
        <v>176.11111111111111</v>
      </c>
      <c r="E37" s="3">
        <v>8.8572222222222221E-4</v>
      </c>
      <c r="F37" t="s">
        <v>1148</v>
      </c>
    </row>
    <row r="38" spans="1:6" x14ac:dyDescent="0.55000000000000004">
      <c r="A38" s="1" t="s">
        <v>1167</v>
      </c>
      <c r="B38" s="8">
        <v>0.34166666666666673</v>
      </c>
      <c r="C38" s="174">
        <v>2.9722222222222219E-2</v>
      </c>
      <c r="D38" s="155">
        <v>20.277777777777779</v>
      </c>
      <c r="E38" s="3">
        <v>1.2944444444444445E-4</v>
      </c>
      <c r="F38" t="s">
        <v>1168</v>
      </c>
    </row>
    <row r="39" spans="1:6" x14ac:dyDescent="0.55000000000000004">
      <c r="A39" t="s">
        <v>27</v>
      </c>
      <c r="B39" s="8">
        <v>1.3</v>
      </c>
      <c r="C39" s="171">
        <v>4.4928909952606641E-3</v>
      </c>
      <c r="D39" s="155">
        <v>70</v>
      </c>
      <c r="E39" s="3">
        <v>1.1600000000000001E-5</v>
      </c>
      <c r="F39" s="7" t="s">
        <v>1149</v>
      </c>
    </row>
    <row r="40" spans="1:6" x14ac:dyDescent="0.55000000000000004">
      <c r="A40" t="s">
        <v>19</v>
      </c>
      <c r="B40" s="3">
        <v>0</v>
      </c>
      <c r="C40" s="3">
        <v>0</v>
      </c>
      <c r="D40" s="4">
        <v>0</v>
      </c>
      <c r="E40" s="4">
        <v>0</v>
      </c>
    </row>
    <row r="41" spans="1:6" x14ac:dyDescent="0.55000000000000004">
      <c r="A41" t="s">
        <v>154</v>
      </c>
      <c r="B41" s="3">
        <v>0</v>
      </c>
      <c r="C41" s="3">
        <v>0</v>
      </c>
      <c r="D41" s="4">
        <v>0</v>
      </c>
      <c r="E41" s="4">
        <v>0</v>
      </c>
    </row>
    <row r="42" spans="1:6" x14ac:dyDescent="0.55000000000000004">
      <c r="A42" t="s">
        <v>20</v>
      </c>
      <c r="B42" s="3">
        <v>0</v>
      </c>
      <c r="C42" s="3">
        <v>0</v>
      </c>
      <c r="D42" s="4">
        <v>0</v>
      </c>
      <c r="E42" s="4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T83"/>
  <sheetViews>
    <sheetView tabSelected="1" workbookViewId="0">
      <selection activeCell="E9" sqref="E9"/>
    </sheetView>
  </sheetViews>
  <sheetFormatPr defaultColWidth="10.89453125" defaultRowHeight="14.4" x14ac:dyDescent="0.55000000000000004"/>
  <cols>
    <col min="1" max="1" width="18.62890625" bestFit="1" customWidth="1"/>
    <col min="5" max="5" width="31.26171875" bestFit="1" customWidth="1"/>
    <col min="6" max="6" width="14.47265625" bestFit="1" customWidth="1"/>
    <col min="7" max="7" width="14.15625" bestFit="1" customWidth="1"/>
    <col min="8" max="8" width="14.47265625" bestFit="1" customWidth="1"/>
    <col min="9" max="9" width="14.47265625" customWidth="1"/>
    <col min="10" max="11" width="15.15625" bestFit="1" customWidth="1"/>
    <col min="12" max="12" width="15.15625" customWidth="1"/>
    <col min="13" max="13" width="12.47265625" bestFit="1" customWidth="1"/>
    <col min="14" max="14" width="14" bestFit="1" customWidth="1"/>
    <col min="15" max="15" width="13.26171875" bestFit="1" customWidth="1"/>
    <col min="17" max="17" width="14.7890625" bestFit="1" customWidth="1"/>
    <col min="18" max="18" width="9.26171875" bestFit="1" customWidth="1"/>
    <col min="19" max="19" width="14.7890625" bestFit="1" customWidth="1"/>
    <col min="20" max="20" width="14.7890625" customWidth="1"/>
    <col min="21" max="21" width="12.47265625" bestFit="1" customWidth="1"/>
    <col min="22" max="22" width="10.62890625" bestFit="1" customWidth="1"/>
    <col min="23" max="24" width="10.62890625" customWidth="1"/>
    <col min="25" max="25" width="14.15625" bestFit="1" customWidth="1"/>
    <col min="26" max="26" width="13.62890625" bestFit="1" customWidth="1"/>
    <col min="29" max="29" width="11.62890625" bestFit="1" customWidth="1"/>
    <col min="31" max="31" width="11.62890625" bestFit="1" customWidth="1"/>
    <col min="32" max="33" width="13.15625" bestFit="1" customWidth="1"/>
    <col min="34" max="34" width="13.15625" customWidth="1"/>
    <col min="36" max="36" width="14" customWidth="1"/>
    <col min="39" max="39" width="14.7890625" bestFit="1" customWidth="1"/>
    <col min="40" max="40" width="10.62890625" bestFit="1" customWidth="1"/>
    <col min="41" max="42" width="13.26171875" customWidth="1"/>
    <col min="43" max="43" width="12.47265625" bestFit="1" customWidth="1"/>
    <col min="44" max="44" width="11.62890625" bestFit="1" customWidth="1"/>
    <col min="45" max="45" width="11.62890625" customWidth="1"/>
    <col min="46" max="46" width="14.26171875" customWidth="1"/>
    <col min="47" max="47" width="14.15625" bestFit="1" customWidth="1"/>
    <col min="48" max="48" width="7.15625" customWidth="1"/>
    <col min="50" max="50" width="14.7890625" bestFit="1" customWidth="1"/>
    <col min="51" max="51" width="11.62890625" bestFit="1" customWidth="1"/>
    <col min="52" max="53" width="11.62890625" customWidth="1"/>
    <col min="54" max="54" width="12.47265625" bestFit="1" customWidth="1"/>
    <col min="55" max="55" width="12.15625" bestFit="1" customWidth="1"/>
    <col min="56" max="56" width="12.15625" customWidth="1"/>
    <col min="57" max="57" width="11.26171875" customWidth="1"/>
    <col min="58" max="58" width="14.15625" bestFit="1" customWidth="1"/>
    <col min="59" max="59" width="11.62890625" customWidth="1"/>
    <col min="61" max="61" width="14.7890625" bestFit="1" customWidth="1"/>
    <col min="62" max="62" width="11.26171875" bestFit="1" customWidth="1"/>
    <col min="63" max="64" width="15" customWidth="1"/>
    <col min="65" max="65" width="12.47265625" bestFit="1" customWidth="1"/>
    <col min="66" max="66" width="13.15625" bestFit="1" customWidth="1"/>
    <col min="67" max="67" width="13.15625" customWidth="1"/>
    <col min="68" max="68" width="12.47265625" customWidth="1"/>
    <col min="69" max="69" width="14.15625" bestFit="1" customWidth="1"/>
    <col min="70" max="70" width="7.15625" customWidth="1"/>
    <col min="72" max="72" width="14.7890625" bestFit="1" customWidth="1"/>
    <col min="73" max="73" width="11.62890625" bestFit="1" customWidth="1"/>
    <col min="74" max="75" width="11.62890625" customWidth="1"/>
    <col min="76" max="76" width="12.47265625" bestFit="1" customWidth="1"/>
    <col min="77" max="77" width="13.15625" bestFit="1" customWidth="1"/>
    <col min="78" max="78" width="13.15625" customWidth="1"/>
    <col min="79" max="79" width="12.7890625" customWidth="1"/>
    <col min="80" max="80" width="14.15625" bestFit="1" customWidth="1"/>
    <col min="81" max="81" width="11.62890625" customWidth="1"/>
    <col min="83" max="83" width="9.7890625" bestFit="1" customWidth="1"/>
    <col min="84" max="84" width="10.62890625" bestFit="1" customWidth="1"/>
    <col min="85" max="86" width="10.62890625" customWidth="1"/>
    <col min="87" max="87" width="12.47265625" bestFit="1" customWidth="1"/>
    <col min="88" max="88" width="15.47265625" bestFit="1" customWidth="1"/>
    <col min="89" max="89" width="15.47265625" customWidth="1"/>
    <col min="90" max="90" width="13.26171875" customWidth="1"/>
    <col min="91" max="91" width="22" bestFit="1" customWidth="1"/>
    <col min="92" max="92" width="10.62890625" customWidth="1"/>
    <col min="94" max="94" width="20.47265625" bestFit="1" customWidth="1"/>
    <col min="95" max="95" width="11.26171875" bestFit="1" customWidth="1"/>
    <col min="96" max="96" width="10.62890625" customWidth="1"/>
    <col min="97" max="97" width="15.7890625" customWidth="1"/>
    <col min="98" max="98" width="12.47265625" bestFit="1" customWidth="1"/>
    <col min="99" max="99" width="15.47265625" bestFit="1" customWidth="1"/>
    <col min="100" max="100" width="15.47265625" customWidth="1"/>
    <col min="101" max="101" width="15.26171875" customWidth="1"/>
    <col min="102" max="102" width="22" bestFit="1" customWidth="1"/>
    <col min="103" max="103" width="10.62890625" customWidth="1"/>
    <col min="105" max="105" width="19.15625" customWidth="1"/>
    <col min="106" max="106" width="11.26171875" bestFit="1" customWidth="1"/>
    <col min="107" max="108" width="10.62890625" customWidth="1"/>
    <col min="109" max="109" width="12.47265625" bestFit="1" customWidth="1"/>
    <col min="110" max="110" width="15.47265625" bestFit="1" customWidth="1"/>
    <col min="111" max="112" width="15.47265625" customWidth="1"/>
    <col min="113" max="113" width="22" bestFit="1" customWidth="1"/>
    <col min="114" max="114" width="10.62890625" customWidth="1"/>
    <col min="116" max="116" width="14.7890625" bestFit="1" customWidth="1"/>
    <col min="117" max="117" width="11.62890625" bestFit="1" customWidth="1"/>
    <col min="118" max="118" width="14.7890625" bestFit="1" customWidth="1"/>
    <col min="119" max="119" width="14.7890625" customWidth="1"/>
    <col min="120" max="120" width="12.15625" bestFit="1" customWidth="1"/>
    <col min="121" max="121" width="15.47265625" bestFit="1" customWidth="1"/>
    <col min="122" max="122" width="15.47265625" customWidth="1"/>
    <col min="123" max="123" width="10.7890625" customWidth="1"/>
    <col min="124" max="124" width="22" bestFit="1" customWidth="1"/>
    <col min="125" max="125" width="11.62890625" customWidth="1"/>
    <col min="128" max="128" width="22.47265625" bestFit="1" customWidth="1"/>
    <col min="129" max="129" width="14.7890625" bestFit="1" customWidth="1"/>
    <col min="130" max="130" width="15.62890625" bestFit="1" customWidth="1"/>
    <col min="131" max="131" width="14.7890625" bestFit="1" customWidth="1"/>
    <col min="132" max="132" width="14.7890625" customWidth="1"/>
    <col min="133" max="133" width="14" bestFit="1" customWidth="1"/>
    <col min="134" max="134" width="15.47265625" bestFit="1" customWidth="1"/>
    <col min="135" max="135" width="15.47265625" customWidth="1"/>
    <col min="136" max="136" width="17.62890625" customWidth="1"/>
    <col min="137" max="137" width="22" bestFit="1" customWidth="1"/>
    <col min="138" max="138" width="11.62890625" customWidth="1"/>
    <col min="139" max="139" width="23.15625" bestFit="1" customWidth="1"/>
  </cols>
  <sheetData>
    <row r="1" spans="1:15" x14ac:dyDescent="0.55000000000000004">
      <c r="A1" s="14" t="s">
        <v>86</v>
      </c>
      <c r="B1" s="14" t="s">
        <v>87</v>
      </c>
      <c r="D1" s="14" t="s">
        <v>78</v>
      </c>
    </row>
    <row r="2" spans="1:15" x14ac:dyDescent="0.55000000000000004">
      <c r="A2" t="s">
        <v>77</v>
      </c>
      <c r="B2" s="10">
        <f>0.1</f>
        <v>0.1</v>
      </c>
      <c r="C2">
        <v>0</v>
      </c>
    </row>
    <row r="3" spans="1:15" x14ac:dyDescent="0.55000000000000004">
      <c r="A3" t="s">
        <v>79</v>
      </c>
      <c r="B3" s="10">
        <f>0.2</f>
        <v>0.2</v>
      </c>
      <c r="C3">
        <v>1</v>
      </c>
      <c r="D3" s="12">
        <v>0.14299999999999999</v>
      </c>
    </row>
    <row r="4" spans="1:15" x14ac:dyDescent="0.55000000000000004">
      <c r="A4" t="s">
        <v>80</v>
      </c>
      <c r="B4" s="11">
        <v>0.4</v>
      </c>
      <c r="C4">
        <v>2</v>
      </c>
      <c r="D4" s="12">
        <v>0.245</v>
      </c>
    </row>
    <row r="5" spans="1:15" x14ac:dyDescent="0.55000000000000004">
      <c r="A5" t="s">
        <v>81</v>
      </c>
      <c r="B5" s="10">
        <f>0.08</f>
        <v>0.08</v>
      </c>
      <c r="C5">
        <v>3</v>
      </c>
      <c r="D5" s="12">
        <v>0.17499999999999999</v>
      </c>
    </row>
    <row r="6" spans="1:15" x14ac:dyDescent="0.55000000000000004">
      <c r="A6" t="s">
        <v>82</v>
      </c>
      <c r="B6" s="10">
        <v>10</v>
      </c>
      <c r="C6">
        <v>4</v>
      </c>
      <c r="D6" s="12">
        <v>0.125</v>
      </c>
    </row>
    <row r="7" spans="1:15" x14ac:dyDescent="0.55000000000000004">
      <c r="A7" t="s">
        <v>83</v>
      </c>
      <c r="B7" s="13">
        <f>0.03</f>
        <v>0.03</v>
      </c>
      <c r="C7">
        <v>5</v>
      </c>
      <c r="D7" s="12">
        <v>8.8999999999999996E-2</v>
      </c>
    </row>
    <row r="8" spans="1:15" x14ac:dyDescent="0.55000000000000004">
      <c r="A8" t="s">
        <v>84</v>
      </c>
      <c r="B8" s="10">
        <f>0.01</f>
        <v>0.01</v>
      </c>
      <c r="C8">
        <v>6</v>
      </c>
      <c r="D8" s="12">
        <v>8.8999999999999996E-2</v>
      </c>
    </row>
    <row r="9" spans="1:15" x14ac:dyDescent="0.55000000000000004">
      <c r="A9" t="s">
        <v>85</v>
      </c>
      <c r="B9" s="13">
        <v>0</v>
      </c>
      <c r="C9">
        <v>7</v>
      </c>
      <c r="D9" s="12">
        <v>8.8999999999999996E-2</v>
      </c>
    </row>
    <row r="10" spans="1:15" x14ac:dyDescent="0.55000000000000004">
      <c r="A10" t="s">
        <v>88</v>
      </c>
      <c r="B10" s="10">
        <v>0.85</v>
      </c>
      <c r="C10">
        <v>8</v>
      </c>
      <c r="D10" s="12">
        <v>4.4999999999999998E-2</v>
      </c>
    </row>
    <row r="14" spans="1:15" ht="15.6" x14ac:dyDescent="0.6">
      <c r="F14" s="16"/>
      <c r="G14" s="16"/>
      <c r="H14" s="16"/>
      <c r="I14" s="16"/>
      <c r="J14" s="16"/>
      <c r="K14" s="16"/>
      <c r="L14" s="16"/>
      <c r="M14" s="16"/>
      <c r="N14" s="16"/>
    </row>
    <row r="15" spans="1:15" ht="15.6" x14ac:dyDescent="0.6"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15.6" x14ac:dyDescent="0.6"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5:129" x14ac:dyDescent="0.55000000000000004">
      <c r="E17" s="15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5:129" ht="14.5" customHeight="1" x14ac:dyDescent="0.6">
      <c r="E18" s="18"/>
      <c r="F18" s="98"/>
      <c r="G18" s="19"/>
      <c r="H18" s="19"/>
      <c r="I18" s="19"/>
      <c r="J18" s="19"/>
      <c r="K18" s="19"/>
      <c r="L18" s="19"/>
      <c r="M18" s="19"/>
      <c r="N18" s="19"/>
      <c r="O18" s="19"/>
    </row>
    <row r="19" spans="5:129" x14ac:dyDescent="0.55000000000000004"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5:129" ht="15.6" x14ac:dyDescent="0.6"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5:129" s="1" customFormat="1" ht="15.6" x14ac:dyDescent="0.6"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5:129" ht="15.6" x14ac:dyDescent="0.6"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22"/>
    </row>
    <row r="23" spans="5:129" x14ac:dyDescent="0.55000000000000004">
      <c r="E23" s="18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5:129" ht="15.6" x14ac:dyDescent="0.6"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5:129" x14ac:dyDescent="0.55000000000000004">
      <c r="E25" s="15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5:129" ht="15.6" x14ac:dyDescent="0.6">
      <c r="E26" s="18"/>
      <c r="F26" s="98"/>
      <c r="G26" s="98"/>
      <c r="H26" s="98"/>
      <c r="I26" s="98"/>
      <c r="J26" s="98"/>
      <c r="K26" s="98"/>
      <c r="L26" s="98"/>
      <c r="M26" s="98"/>
      <c r="N26" s="98"/>
      <c r="O26" s="19"/>
    </row>
    <row r="27" spans="5:129" ht="15.6" x14ac:dyDescent="0.6">
      <c r="E27" s="18"/>
      <c r="F27" s="21"/>
      <c r="G27" s="21"/>
      <c r="H27" s="21"/>
      <c r="I27" s="21"/>
      <c r="J27" s="21"/>
      <c r="K27" s="21"/>
      <c r="L27" s="21"/>
      <c r="M27" s="21"/>
      <c r="N27" s="21"/>
      <c r="O27" s="21"/>
      <c r="DW27" s="1"/>
      <c r="DX27" s="24"/>
      <c r="DY27" s="1"/>
    </row>
    <row r="28" spans="5:129" ht="15.6" x14ac:dyDescent="0.6">
      <c r="E28" s="18"/>
      <c r="F28" s="21"/>
      <c r="G28" s="21"/>
      <c r="H28" s="21"/>
      <c r="I28" s="21"/>
      <c r="J28" s="21"/>
      <c r="K28" s="21"/>
      <c r="L28" s="21"/>
      <c r="M28" s="21"/>
      <c r="N28" s="21"/>
      <c r="O28" s="21"/>
      <c r="DW28" s="1"/>
      <c r="DX28" s="24"/>
      <c r="DY28" s="1"/>
    </row>
    <row r="29" spans="5:129" ht="15.6" x14ac:dyDescent="0.6">
      <c r="E29" s="18"/>
      <c r="F29" s="21"/>
      <c r="G29" s="21"/>
      <c r="H29" s="21"/>
      <c r="I29" s="21"/>
      <c r="J29" s="21"/>
      <c r="K29" s="21"/>
      <c r="L29" s="21"/>
      <c r="M29" s="21"/>
      <c r="N29" s="21"/>
      <c r="O29" s="21"/>
      <c r="DW29" s="1"/>
      <c r="DX29" s="24"/>
      <c r="DY29" s="1"/>
    </row>
    <row r="30" spans="5:129" ht="15.6" x14ac:dyDescent="0.6">
      <c r="E30" s="18"/>
      <c r="F30" s="21"/>
      <c r="G30" s="21"/>
      <c r="H30" s="21"/>
      <c r="I30" s="21"/>
      <c r="J30" s="21"/>
      <c r="K30" s="21"/>
      <c r="L30" s="21"/>
      <c r="M30" s="21"/>
      <c r="N30" s="21"/>
      <c r="O30" s="21"/>
      <c r="Q30" s="25"/>
      <c r="DW30" s="1"/>
      <c r="DX30" s="24"/>
      <c r="DY30" s="1"/>
    </row>
    <row r="31" spans="5:129" ht="15.6" x14ac:dyDescent="0.6">
      <c r="E31" s="18"/>
      <c r="F31" s="21"/>
      <c r="G31" s="21"/>
      <c r="H31" s="21"/>
      <c r="I31" s="21"/>
      <c r="J31" s="21"/>
      <c r="K31" s="21"/>
      <c r="L31" s="21"/>
      <c r="M31" s="21"/>
      <c r="N31" s="21"/>
      <c r="O31" s="21"/>
      <c r="DW31" s="1"/>
      <c r="DX31" s="24"/>
      <c r="DY31" s="1"/>
    </row>
    <row r="32" spans="5:129" x14ac:dyDescent="0.55000000000000004">
      <c r="E32" s="18"/>
      <c r="F32" s="26"/>
      <c r="G32" s="26"/>
      <c r="H32" s="26"/>
      <c r="I32" s="26"/>
      <c r="J32" s="26"/>
      <c r="K32" s="26"/>
      <c r="L32" s="26"/>
      <c r="M32" s="26"/>
      <c r="N32" s="26"/>
      <c r="O32" s="26"/>
      <c r="Q32" s="25"/>
      <c r="DW32" s="1"/>
      <c r="DX32" s="24"/>
      <c r="DY32" s="1"/>
    </row>
    <row r="33" spans="5:150" ht="15.6" x14ac:dyDescent="0.6">
      <c r="E33" s="18"/>
      <c r="F33" s="21"/>
      <c r="G33" s="21"/>
      <c r="H33" s="21"/>
      <c r="I33" s="21"/>
      <c r="J33" s="21"/>
      <c r="K33" s="28"/>
      <c r="L33" s="28"/>
      <c r="M33" s="28"/>
      <c r="N33" s="28"/>
      <c r="O33" s="21"/>
      <c r="DW33" s="1"/>
      <c r="DX33" s="24"/>
      <c r="DY33" s="1"/>
    </row>
    <row r="34" spans="5:150" ht="15.6" x14ac:dyDescent="0.6">
      <c r="E34" s="18"/>
      <c r="F34" s="27"/>
      <c r="G34" s="29"/>
      <c r="H34" s="29"/>
      <c r="I34" s="29"/>
      <c r="J34" s="29"/>
      <c r="K34" s="29"/>
      <c r="L34" s="29"/>
      <c r="M34" s="29"/>
      <c r="N34" s="29"/>
      <c r="O34" s="21"/>
      <c r="Q34" s="25"/>
      <c r="DW34" s="1"/>
      <c r="DX34" s="24"/>
      <c r="DY34" s="1"/>
    </row>
    <row r="35" spans="5:150" ht="15.6" x14ac:dyDescent="0.6">
      <c r="E35" s="18"/>
      <c r="F35" s="21"/>
      <c r="G35" s="21"/>
      <c r="H35" s="21"/>
      <c r="I35" s="21"/>
      <c r="J35" s="21"/>
      <c r="K35" s="21"/>
      <c r="L35" s="21"/>
      <c r="M35" s="21"/>
      <c r="N35" s="21"/>
      <c r="O35" s="21"/>
      <c r="DW35" s="1"/>
    </row>
    <row r="36" spans="5:150" ht="15.6" x14ac:dyDescent="0.6">
      <c r="E36" s="18"/>
      <c r="F36" s="21"/>
      <c r="G36" s="21"/>
      <c r="H36" s="21"/>
      <c r="I36" s="21"/>
      <c r="J36" s="21"/>
      <c r="K36" s="21"/>
      <c r="L36" s="21"/>
      <c r="M36" s="21"/>
      <c r="N36" s="21"/>
      <c r="O36" s="21"/>
      <c r="DW36" s="1"/>
      <c r="DX36" s="24"/>
      <c r="DY36" s="1"/>
    </row>
    <row r="37" spans="5:150" x14ac:dyDescent="0.55000000000000004">
      <c r="E37" s="18"/>
      <c r="F37" s="32"/>
      <c r="G37" s="32"/>
      <c r="H37" s="32"/>
      <c r="I37" s="32"/>
      <c r="J37" s="32"/>
      <c r="K37" s="32"/>
      <c r="L37" s="32"/>
      <c r="M37" s="32"/>
      <c r="N37" s="32"/>
      <c r="O37" s="32"/>
      <c r="Q37" s="9"/>
      <c r="AB37" s="9"/>
      <c r="AM37" s="9"/>
      <c r="CP37" s="30"/>
      <c r="DA37" s="5"/>
      <c r="DL37" s="31"/>
      <c r="DW37" s="1"/>
      <c r="DX37" s="1"/>
      <c r="DY37" s="1"/>
    </row>
    <row r="38" spans="5:150" ht="15.6" x14ac:dyDescent="0.6">
      <c r="E38" s="18"/>
      <c r="F38" s="21"/>
      <c r="G38" s="21"/>
      <c r="H38" s="21"/>
      <c r="I38" s="21"/>
      <c r="J38" s="21"/>
      <c r="K38" s="21"/>
      <c r="L38" s="21"/>
      <c r="M38" s="21"/>
      <c r="N38" s="21"/>
      <c r="O38" s="21"/>
      <c r="Q38" s="25"/>
      <c r="DW38" s="1"/>
      <c r="DX38" s="24"/>
      <c r="DY38" s="1"/>
    </row>
    <row r="39" spans="5:150" x14ac:dyDescent="0.55000000000000004">
      <c r="E39" s="18"/>
      <c r="F39" s="32"/>
      <c r="G39" s="32"/>
      <c r="H39" s="32"/>
      <c r="I39" s="32"/>
      <c r="J39" s="32"/>
      <c r="K39" s="32"/>
      <c r="L39" s="32"/>
      <c r="M39" s="32"/>
      <c r="N39" s="32"/>
      <c r="O39" s="32"/>
      <c r="Q39" s="9"/>
      <c r="AB39" s="9"/>
      <c r="AM39" s="9"/>
      <c r="CP39" s="30"/>
      <c r="DA39" s="5"/>
      <c r="DL39" s="31"/>
      <c r="DW39" s="1"/>
      <c r="DX39" s="1"/>
      <c r="DY39" s="1"/>
    </row>
    <row r="40" spans="5:150" x14ac:dyDescent="0.55000000000000004">
      <c r="E40" s="18"/>
      <c r="F40" s="33"/>
      <c r="G40" s="33"/>
      <c r="H40" s="33"/>
      <c r="I40" s="33"/>
      <c r="J40" s="33"/>
      <c r="K40" s="33"/>
      <c r="L40" s="33"/>
      <c r="M40" s="33"/>
      <c r="N40" s="33"/>
      <c r="O40" s="33"/>
      <c r="Q40" s="9"/>
      <c r="AB40" s="9"/>
      <c r="AM40" s="9"/>
      <c r="CP40" s="30"/>
      <c r="DA40" s="5"/>
      <c r="DL40" s="31"/>
      <c r="DW40" s="1"/>
      <c r="DX40" s="1"/>
      <c r="DY40" s="1"/>
    </row>
    <row r="41" spans="5:150" x14ac:dyDescent="0.55000000000000004">
      <c r="E41" s="18"/>
      <c r="F41" s="32"/>
      <c r="G41" s="32"/>
      <c r="H41" s="32"/>
      <c r="I41" s="32"/>
      <c r="J41" s="32"/>
      <c r="K41" s="32"/>
      <c r="L41" s="32"/>
      <c r="M41" s="32"/>
      <c r="N41" s="32"/>
      <c r="O41" s="32"/>
      <c r="Q41" s="9"/>
      <c r="AB41" s="9"/>
      <c r="AM41" s="9"/>
      <c r="CP41" s="30"/>
      <c r="DA41" s="5"/>
      <c r="DL41" s="31"/>
      <c r="DW41" s="1"/>
    </row>
    <row r="42" spans="5:150" x14ac:dyDescent="0.55000000000000004">
      <c r="E42" s="18"/>
      <c r="K42" s="25"/>
      <c r="L42" s="25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W42" s="1"/>
    </row>
    <row r="43" spans="5:150" x14ac:dyDescent="0.55000000000000004">
      <c r="E43" s="15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</row>
    <row r="44" spans="5:150" ht="15.6" x14ac:dyDescent="0.6">
      <c r="E44" s="15"/>
      <c r="F44" s="16"/>
      <c r="G44" s="16"/>
      <c r="H44" s="16"/>
      <c r="I44" s="16"/>
      <c r="J44" s="16"/>
      <c r="K44" s="16"/>
      <c r="L44" s="16"/>
      <c r="M44" s="16"/>
      <c r="N44" s="16"/>
      <c r="O44" s="16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35"/>
      <c r="AD44" s="35"/>
      <c r="AE44" s="35"/>
      <c r="AF44" s="35"/>
      <c r="AG44" s="35"/>
      <c r="AH44" s="35"/>
      <c r="AI44" s="35"/>
      <c r="AJ44" s="35"/>
      <c r="AK44" s="35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X44" s="9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</row>
    <row r="45" spans="5:150" ht="15.6" x14ac:dyDescent="0.6">
      <c r="E45" s="15"/>
      <c r="F45" s="16"/>
      <c r="G45" s="16"/>
      <c r="H45" s="16"/>
      <c r="I45" s="16"/>
      <c r="J45" s="16"/>
      <c r="K45" s="16"/>
      <c r="L45" s="16"/>
      <c r="M45" s="16"/>
      <c r="N45" s="16"/>
      <c r="O45" s="16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X45" s="9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6"/>
      <c r="EK45" s="36"/>
      <c r="EL45" s="36"/>
      <c r="EM45" s="36"/>
      <c r="EN45" s="36"/>
      <c r="EO45" s="36"/>
      <c r="EP45" s="36"/>
      <c r="EQ45" s="36"/>
      <c r="ER45" s="36"/>
      <c r="ES45" s="36"/>
    </row>
    <row r="46" spans="5:150" ht="15.6" x14ac:dyDescent="0.6">
      <c r="E46" s="15"/>
      <c r="F46" s="16"/>
      <c r="G46" s="16"/>
      <c r="H46" s="16"/>
      <c r="I46" s="16"/>
      <c r="J46" s="16"/>
      <c r="K46" s="16"/>
      <c r="L46" s="16"/>
      <c r="M46" s="16"/>
      <c r="N46" s="16"/>
      <c r="O46" s="16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X46" s="9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9"/>
      <c r="EJ46" s="36"/>
      <c r="EK46" s="36"/>
      <c r="EL46" s="36"/>
      <c r="EM46" s="36"/>
      <c r="EN46" s="36"/>
      <c r="EO46" s="36"/>
      <c r="EP46" s="36"/>
      <c r="EQ46" s="36"/>
      <c r="ER46" s="36"/>
      <c r="ES46" s="36"/>
    </row>
    <row r="47" spans="5:150" ht="15.6" x14ac:dyDescent="0.6">
      <c r="E47" s="15"/>
      <c r="F47" s="16"/>
      <c r="G47" s="16"/>
      <c r="H47" s="16"/>
      <c r="I47" s="16"/>
      <c r="J47" s="16"/>
      <c r="K47" s="16"/>
      <c r="L47" s="16"/>
      <c r="M47" s="16"/>
      <c r="N47" s="16"/>
      <c r="O47" s="16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X47" s="9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39"/>
      <c r="EJ47" s="36"/>
      <c r="EK47" s="36"/>
      <c r="EL47" s="36"/>
      <c r="EM47" s="36"/>
      <c r="EN47" s="36"/>
      <c r="EO47" s="36"/>
      <c r="EP47" s="36"/>
      <c r="EQ47" s="36"/>
      <c r="ER47" s="36"/>
      <c r="ES47" s="36"/>
    </row>
    <row r="48" spans="5:150" ht="15.6" x14ac:dyDescent="0.6">
      <c r="E48" s="15"/>
      <c r="F48" s="16"/>
      <c r="G48" s="16"/>
      <c r="H48" s="16"/>
      <c r="I48" s="16"/>
      <c r="J48" s="16"/>
      <c r="K48" s="16"/>
      <c r="L48" s="16"/>
      <c r="M48" s="16"/>
      <c r="N48" s="16"/>
      <c r="O48" s="16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X48" s="9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39"/>
      <c r="EJ48" s="36"/>
      <c r="EK48" s="36"/>
      <c r="EL48" s="36"/>
      <c r="EM48" s="36"/>
      <c r="EN48" s="36"/>
      <c r="EO48" s="36"/>
      <c r="EP48" s="36"/>
      <c r="EQ48" s="36"/>
      <c r="ER48" s="36"/>
      <c r="ES48" s="36"/>
    </row>
    <row r="49" spans="5:149" ht="15.6" x14ac:dyDescent="0.6">
      <c r="E49" s="15"/>
      <c r="F49" s="16"/>
      <c r="G49" s="16"/>
      <c r="H49" s="16"/>
      <c r="I49" s="16"/>
      <c r="J49" s="16"/>
      <c r="K49" s="16"/>
      <c r="L49" s="16"/>
      <c r="M49" s="16"/>
      <c r="N49" s="16"/>
      <c r="O49" s="16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X49" s="9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0"/>
      <c r="EJ49" s="36"/>
      <c r="EK49" s="36"/>
      <c r="EL49" s="36"/>
      <c r="EM49" s="36"/>
      <c r="EN49" s="36"/>
      <c r="EO49" s="36"/>
      <c r="EP49" s="36"/>
      <c r="EQ49" s="36"/>
      <c r="ER49" s="36"/>
      <c r="ES49" s="36"/>
    </row>
    <row r="50" spans="5:149" ht="15.6" x14ac:dyDescent="0.6">
      <c r="E50" s="15"/>
      <c r="F50" s="16"/>
      <c r="G50" s="16"/>
      <c r="H50" s="16"/>
      <c r="I50" s="16"/>
      <c r="J50" s="16"/>
      <c r="K50" s="16"/>
      <c r="L50" s="16"/>
      <c r="M50" s="16"/>
      <c r="N50" s="16"/>
      <c r="O50" s="16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X50" s="9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J50" s="36"/>
      <c r="EK50" s="36"/>
      <c r="EL50" s="36"/>
      <c r="EM50" s="36"/>
      <c r="EN50" s="36"/>
      <c r="EO50" s="36"/>
      <c r="EP50" s="36"/>
      <c r="EQ50" s="36"/>
      <c r="ER50" s="36"/>
      <c r="ES50" s="36"/>
    </row>
    <row r="51" spans="5:149" ht="15.6" x14ac:dyDescent="0.6">
      <c r="E51" s="15"/>
      <c r="F51" s="16"/>
      <c r="G51" s="16"/>
      <c r="H51" s="16"/>
      <c r="I51" s="16"/>
      <c r="J51" s="16"/>
      <c r="K51" s="16"/>
      <c r="L51" s="16"/>
      <c r="M51" s="16"/>
      <c r="N51" s="16"/>
      <c r="O51" s="16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X51" s="44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J51" s="36"/>
      <c r="EK51" s="36"/>
      <c r="EL51" s="36"/>
      <c r="EM51" s="36"/>
      <c r="EN51" s="36"/>
      <c r="EO51" s="36"/>
      <c r="EP51" s="36"/>
      <c r="EQ51" s="36"/>
      <c r="ER51" s="36"/>
      <c r="ES51" s="36"/>
    </row>
    <row r="52" spans="5:149" x14ac:dyDescent="0.55000000000000004">
      <c r="E52" s="15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X52" s="44"/>
      <c r="DY52" s="149"/>
      <c r="DZ52" s="149"/>
      <c r="EA52" s="149"/>
      <c r="EB52" s="149"/>
      <c r="EC52" s="149"/>
      <c r="ED52" s="149"/>
      <c r="EE52" s="149"/>
      <c r="EF52" s="149"/>
      <c r="EG52" s="149"/>
      <c r="EH52" s="149"/>
      <c r="EI52" s="42"/>
      <c r="EJ52" s="36"/>
      <c r="EK52" s="36"/>
      <c r="EL52" s="36"/>
      <c r="EM52" s="36"/>
      <c r="EN52" s="36"/>
      <c r="EO52" s="36"/>
      <c r="EP52" s="36"/>
      <c r="EQ52" s="36"/>
      <c r="ER52" s="36"/>
      <c r="ES52" s="36"/>
    </row>
    <row r="53" spans="5:149" x14ac:dyDescent="0.55000000000000004">
      <c r="E53" s="15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X53" s="44"/>
      <c r="DY53" s="150"/>
      <c r="DZ53" s="150"/>
      <c r="EA53" s="150"/>
      <c r="EB53" s="150"/>
      <c r="EC53" s="150"/>
      <c r="ED53" s="150"/>
      <c r="EE53" s="150"/>
      <c r="EF53" s="150"/>
      <c r="EG53" s="150"/>
      <c r="EH53" s="150"/>
      <c r="EI53" s="42"/>
      <c r="EJ53" s="36"/>
      <c r="EK53" s="36"/>
      <c r="EL53" s="36"/>
      <c r="EM53" s="36"/>
      <c r="EN53" s="36"/>
      <c r="EO53" s="36"/>
      <c r="EP53" s="36"/>
      <c r="EQ53" s="36"/>
      <c r="ER53" s="36"/>
      <c r="ES53" s="36"/>
    </row>
    <row r="54" spans="5:149" ht="15.6" x14ac:dyDescent="0.6">
      <c r="E54" s="15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X54" s="48"/>
      <c r="DY54" s="157"/>
      <c r="DZ54" s="49"/>
      <c r="EA54" s="49"/>
      <c r="EB54" s="49"/>
      <c r="EC54" s="49"/>
      <c r="ED54" s="49"/>
      <c r="EE54" s="49"/>
      <c r="EF54" s="49"/>
      <c r="EG54" s="49"/>
      <c r="EH54" s="49"/>
      <c r="EI54" s="42"/>
      <c r="EJ54" s="36"/>
      <c r="EK54" s="36"/>
      <c r="EL54" s="36"/>
      <c r="EM54" s="36"/>
      <c r="EN54" s="36"/>
      <c r="EO54" s="36"/>
      <c r="EP54" s="36"/>
      <c r="EQ54" s="36"/>
      <c r="ER54" s="36"/>
      <c r="ES54" s="36"/>
    </row>
    <row r="55" spans="5:149" x14ac:dyDescent="0.55000000000000004">
      <c r="E55" s="15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X55" s="24"/>
      <c r="DY55" s="1"/>
      <c r="DZ55" s="42"/>
      <c r="EA55" s="42"/>
      <c r="EB55" s="42"/>
      <c r="EC55" s="42"/>
      <c r="ED55" s="55"/>
      <c r="EE55" s="55"/>
      <c r="EF55" s="42"/>
      <c r="EG55" s="42"/>
      <c r="EH55" s="42"/>
      <c r="EI55" s="42"/>
      <c r="EJ55" s="36"/>
      <c r="EK55" s="36"/>
      <c r="EL55" s="36"/>
      <c r="EM55" s="36"/>
      <c r="EN55" s="36"/>
      <c r="EO55" s="36"/>
      <c r="EP55" s="36"/>
      <c r="EQ55" s="36"/>
      <c r="ER55" s="36"/>
      <c r="ES55" s="36"/>
    </row>
    <row r="56" spans="5:149" x14ac:dyDescent="0.55000000000000004">
      <c r="E56" s="15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X56" s="47"/>
      <c r="DY56" s="42"/>
      <c r="DZ56" s="42"/>
      <c r="EA56" s="42"/>
      <c r="EB56" s="42"/>
      <c r="EC56" s="42"/>
      <c r="ED56" s="42"/>
      <c r="EE56" s="42"/>
      <c r="EF56" s="42"/>
      <c r="EG56" s="42"/>
      <c r="EH56" s="42"/>
      <c r="EI56" s="42"/>
      <c r="EJ56" s="36"/>
      <c r="EK56" s="36"/>
      <c r="EL56" s="36"/>
      <c r="EM56" s="36"/>
      <c r="EN56" s="36"/>
      <c r="EO56" s="36"/>
      <c r="EP56" s="36"/>
      <c r="EQ56" s="36"/>
      <c r="ER56" s="36"/>
      <c r="ES56" s="36"/>
    </row>
    <row r="57" spans="5:149" x14ac:dyDescent="0.55000000000000004">
      <c r="E57" s="15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X57" s="42"/>
      <c r="DY57" s="42"/>
      <c r="DZ57" s="42"/>
      <c r="EA57" s="42"/>
      <c r="EB57" s="42"/>
      <c r="EC57" s="42"/>
      <c r="ED57" s="42"/>
      <c r="EE57" s="42"/>
      <c r="EF57" s="42"/>
      <c r="EG57" s="42"/>
      <c r="EH57" s="42"/>
      <c r="EI57" s="42"/>
      <c r="EJ57" s="36"/>
      <c r="EK57" s="36"/>
      <c r="EL57" s="36"/>
      <c r="EM57" s="36"/>
      <c r="EN57" s="36"/>
      <c r="EO57" s="36"/>
      <c r="EP57" s="36"/>
      <c r="EQ57" s="36"/>
      <c r="ER57" s="36"/>
      <c r="ES57" s="36"/>
    </row>
    <row r="58" spans="5:149" x14ac:dyDescent="0.55000000000000004">
      <c r="E58" s="15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X58" s="44"/>
      <c r="DY58" s="42"/>
      <c r="DZ58" s="42"/>
      <c r="EA58" s="42"/>
      <c r="EB58" s="42"/>
      <c r="EC58" s="42"/>
      <c r="ED58" s="42"/>
      <c r="EE58" s="42"/>
      <c r="EF58" s="42"/>
      <c r="EG58" s="42"/>
      <c r="EH58" s="42"/>
      <c r="EI58" s="42"/>
      <c r="EJ58" s="36"/>
      <c r="EK58" s="36"/>
      <c r="EL58" s="36"/>
      <c r="EM58" s="36"/>
      <c r="EN58" s="36"/>
      <c r="EO58" s="36"/>
      <c r="EP58" s="36"/>
      <c r="EQ58" s="36"/>
      <c r="ER58" s="36"/>
      <c r="ES58" s="36"/>
    </row>
    <row r="59" spans="5:149" ht="15.6" x14ac:dyDescent="0.6">
      <c r="E59" s="15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X59" s="44"/>
      <c r="DY59" s="53"/>
      <c r="DZ59" s="54"/>
      <c r="EA59" s="54"/>
      <c r="EB59" s="54"/>
      <c r="EC59" s="54"/>
      <c r="ED59" s="54"/>
      <c r="EE59" s="54"/>
      <c r="EF59" s="54"/>
      <c r="EG59" s="54"/>
      <c r="EH59" s="54"/>
      <c r="EI59" s="42"/>
      <c r="EJ59" s="36"/>
      <c r="EK59" s="36"/>
      <c r="EL59" s="36"/>
      <c r="EM59" s="36"/>
      <c r="EN59" s="36"/>
      <c r="EO59" s="36"/>
      <c r="EP59" s="36"/>
      <c r="EQ59" s="36"/>
      <c r="ER59" s="36"/>
      <c r="ES59" s="36"/>
    </row>
    <row r="60" spans="5:149" ht="15.6" x14ac:dyDescent="0.6">
      <c r="E60" s="15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X60" s="48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2"/>
      <c r="EJ60" s="36"/>
      <c r="EK60" s="36"/>
      <c r="EL60" s="36"/>
      <c r="EM60" s="36"/>
      <c r="EN60" s="36"/>
      <c r="EO60" s="36"/>
      <c r="EP60" s="36"/>
      <c r="EQ60" s="36"/>
      <c r="ER60" s="36"/>
      <c r="ES60" s="36"/>
    </row>
    <row r="61" spans="5:149" x14ac:dyDescent="0.55000000000000004">
      <c r="E61" s="15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X61" s="47"/>
      <c r="DY61" s="42"/>
      <c r="DZ61" s="42"/>
      <c r="EA61" s="42"/>
      <c r="EB61" s="42"/>
      <c r="EC61" s="42"/>
      <c r="ED61" s="42"/>
      <c r="EE61" s="42"/>
      <c r="EF61" s="42"/>
      <c r="EG61" s="42"/>
      <c r="EH61" s="42"/>
      <c r="EI61" s="42"/>
      <c r="EJ61" s="36"/>
      <c r="EK61" s="36"/>
      <c r="EL61" s="36"/>
      <c r="EM61" s="36"/>
      <c r="EN61" s="36"/>
      <c r="EO61" s="36"/>
      <c r="EP61" s="36"/>
      <c r="EQ61" s="36"/>
      <c r="ER61" s="36"/>
      <c r="ES61" s="36"/>
    </row>
    <row r="62" spans="5:149" x14ac:dyDescent="0.55000000000000004">
      <c r="E62" s="15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X62" s="42"/>
      <c r="DY62" s="42"/>
      <c r="DZ62" s="42"/>
      <c r="EA62" s="42"/>
      <c r="EB62" s="42"/>
      <c r="EC62" s="42"/>
      <c r="ED62" s="42"/>
      <c r="EE62" s="42"/>
      <c r="EF62" s="42"/>
      <c r="EG62" s="42"/>
      <c r="EH62" s="42"/>
      <c r="EI62" s="42"/>
      <c r="EJ62" s="36"/>
      <c r="EK62" s="36"/>
      <c r="EL62" s="36"/>
      <c r="EM62" s="36"/>
      <c r="EN62" s="36"/>
      <c r="EO62" s="36"/>
      <c r="EP62" s="36"/>
      <c r="EQ62" s="36"/>
      <c r="ER62" s="36"/>
      <c r="ES62" s="36"/>
    </row>
    <row r="63" spans="5:149" s="100" customFormat="1" x14ac:dyDescent="0.55000000000000004">
      <c r="E63" s="99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7"/>
      <c r="AY63" s="101"/>
      <c r="AZ63" s="101"/>
      <c r="BA63" s="101"/>
      <c r="BB63" s="17"/>
      <c r="BC63" s="17"/>
      <c r="BD63" s="17"/>
      <c r="BE63" s="101"/>
      <c r="BF63" s="101"/>
      <c r="BG63" s="101"/>
      <c r="BI63" s="101"/>
      <c r="BJ63" s="101"/>
      <c r="BK63" s="101"/>
      <c r="BL63" s="101"/>
      <c r="BM63" s="101"/>
      <c r="BN63" s="101"/>
      <c r="BO63" s="101"/>
      <c r="BP63" s="101"/>
      <c r="BQ63" s="101"/>
      <c r="BR63" s="101"/>
      <c r="BS63" s="101"/>
      <c r="BT63" s="101"/>
      <c r="BU63" s="101"/>
      <c r="BV63" s="101"/>
      <c r="BW63" s="101"/>
      <c r="BX63" s="101"/>
      <c r="BY63" s="101"/>
      <c r="BZ63" s="101"/>
      <c r="CA63" s="101"/>
      <c r="CB63" s="101"/>
      <c r="CC63" s="101"/>
      <c r="CD63" s="101"/>
      <c r="CE63" s="101"/>
      <c r="CF63" s="101"/>
      <c r="CG63" s="101"/>
      <c r="CH63" s="101"/>
      <c r="CI63" s="101"/>
      <c r="CJ63" s="101"/>
      <c r="CK63" s="101"/>
      <c r="CL63" s="101"/>
      <c r="CM63" s="101"/>
      <c r="CN63" s="101"/>
      <c r="CP63" s="17"/>
      <c r="CQ63" s="101"/>
      <c r="CR63" s="101"/>
      <c r="CS63" s="101"/>
      <c r="CT63" s="17"/>
      <c r="CU63" s="17"/>
      <c r="CV63" s="17"/>
      <c r="CW63" s="101"/>
      <c r="CX63" s="101"/>
      <c r="CY63" s="101"/>
      <c r="DA63" s="101"/>
      <c r="DB63" s="101"/>
      <c r="DC63" s="101"/>
      <c r="DD63" s="101"/>
      <c r="DE63" s="101"/>
      <c r="DF63" s="101"/>
      <c r="DG63" s="101"/>
      <c r="DH63" s="101"/>
      <c r="DI63" s="101"/>
      <c r="DJ63" s="101"/>
      <c r="DL63" s="101"/>
      <c r="DM63" s="101"/>
      <c r="DN63" s="101"/>
      <c r="DO63" s="101"/>
      <c r="DP63" s="101"/>
      <c r="DQ63" s="101"/>
      <c r="DR63" s="101"/>
      <c r="DS63" s="101"/>
      <c r="DT63" s="101"/>
      <c r="DU63" s="101"/>
      <c r="DX63" s="102"/>
      <c r="DY63" s="103"/>
      <c r="DZ63" s="103"/>
      <c r="EA63" s="103"/>
      <c r="EB63" s="103"/>
      <c r="EC63" s="103"/>
      <c r="ED63" s="103"/>
      <c r="EE63" s="103"/>
      <c r="EF63" s="103"/>
      <c r="EG63" s="103"/>
      <c r="EH63" s="103"/>
      <c r="EI63" s="103"/>
      <c r="EJ63" s="104"/>
      <c r="EK63" s="104"/>
      <c r="EL63" s="104"/>
      <c r="EM63" s="104"/>
      <c r="EN63" s="104"/>
      <c r="EO63" s="104"/>
      <c r="EP63" s="104"/>
      <c r="EQ63" s="104"/>
      <c r="ER63" s="104"/>
      <c r="ES63" s="104"/>
    </row>
    <row r="64" spans="5:149" x14ac:dyDescent="0.55000000000000004">
      <c r="E64" s="15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X64" s="56"/>
      <c r="DY64" s="54"/>
      <c r="DZ64" s="54"/>
      <c r="EA64" s="54"/>
      <c r="EB64" s="54"/>
      <c r="EC64" s="54"/>
      <c r="ED64" s="54"/>
      <c r="EE64" s="54"/>
      <c r="EF64" s="54"/>
      <c r="EG64" s="54"/>
      <c r="EH64" s="54"/>
      <c r="EI64" s="42"/>
      <c r="EJ64" s="36"/>
      <c r="EK64" s="36"/>
      <c r="EL64" s="36"/>
      <c r="EM64" s="36"/>
      <c r="EN64" s="36"/>
      <c r="EO64" s="36"/>
      <c r="EP64" s="36"/>
      <c r="EQ64" s="36"/>
      <c r="ER64" s="36"/>
      <c r="ES64" s="36"/>
    </row>
    <row r="65" spans="5:149" ht="15.6" x14ac:dyDescent="0.6">
      <c r="E65" s="15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X65" s="56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2"/>
      <c r="EJ65" s="36"/>
      <c r="EK65" s="36"/>
      <c r="EL65" s="36"/>
      <c r="EM65" s="36"/>
      <c r="EN65" s="36"/>
      <c r="EO65" s="36"/>
      <c r="EP65" s="36"/>
      <c r="EQ65" s="36"/>
      <c r="ER65" s="36"/>
      <c r="ES65" s="36"/>
    </row>
    <row r="66" spans="5:149" ht="15.6" x14ac:dyDescent="0.6">
      <c r="E66" s="15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X66" s="48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2"/>
      <c r="EJ66" s="36"/>
      <c r="EK66" s="36"/>
      <c r="EL66" s="36"/>
      <c r="EM66" s="36"/>
      <c r="EN66" s="36"/>
      <c r="EO66" s="36"/>
      <c r="EP66" s="36"/>
      <c r="EQ66" s="36"/>
      <c r="ER66" s="36"/>
      <c r="ES66" s="36"/>
    </row>
    <row r="67" spans="5:149" x14ac:dyDescent="0.55000000000000004">
      <c r="E67" s="15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X67" s="42"/>
      <c r="DY67" s="42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36"/>
      <c r="EK67" s="36"/>
      <c r="EL67" s="36"/>
      <c r="EM67" s="36"/>
      <c r="EN67" s="36"/>
      <c r="EO67" s="36"/>
      <c r="EP67" s="36"/>
      <c r="EQ67" s="36"/>
      <c r="ER67" s="36"/>
      <c r="ES67" s="36"/>
    </row>
    <row r="68" spans="5:149" x14ac:dyDescent="0.55000000000000004">
      <c r="E68" s="15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EJ68" s="36"/>
      <c r="EK68" s="36"/>
      <c r="EL68" s="36"/>
      <c r="EM68" s="36"/>
      <c r="EN68" s="36"/>
      <c r="EO68" s="36"/>
      <c r="EP68" s="36"/>
      <c r="EQ68" s="36"/>
      <c r="ER68" s="36"/>
      <c r="ES68" s="36"/>
    </row>
    <row r="69" spans="5:149" x14ac:dyDescent="0.55000000000000004">
      <c r="E69" s="15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EJ69" s="36"/>
      <c r="EK69" s="36"/>
      <c r="EL69" s="36"/>
      <c r="EM69" s="36"/>
      <c r="EN69" s="36"/>
      <c r="EO69" s="36"/>
      <c r="EP69" s="36"/>
      <c r="EQ69" s="36"/>
      <c r="ER69" s="36"/>
      <c r="ES69" s="36"/>
    </row>
    <row r="70" spans="5:149" x14ac:dyDescent="0.55000000000000004">
      <c r="E70" s="15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EJ70" s="36"/>
      <c r="EK70" s="36"/>
      <c r="EL70" s="36"/>
      <c r="EM70" s="36"/>
      <c r="EN70" s="36"/>
      <c r="EO70" s="36"/>
      <c r="EP70" s="36"/>
      <c r="EQ70" s="36"/>
      <c r="ER70" s="36"/>
      <c r="ES70" s="36"/>
    </row>
    <row r="71" spans="5:149" x14ac:dyDescent="0.55000000000000004">
      <c r="E71" s="15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EJ71" s="36"/>
      <c r="EK71" s="36"/>
      <c r="EL71" s="36"/>
      <c r="EM71" s="36"/>
      <c r="EN71" s="36"/>
      <c r="EO71" s="36"/>
      <c r="EP71" s="36"/>
      <c r="EQ71" s="36"/>
      <c r="ER71" s="36"/>
      <c r="ES71" s="36"/>
    </row>
    <row r="72" spans="5:149" x14ac:dyDescent="0.55000000000000004">
      <c r="E72" s="15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EJ72" s="36"/>
      <c r="EK72" s="36"/>
      <c r="EL72" s="36"/>
      <c r="EM72" s="36"/>
      <c r="EN72" s="36"/>
      <c r="EO72" s="36"/>
      <c r="EP72" s="36"/>
      <c r="EQ72" s="36"/>
      <c r="ER72" s="36"/>
      <c r="ES72" s="36"/>
    </row>
    <row r="73" spans="5:149" s="106" customFormat="1" x14ac:dyDescent="0.55000000000000004">
      <c r="E73" s="105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7"/>
      <c r="AY73" s="107"/>
      <c r="AZ73" s="107"/>
      <c r="BA73" s="107"/>
      <c r="BB73" s="17"/>
      <c r="BC73" s="17"/>
      <c r="BD73" s="17"/>
      <c r="BE73" s="107"/>
      <c r="BF73" s="107"/>
      <c r="BG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  <c r="CF73" s="107"/>
      <c r="CG73" s="107"/>
      <c r="CH73" s="107"/>
      <c r="CI73" s="107"/>
      <c r="CJ73" s="107"/>
      <c r="CK73" s="107"/>
      <c r="CL73" s="107"/>
      <c r="CM73" s="107"/>
      <c r="CN73" s="107"/>
      <c r="CP73" s="17"/>
      <c r="CQ73" s="107"/>
      <c r="CR73" s="107"/>
      <c r="CS73" s="107"/>
      <c r="CT73" s="17"/>
      <c r="CU73" s="17"/>
      <c r="CV73" s="17"/>
      <c r="CW73" s="107"/>
      <c r="CX73" s="107"/>
      <c r="CY73" s="107"/>
      <c r="DA73" s="107"/>
      <c r="DB73" s="107"/>
      <c r="DC73" s="107"/>
      <c r="DD73" s="107"/>
      <c r="DE73" s="107"/>
      <c r="DF73" s="107"/>
      <c r="DG73" s="107"/>
      <c r="DH73" s="107"/>
      <c r="DI73" s="107"/>
      <c r="DJ73" s="107"/>
      <c r="DL73" s="107"/>
      <c r="DM73" s="107"/>
      <c r="DN73" s="107"/>
      <c r="DO73" s="107"/>
      <c r="DP73" s="107"/>
      <c r="DQ73" s="107"/>
      <c r="DR73" s="107"/>
      <c r="DS73" s="107"/>
      <c r="DT73" s="107"/>
      <c r="DU73" s="107"/>
      <c r="EJ73" s="108"/>
      <c r="EK73" s="108"/>
      <c r="EL73" s="108"/>
      <c r="EM73" s="108"/>
      <c r="EN73" s="108"/>
      <c r="EO73" s="108"/>
      <c r="EP73" s="108"/>
      <c r="EQ73" s="108"/>
      <c r="ER73" s="108"/>
      <c r="ES73" s="108"/>
    </row>
    <row r="74" spans="5:149" x14ac:dyDescent="0.55000000000000004">
      <c r="E74" s="15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W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</row>
    <row r="75" spans="5:149" x14ac:dyDescent="0.55000000000000004">
      <c r="E75" s="15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W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</row>
    <row r="76" spans="5:149" x14ac:dyDescent="0.55000000000000004">
      <c r="E76" s="15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W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</row>
    <row r="77" spans="5:149" x14ac:dyDescent="0.55000000000000004">
      <c r="E77" s="15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W77" s="36"/>
      <c r="EI77" s="46"/>
      <c r="EJ77" s="36"/>
      <c r="EK77" s="36"/>
      <c r="EL77" s="36"/>
      <c r="EM77" s="36"/>
      <c r="EN77" s="36"/>
      <c r="EO77" s="36"/>
      <c r="EP77" s="36"/>
      <c r="EQ77" s="36"/>
      <c r="ER77" s="36"/>
      <c r="ES77" s="36"/>
    </row>
    <row r="78" spans="5:149" x14ac:dyDescent="0.55000000000000004">
      <c r="E78" s="15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W78" s="36"/>
      <c r="EI78" s="42"/>
      <c r="EJ78" s="36"/>
      <c r="EK78" s="36"/>
      <c r="EL78" s="36"/>
      <c r="EM78" s="36"/>
      <c r="EN78" s="36"/>
      <c r="EO78" s="36"/>
      <c r="EP78" s="36"/>
      <c r="EQ78" s="36"/>
      <c r="ER78" s="36"/>
      <c r="ES78" s="36"/>
    </row>
    <row r="79" spans="5:149" x14ac:dyDescent="0.55000000000000004">
      <c r="E79" s="15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W79" s="36"/>
      <c r="EI79" s="42"/>
      <c r="EJ79" s="36"/>
      <c r="EK79" s="36"/>
      <c r="EL79" s="36"/>
      <c r="EM79" s="36"/>
      <c r="EN79" s="36"/>
      <c r="EO79" s="36"/>
      <c r="EP79" s="36"/>
      <c r="EQ79" s="36"/>
      <c r="ER79" s="36"/>
      <c r="ES79" s="36"/>
    </row>
    <row r="80" spans="5:149" x14ac:dyDescent="0.55000000000000004">
      <c r="E80" s="15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W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</row>
    <row r="81" spans="5:149" x14ac:dyDescent="0.55000000000000004">
      <c r="E81" s="15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W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</row>
    <row r="82" spans="5:149" x14ac:dyDescent="0.55000000000000004">
      <c r="E82" s="15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W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</row>
    <row r="83" spans="5:149" x14ac:dyDescent="0.55000000000000004">
      <c r="E83" s="15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W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"/>
  <sheetViews>
    <sheetView workbookViewId="0">
      <selection activeCell="D5" sqref="D5"/>
    </sheetView>
  </sheetViews>
  <sheetFormatPr defaultColWidth="10.89453125" defaultRowHeight="14.4" x14ac:dyDescent="0.55000000000000004"/>
  <cols>
    <col min="1" max="1" width="20.47265625" customWidth="1"/>
    <col min="2" max="3" width="20.26171875" customWidth="1"/>
    <col min="4" max="4" width="24.62890625" customWidth="1"/>
  </cols>
  <sheetData>
    <row r="1" spans="1:4" x14ac:dyDescent="0.55000000000000004">
      <c r="B1" t="s">
        <v>1160</v>
      </c>
      <c r="C1" t="s">
        <v>5</v>
      </c>
      <c r="D1" t="s">
        <v>1156</v>
      </c>
    </row>
    <row r="2" spans="1:4" x14ac:dyDescent="0.55000000000000004">
      <c r="A2" t="s">
        <v>1057</v>
      </c>
      <c r="B2">
        <f>444/1.22</f>
        <v>363.93442622950823</v>
      </c>
      <c r="C2" t="s">
        <v>1159</v>
      </c>
      <c r="D2" s="52" t="e">
        <f>(SUM('NPV Parameters'!F16)+'NPV Parameters'!F40*30)/(#REF!*30)*1000</f>
        <v>#REF!</v>
      </c>
    </row>
    <row r="3" spans="1:4" x14ac:dyDescent="0.55000000000000004">
      <c r="B3">
        <f>(8.89/52)*2000/0.907</f>
        <v>376.98244423713004</v>
      </c>
      <c r="C3" t="s">
        <v>1158</v>
      </c>
      <c r="D3" s="52"/>
    </row>
    <row r="4" spans="1:4" x14ac:dyDescent="0.55000000000000004">
      <c r="A4" t="s">
        <v>1157</v>
      </c>
      <c r="B4">
        <f>0.3*2000/0.907</f>
        <v>661.52149944873202</v>
      </c>
      <c r="C4" t="s">
        <v>1158</v>
      </c>
    </row>
    <row r="5" spans="1:4" x14ac:dyDescent="0.55000000000000004">
      <c r="A5" t="s">
        <v>1161</v>
      </c>
      <c r="B5">
        <f>145*30</f>
        <v>4350</v>
      </c>
      <c r="D5">
        <f>6700/2.47</f>
        <v>2712.5506072874491</v>
      </c>
    </row>
    <row r="7" spans="1:4" x14ac:dyDescent="0.55000000000000004">
      <c r="A7" t="s">
        <v>1058</v>
      </c>
      <c r="B7">
        <f>144/0.9</f>
        <v>160</v>
      </c>
      <c r="C7" t="s">
        <v>1059</v>
      </c>
    </row>
    <row r="10" spans="1:4" x14ac:dyDescent="0.55000000000000004">
      <c r="A10" t="s">
        <v>1060</v>
      </c>
      <c r="B10">
        <v>83</v>
      </c>
      <c r="C10" t="s">
        <v>1061</v>
      </c>
    </row>
    <row r="12" spans="1:4" x14ac:dyDescent="0.55000000000000004">
      <c r="A12" t="s">
        <v>1062</v>
      </c>
      <c r="B12">
        <f>60/0.9</f>
        <v>66.666666666666671</v>
      </c>
      <c r="C12" t="s">
        <v>1063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70"/>
  <sheetViews>
    <sheetView workbookViewId="0">
      <selection activeCell="B7" sqref="B7"/>
    </sheetView>
  </sheetViews>
  <sheetFormatPr defaultColWidth="10.89453125" defaultRowHeight="14.4" x14ac:dyDescent="0.55000000000000004"/>
  <cols>
    <col min="1" max="1" width="26.26171875" customWidth="1"/>
    <col min="2" max="2" width="17.26171875" customWidth="1"/>
  </cols>
  <sheetData>
    <row r="1" spans="1:2" x14ac:dyDescent="0.55000000000000004">
      <c r="A1" s="57" t="s">
        <v>57</v>
      </c>
      <c r="B1" s="42"/>
    </row>
    <row r="2" spans="1:2" x14ac:dyDescent="0.55000000000000004">
      <c r="A2" s="42" t="s">
        <v>7</v>
      </c>
      <c r="B2" s="42"/>
    </row>
    <row r="3" spans="1:2" x14ac:dyDescent="0.55000000000000004">
      <c r="A3" s="42" t="s">
        <v>93</v>
      </c>
      <c r="B3" s="42"/>
    </row>
    <row r="4" spans="1:2" x14ac:dyDescent="0.55000000000000004">
      <c r="A4" s="42" t="s">
        <v>13</v>
      </c>
      <c r="B4" s="58"/>
    </row>
    <row r="5" spans="1:2" x14ac:dyDescent="0.55000000000000004">
      <c r="A5" s="42" t="s">
        <v>14</v>
      </c>
      <c r="B5" s="42"/>
    </row>
    <row r="6" spans="1:2" x14ac:dyDescent="0.55000000000000004">
      <c r="A6" s="42" t="s">
        <v>25</v>
      </c>
      <c r="B6" s="42"/>
    </row>
    <row r="7" spans="1:2" x14ac:dyDescent="0.55000000000000004">
      <c r="A7" s="42" t="s">
        <v>24</v>
      </c>
      <c r="B7" s="42"/>
    </row>
    <row r="8" spans="1:2" x14ac:dyDescent="0.55000000000000004">
      <c r="A8" s="42" t="s">
        <v>23</v>
      </c>
      <c r="B8" s="42"/>
    </row>
    <row r="9" spans="1:2" x14ac:dyDescent="0.55000000000000004">
      <c r="A9" s="42" t="s">
        <v>22</v>
      </c>
      <c r="B9" s="42"/>
    </row>
    <row r="10" spans="1:2" x14ac:dyDescent="0.55000000000000004">
      <c r="A10" s="42" t="s">
        <v>21</v>
      </c>
      <c r="B10" s="42"/>
    </row>
    <row r="11" spans="1:2" x14ac:dyDescent="0.55000000000000004">
      <c r="A11" s="42" t="s">
        <v>99</v>
      </c>
      <c r="B11" s="42"/>
    </row>
    <row r="12" spans="1:2" x14ac:dyDescent="0.55000000000000004">
      <c r="A12" s="42" t="s">
        <v>15</v>
      </c>
      <c r="B12" s="42"/>
    </row>
    <row r="13" spans="1:2" x14ac:dyDescent="0.55000000000000004">
      <c r="A13" s="42" t="s">
        <v>16</v>
      </c>
      <c r="B13" s="42"/>
    </row>
    <row r="14" spans="1:2" x14ac:dyDescent="0.55000000000000004">
      <c r="A14" s="42" t="s">
        <v>89</v>
      </c>
      <c r="B14" s="42"/>
    </row>
    <row r="15" spans="1:2" x14ac:dyDescent="0.55000000000000004">
      <c r="A15" s="42" t="s">
        <v>17</v>
      </c>
      <c r="B15" s="58"/>
    </row>
    <row r="16" spans="1:2" x14ac:dyDescent="0.55000000000000004">
      <c r="A16" s="42" t="s">
        <v>27</v>
      </c>
      <c r="B16" s="58"/>
    </row>
    <row r="17" spans="1:2" x14ac:dyDescent="0.55000000000000004">
      <c r="A17" s="42" t="s">
        <v>18</v>
      </c>
      <c r="B17" s="58"/>
    </row>
    <row r="18" spans="1:2" x14ac:dyDescent="0.55000000000000004">
      <c r="A18" s="42" t="s">
        <v>100</v>
      </c>
      <c r="B18" s="58"/>
    </row>
    <row r="19" spans="1:2" x14ac:dyDescent="0.55000000000000004">
      <c r="A19" s="42" t="s">
        <v>97</v>
      </c>
      <c r="B19" s="58"/>
    </row>
    <row r="20" spans="1:2" x14ac:dyDescent="0.55000000000000004">
      <c r="A20" s="42" t="s">
        <v>101</v>
      </c>
      <c r="B20" s="58"/>
    </row>
    <row r="21" spans="1:2" x14ac:dyDescent="0.55000000000000004">
      <c r="A21" s="42" t="s">
        <v>19</v>
      </c>
      <c r="B21" s="55"/>
    </row>
    <row r="22" spans="1:2" x14ac:dyDescent="0.55000000000000004">
      <c r="A22" s="42" t="s">
        <v>20</v>
      </c>
      <c r="B22" s="55"/>
    </row>
    <row r="24" spans="1:2" x14ac:dyDescent="0.55000000000000004">
      <c r="A24" t="s">
        <v>148</v>
      </c>
    </row>
    <row r="25" spans="1:2" x14ac:dyDescent="0.55000000000000004">
      <c r="A25" t="s">
        <v>149</v>
      </c>
      <c r="B25">
        <v>1</v>
      </c>
    </row>
    <row r="26" spans="1:2" x14ac:dyDescent="0.55000000000000004">
      <c r="A26" t="s">
        <v>150</v>
      </c>
      <c r="B26">
        <v>1E-3</v>
      </c>
    </row>
    <row r="27" spans="1:2" x14ac:dyDescent="0.55000000000000004">
      <c r="A27" t="s">
        <v>151</v>
      </c>
      <c r="B27" t="e">
        <f>B25*#REF!*Soy!B26</f>
        <v>#REF!</v>
      </c>
    </row>
    <row r="28" spans="1:2" x14ac:dyDescent="0.55000000000000004">
      <c r="A28" t="s">
        <v>152</v>
      </c>
      <c r="B28" t="e">
        <f>B27*48</f>
        <v>#REF!</v>
      </c>
    </row>
    <row r="30" spans="1:2" x14ac:dyDescent="0.55000000000000004">
      <c r="A30" t="s">
        <v>152</v>
      </c>
      <c r="B30" t="e">
        <f>0.13*#REF!</f>
        <v>#REF!</v>
      </c>
    </row>
    <row r="31" spans="1:2" x14ac:dyDescent="0.55000000000000004">
      <c r="A31" t="s">
        <v>151</v>
      </c>
      <c r="B31" t="e">
        <f>B30/48</f>
        <v>#REF!</v>
      </c>
    </row>
    <row r="50" spans="1:23" ht="18.3" x14ac:dyDescent="0.7">
      <c r="A50" s="59" t="s">
        <v>102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</row>
    <row r="51" spans="1:23" x14ac:dyDescent="0.55000000000000004">
      <c r="A51" s="61" t="s">
        <v>103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</row>
    <row r="52" spans="1:23" x14ac:dyDescent="0.55000000000000004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</row>
    <row r="53" spans="1:23" x14ac:dyDescent="0.55000000000000004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</row>
    <row r="54" spans="1:23" x14ac:dyDescent="0.5500000000000000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</row>
    <row r="55" spans="1:23" x14ac:dyDescent="0.55000000000000004">
      <c r="A55" s="95" t="s">
        <v>104</v>
      </c>
      <c r="B55" s="95"/>
      <c r="C55" s="96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3"/>
    </row>
    <row r="56" spans="1:23" x14ac:dyDescent="0.55000000000000004">
      <c r="A56" s="64"/>
      <c r="B56" s="177" t="s">
        <v>105</v>
      </c>
      <c r="C56" s="178"/>
      <c r="D56" s="178"/>
      <c r="E56" s="178"/>
      <c r="F56" s="178"/>
      <c r="G56" s="178"/>
      <c r="H56" s="178"/>
      <c r="I56" s="177" t="s">
        <v>106</v>
      </c>
      <c r="J56" s="178"/>
      <c r="K56" s="178"/>
      <c r="L56" s="178"/>
      <c r="M56" s="178"/>
      <c r="N56" s="178"/>
      <c r="O56" s="177" t="s">
        <v>107</v>
      </c>
      <c r="P56" s="178"/>
      <c r="Q56" s="178"/>
      <c r="R56" s="178"/>
      <c r="S56" s="177" t="s">
        <v>108</v>
      </c>
      <c r="T56" s="178"/>
      <c r="U56" s="178"/>
      <c r="V56" s="178"/>
      <c r="W56" s="179"/>
    </row>
    <row r="57" spans="1:23" x14ac:dyDescent="0.55000000000000004">
      <c r="A57" s="95"/>
      <c r="B57" s="65">
        <v>2018</v>
      </c>
      <c r="C57" s="66">
        <v>2017</v>
      </c>
      <c r="D57" s="67">
        <v>2016</v>
      </c>
      <c r="E57" s="68">
        <v>2015</v>
      </c>
      <c r="F57" s="68">
        <v>2014</v>
      </c>
      <c r="G57" s="68">
        <v>2013</v>
      </c>
      <c r="H57" s="65">
        <v>2012</v>
      </c>
      <c r="I57" s="68">
        <v>2011</v>
      </c>
      <c r="J57" s="68">
        <v>2010</v>
      </c>
      <c r="K57" s="68">
        <v>2009</v>
      </c>
      <c r="L57" s="68">
        <v>2008</v>
      </c>
      <c r="M57" s="68">
        <v>2007</v>
      </c>
      <c r="N57" s="65">
        <v>2006</v>
      </c>
      <c r="O57" s="68">
        <v>2005</v>
      </c>
      <c r="P57" s="68">
        <v>2004</v>
      </c>
      <c r="Q57" s="68">
        <v>2003</v>
      </c>
      <c r="R57" s="65">
        <v>2002</v>
      </c>
      <c r="S57" s="68">
        <v>2001</v>
      </c>
      <c r="T57" s="68">
        <v>2000</v>
      </c>
      <c r="U57" s="68">
        <v>1999</v>
      </c>
      <c r="V57" s="68">
        <v>1998</v>
      </c>
      <c r="W57" s="68">
        <v>1997</v>
      </c>
    </row>
    <row r="58" spans="1:23" x14ac:dyDescent="0.55000000000000004">
      <c r="A58" s="69">
        <v>1</v>
      </c>
      <c r="B58" s="70"/>
      <c r="C58" s="71"/>
      <c r="D58" s="71"/>
      <c r="E58" s="71"/>
      <c r="F58" s="71"/>
      <c r="G58" s="71"/>
      <c r="H58" s="71"/>
      <c r="I58" s="70"/>
      <c r="J58" s="71"/>
      <c r="K58" s="71"/>
      <c r="L58" s="71"/>
      <c r="M58" s="71"/>
      <c r="N58" s="71"/>
      <c r="O58" s="70"/>
      <c r="P58" s="71"/>
      <c r="Q58" s="71"/>
      <c r="R58" s="71"/>
      <c r="S58" s="70"/>
      <c r="T58" s="71"/>
      <c r="U58" s="71"/>
      <c r="V58" s="71"/>
      <c r="W58" s="72"/>
    </row>
    <row r="59" spans="1:23" x14ac:dyDescent="0.55000000000000004">
      <c r="A59" s="73" t="s">
        <v>109</v>
      </c>
      <c r="B59" s="74"/>
      <c r="C59" s="75"/>
      <c r="D59" s="75"/>
      <c r="E59" s="75"/>
      <c r="F59" s="75"/>
      <c r="G59" s="75"/>
      <c r="H59" s="75"/>
      <c r="I59" s="74"/>
      <c r="J59" s="75"/>
      <c r="K59" s="75"/>
      <c r="L59" s="75"/>
      <c r="M59" s="75"/>
      <c r="N59" s="75"/>
      <c r="O59" s="74"/>
      <c r="P59" s="75"/>
      <c r="Q59" s="75"/>
      <c r="R59" s="75"/>
      <c r="S59" s="74"/>
      <c r="T59" s="75"/>
      <c r="U59" s="75"/>
      <c r="V59" s="75"/>
      <c r="W59" s="76"/>
    </row>
    <row r="60" spans="1:23" x14ac:dyDescent="0.55000000000000004">
      <c r="A60" s="77">
        <v>37</v>
      </c>
      <c r="B60" s="78"/>
      <c r="C60" s="79"/>
      <c r="D60" s="79"/>
      <c r="E60" s="79"/>
      <c r="F60" s="79"/>
      <c r="G60" s="79"/>
      <c r="H60" s="79"/>
      <c r="I60" s="78"/>
      <c r="J60" s="79"/>
      <c r="K60" s="79"/>
      <c r="L60" s="79"/>
      <c r="M60" s="79"/>
      <c r="N60" s="79"/>
      <c r="O60" s="78"/>
      <c r="P60" s="79"/>
      <c r="Q60" s="79"/>
      <c r="R60" s="79"/>
      <c r="S60" s="78"/>
      <c r="T60" s="79"/>
      <c r="U60" s="79"/>
      <c r="V60" s="79"/>
      <c r="W60" s="80"/>
    </row>
    <row r="61" spans="1:23" x14ac:dyDescent="0.55000000000000004">
      <c r="A61" s="81" t="s">
        <v>110</v>
      </c>
      <c r="B61" s="82">
        <v>444.21</v>
      </c>
      <c r="C61" s="82">
        <v>454.72</v>
      </c>
      <c r="D61" s="82">
        <v>491.92</v>
      </c>
      <c r="E61" s="82">
        <v>430.56</v>
      </c>
      <c r="F61" s="82">
        <v>522.24</v>
      </c>
      <c r="G61" s="82">
        <v>571.04</v>
      </c>
      <c r="H61" s="82">
        <v>596.82000000000005</v>
      </c>
      <c r="I61" s="82">
        <v>525.36</v>
      </c>
      <c r="J61" s="82">
        <v>449.32</v>
      </c>
      <c r="K61" s="82">
        <v>437.1</v>
      </c>
      <c r="L61" s="82">
        <v>450.64</v>
      </c>
      <c r="M61" s="82">
        <v>357.75</v>
      </c>
      <c r="N61" s="82">
        <v>254.84</v>
      </c>
      <c r="O61" s="82">
        <v>264.57</v>
      </c>
      <c r="P61" s="82">
        <v>253.46</v>
      </c>
      <c r="Q61" s="82">
        <v>233.47</v>
      </c>
      <c r="R61" s="82">
        <v>208</v>
      </c>
      <c r="S61" s="82">
        <v>178.62</v>
      </c>
      <c r="T61" s="82">
        <v>182.45</v>
      </c>
      <c r="U61" s="82">
        <v>178</v>
      </c>
      <c r="V61" s="82">
        <v>223.17</v>
      </c>
      <c r="W61" s="82">
        <v>281.22000000000003</v>
      </c>
    </row>
    <row r="62" spans="1:23" x14ac:dyDescent="0.55000000000000004">
      <c r="A62" s="77">
        <v>380</v>
      </c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</row>
    <row r="63" spans="1:23" x14ac:dyDescent="0.55000000000000004">
      <c r="A63" s="81" t="s">
        <v>111</v>
      </c>
      <c r="B63" s="82">
        <v>444.21</v>
      </c>
      <c r="C63" s="82">
        <v>454.72</v>
      </c>
      <c r="D63" s="82">
        <v>491.92</v>
      </c>
      <c r="E63" s="82">
        <v>430.56</v>
      </c>
      <c r="F63" s="82">
        <v>522.24</v>
      </c>
      <c r="G63" s="82">
        <v>571.04</v>
      </c>
      <c r="H63" s="82">
        <v>596.82000000000005</v>
      </c>
      <c r="I63" s="82">
        <v>525.36</v>
      </c>
      <c r="J63" s="82">
        <v>449.32</v>
      </c>
      <c r="K63" s="82">
        <v>437.1</v>
      </c>
      <c r="L63" s="82">
        <v>450.64</v>
      </c>
      <c r="M63" s="82">
        <v>357.75</v>
      </c>
      <c r="N63" s="82">
        <v>254.84</v>
      </c>
      <c r="O63" s="82">
        <v>264.57</v>
      </c>
      <c r="P63" s="82">
        <v>253.46</v>
      </c>
      <c r="Q63" s="82">
        <v>233.47</v>
      </c>
      <c r="R63" s="82">
        <v>208</v>
      </c>
      <c r="S63" s="82">
        <v>178.62</v>
      </c>
      <c r="T63" s="82">
        <v>182.45</v>
      </c>
      <c r="U63" s="82">
        <v>178</v>
      </c>
      <c r="V63" s="82">
        <v>223.17</v>
      </c>
      <c r="W63" s="82">
        <v>281.22000000000003</v>
      </c>
    </row>
    <row r="64" spans="1:23" x14ac:dyDescent="0.55000000000000004">
      <c r="A64" s="83">
        <v>2</v>
      </c>
      <c r="B64" s="78"/>
      <c r="C64" s="79"/>
      <c r="D64" s="79"/>
      <c r="E64" s="79"/>
      <c r="F64" s="79"/>
      <c r="G64" s="79"/>
      <c r="H64" s="79"/>
      <c r="I64" s="78"/>
      <c r="J64" s="79"/>
      <c r="K64" s="79"/>
      <c r="L64" s="79"/>
      <c r="M64" s="79"/>
      <c r="N64" s="79"/>
      <c r="O64" s="78"/>
      <c r="P64" s="79"/>
      <c r="Q64" s="79"/>
      <c r="R64" s="79"/>
      <c r="S64" s="78"/>
      <c r="T64" s="79"/>
      <c r="U64" s="79"/>
      <c r="V64" s="79"/>
      <c r="W64" s="80"/>
    </row>
    <row r="65" spans="1:23" x14ac:dyDescent="0.55000000000000004">
      <c r="A65" s="73" t="s">
        <v>112</v>
      </c>
      <c r="B65" s="74"/>
      <c r="C65" s="75"/>
      <c r="D65" s="75"/>
      <c r="E65" s="75"/>
      <c r="F65" s="75"/>
      <c r="G65" s="75"/>
      <c r="H65" s="75"/>
      <c r="I65" s="74"/>
      <c r="J65" s="75"/>
      <c r="K65" s="75"/>
      <c r="L65" s="75"/>
      <c r="M65" s="75"/>
      <c r="N65" s="75"/>
      <c r="O65" s="74"/>
      <c r="P65" s="75"/>
      <c r="Q65" s="75"/>
      <c r="R65" s="75"/>
      <c r="S65" s="74"/>
      <c r="T65" s="75"/>
      <c r="U65" s="75"/>
      <c r="V65" s="75"/>
      <c r="W65" s="76"/>
    </row>
    <row r="66" spans="1:23" x14ac:dyDescent="0.55000000000000004">
      <c r="A66" s="77">
        <v>580</v>
      </c>
      <c r="B66" s="78"/>
      <c r="C66" s="79"/>
      <c r="D66" s="79"/>
      <c r="E66" s="79"/>
      <c r="F66" s="79"/>
      <c r="G66" s="79"/>
      <c r="H66" s="79"/>
      <c r="I66" s="78"/>
      <c r="J66" s="79"/>
      <c r="K66" s="79"/>
      <c r="L66" s="79"/>
      <c r="M66" s="79"/>
      <c r="N66" s="79"/>
      <c r="O66" s="78"/>
      <c r="P66" s="79"/>
      <c r="Q66" s="79"/>
      <c r="R66" s="79"/>
      <c r="S66" s="78"/>
      <c r="T66" s="79"/>
      <c r="U66" s="79"/>
      <c r="V66" s="79"/>
      <c r="W66" s="80"/>
    </row>
    <row r="67" spans="1:23" x14ac:dyDescent="0.55000000000000004">
      <c r="A67" s="81" t="s">
        <v>113</v>
      </c>
      <c r="B67" s="82">
        <v>57.4</v>
      </c>
      <c r="C67" s="82">
        <v>58.07</v>
      </c>
      <c r="D67" s="82">
        <v>58.79</v>
      </c>
      <c r="E67" s="82">
        <v>59.21</v>
      </c>
      <c r="F67" s="82">
        <v>58.78</v>
      </c>
      <c r="G67" s="82">
        <v>58.18</v>
      </c>
      <c r="H67" s="82">
        <v>55.32</v>
      </c>
      <c r="I67" s="82">
        <v>55.55</v>
      </c>
      <c r="J67" s="82">
        <v>59.2</v>
      </c>
      <c r="K67" s="82">
        <v>55.26</v>
      </c>
      <c r="L67" s="82">
        <v>44.35</v>
      </c>
      <c r="M67" s="82">
        <v>39.770000000000003</v>
      </c>
      <c r="N67" s="82">
        <v>32.299999999999997</v>
      </c>
      <c r="O67" s="82">
        <v>32.619999999999997</v>
      </c>
      <c r="P67" s="82">
        <v>29.71</v>
      </c>
      <c r="Q67" s="82">
        <v>27.42</v>
      </c>
      <c r="R67" s="82">
        <v>25.45</v>
      </c>
      <c r="S67" s="82">
        <v>22.59</v>
      </c>
      <c r="T67" s="82">
        <v>19.18</v>
      </c>
      <c r="U67" s="82">
        <v>19.25</v>
      </c>
      <c r="V67" s="82">
        <v>20.46</v>
      </c>
      <c r="W67" s="82">
        <v>19.72</v>
      </c>
    </row>
    <row r="68" spans="1:23" x14ac:dyDescent="0.55000000000000004">
      <c r="A68" s="77">
        <v>590</v>
      </c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</row>
    <row r="69" spans="1:23" x14ac:dyDescent="0.55000000000000004">
      <c r="A69" s="81" t="s">
        <v>114</v>
      </c>
      <c r="B69" s="82">
        <v>24.07</v>
      </c>
      <c r="C69" s="82">
        <v>25.06</v>
      </c>
      <c r="D69" s="82">
        <v>28.14</v>
      </c>
      <c r="E69" s="82">
        <v>33.450000000000003</v>
      </c>
      <c r="F69" s="82">
        <v>35.92</v>
      </c>
      <c r="G69" s="82">
        <v>37.450000000000003</v>
      </c>
      <c r="H69" s="82">
        <v>37.54</v>
      </c>
      <c r="I69" s="82">
        <v>22.84</v>
      </c>
      <c r="J69" s="82">
        <v>17.87</v>
      </c>
      <c r="K69" s="82">
        <v>23.65</v>
      </c>
      <c r="L69" s="82">
        <v>25.12</v>
      </c>
      <c r="M69" s="82">
        <v>15.31</v>
      </c>
      <c r="N69" s="82">
        <v>13.05</v>
      </c>
      <c r="O69" s="82">
        <v>10.79</v>
      </c>
      <c r="P69" s="82">
        <v>8.6999999999999993</v>
      </c>
      <c r="Q69" s="82">
        <v>7.97</v>
      </c>
      <c r="R69" s="82">
        <v>7.3</v>
      </c>
      <c r="S69" s="82">
        <v>9.52</v>
      </c>
      <c r="T69" s="82">
        <v>8.85</v>
      </c>
      <c r="U69" s="82">
        <v>8.85</v>
      </c>
      <c r="V69" s="82">
        <v>8.9</v>
      </c>
      <c r="W69" s="82">
        <v>8.9600000000000009</v>
      </c>
    </row>
    <row r="70" spans="1:23" x14ac:dyDescent="0.55000000000000004">
      <c r="A70" s="77">
        <v>620</v>
      </c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</row>
    <row r="71" spans="1:23" x14ac:dyDescent="0.55000000000000004">
      <c r="A71" s="81" t="s">
        <v>115</v>
      </c>
      <c r="B71" s="82">
        <v>26.59</v>
      </c>
      <c r="C71" s="82">
        <v>26.83</v>
      </c>
      <c r="D71" s="82">
        <v>27.64</v>
      </c>
      <c r="E71" s="82">
        <v>26.96</v>
      </c>
      <c r="F71" s="82">
        <v>28</v>
      </c>
      <c r="G71" s="82">
        <v>27.63</v>
      </c>
      <c r="H71" s="82">
        <v>26.38</v>
      </c>
      <c r="I71" s="82">
        <v>16.420000000000002</v>
      </c>
      <c r="J71" s="82">
        <v>17.04</v>
      </c>
      <c r="K71" s="82">
        <v>17.38</v>
      </c>
      <c r="L71" s="82">
        <v>15.73</v>
      </c>
      <c r="M71" s="82">
        <v>15</v>
      </c>
      <c r="N71" s="82">
        <v>14.46</v>
      </c>
      <c r="O71" s="82">
        <v>13.59</v>
      </c>
      <c r="P71" s="82">
        <v>16.07</v>
      </c>
      <c r="Q71" s="82">
        <v>16.920000000000002</v>
      </c>
      <c r="R71" s="82">
        <v>17.12</v>
      </c>
      <c r="S71" s="82">
        <v>22.89</v>
      </c>
      <c r="T71" s="82">
        <v>22.32</v>
      </c>
      <c r="U71" s="82">
        <v>24.88</v>
      </c>
      <c r="V71" s="82">
        <v>26.65</v>
      </c>
      <c r="W71" s="82">
        <v>26.37</v>
      </c>
    </row>
    <row r="72" spans="1:23" x14ac:dyDescent="0.55000000000000004">
      <c r="A72" s="77">
        <v>700</v>
      </c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</row>
    <row r="73" spans="1:23" x14ac:dyDescent="0.55000000000000004">
      <c r="A73" s="81" t="s">
        <v>116</v>
      </c>
      <c r="B73" s="82">
        <v>10.51</v>
      </c>
      <c r="C73" s="82">
        <v>10.32</v>
      </c>
      <c r="D73" s="82">
        <v>10.6</v>
      </c>
      <c r="E73" s="82">
        <v>10.47</v>
      </c>
      <c r="F73" s="82">
        <v>10.029999999999999</v>
      </c>
      <c r="G73" s="82">
        <v>9.76</v>
      </c>
      <c r="H73" s="82">
        <v>9.41</v>
      </c>
      <c r="I73" s="82">
        <v>7.18</v>
      </c>
      <c r="J73" s="82">
        <v>7.23</v>
      </c>
      <c r="K73" s="82">
        <v>7.17</v>
      </c>
      <c r="L73" s="82">
        <v>6.56</v>
      </c>
      <c r="M73" s="82">
        <v>6.51</v>
      </c>
      <c r="N73" s="82">
        <v>6.01</v>
      </c>
      <c r="O73" s="82">
        <v>6.67</v>
      </c>
      <c r="P73" s="82">
        <v>6.38</v>
      </c>
      <c r="Q73" s="82">
        <v>6.32</v>
      </c>
      <c r="R73" s="82">
        <v>6.16</v>
      </c>
      <c r="S73" s="82">
        <v>6.13</v>
      </c>
      <c r="T73" s="82">
        <v>5.94</v>
      </c>
      <c r="U73" s="82">
        <v>5.86</v>
      </c>
      <c r="V73" s="82">
        <v>5.84</v>
      </c>
      <c r="W73" s="82">
        <v>5.85</v>
      </c>
    </row>
    <row r="74" spans="1:23" x14ac:dyDescent="0.55000000000000004">
      <c r="A74" s="77">
        <v>710</v>
      </c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</row>
    <row r="75" spans="1:23" x14ac:dyDescent="0.55000000000000004">
      <c r="A75" s="81" t="s">
        <v>117</v>
      </c>
      <c r="B75" s="82">
        <v>14.54</v>
      </c>
      <c r="C75" s="82">
        <v>13.57</v>
      </c>
      <c r="D75" s="82">
        <v>11.89</v>
      </c>
      <c r="E75" s="82">
        <v>13.77</v>
      </c>
      <c r="F75" s="82">
        <v>21.12</v>
      </c>
      <c r="G75" s="82">
        <v>21.15</v>
      </c>
      <c r="H75" s="82">
        <v>21.24</v>
      </c>
      <c r="I75" s="82">
        <v>20.98</v>
      </c>
      <c r="J75" s="82">
        <v>16.809999999999999</v>
      </c>
      <c r="K75" s="82">
        <v>13.48</v>
      </c>
      <c r="L75" s="82">
        <v>20.2</v>
      </c>
      <c r="M75" s="82">
        <v>15.23</v>
      </c>
      <c r="N75" s="82">
        <v>13.51</v>
      </c>
      <c r="O75" s="82">
        <v>13.62</v>
      </c>
      <c r="P75" s="82">
        <v>9.44</v>
      </c>
      <c r="Q75" s="82">
        <v>8.73</v>
      </c>
      <c r="R75" s="82">
        <v>6.98</v>
      </c>
      <c r="S75" s="82">
        <v>8.69</v>
      </c>
      <c r="T75" s="82">
        <v>8.6</v>
      </c>
      <c r="U75" s="82">
        <v>5.9</v>
      </c>
      <c r="V75" s="82">
        <v>5.97</v>
      </c>
      <c r="W75" s="82">
        <v>7.14</v>
      </c>
    </row>
    <row r="76" spans="1:23" x14ac:dyDescent="0.55000000000000004">
      <c r="A76" s="77">
        <v>720</v>
      </c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</row>
    <row r="77" spans="1:23" x14ac:dyDescent="0.55000000000000004">
      <c r="A77" s="81" t="s">
        <v>118</v>
      </c>
      <c r="B77" s="82">
        <v>24.09</v>
      </c>
      <c r="C77" s="82">
        <v>23.34</v>
      </c>
      <c r="D77" s="82">
        <v>22.82</v>
      </c>
      <c r="E77" s="82">
        <v>22.91</v>
      </c>
      <c r="F77" s="82">
        <v>22.83</v>
      </c>
      <c r="G77" s="82">
        <v>22.33</v>
      </c>
      <c r="H77" s="82">
        <v>22.23</v>
      </c>
      <c r="I77" s="82">
        <v>13.68</v>
      </c>
      <c r="J77" s="82">
        <v>13.46</v>
      </c>
      <c r="K77" s="82">
        <v>13.22</v>
      </c>
      <c r="L77" s="82">
        <v>12.91</v>
      </c>
      <c r="M77" s="82">
        <v>12.36</v>
      </c>
      <c r="N77" s="82">
        <v>11.8</v>
      </c>
      <c r="O77" s="82">
        <v>11.29</v>
      </c>
      <c r="P77" s="82">
        <v>10.7</v>
      </c>
      <c r="Q77" s="82">
        <v>9.77</v>
      </c>
      <c r="R77" s="82">
        <v>9.76</v>
      </c>
      <c r="S77" s="82">
        <v>10.59</v>
      </c>
      <c r="T77" s="82">
        <v>10.17</v>
      </c>
      <c r="U77" s="82">
        <v>9.7899999999999991</v>
      </c>
      <c r="V77" s="82">
        <v>9.59</v>
      </c>
      <c r="W77" s="82">
        <v>9.4</v>
      </c>
    </row>
    <row r="78" spans="1:23" x14ac:dyDescent="0.55000000000000004">
      <c r="A78" s="77">
        <v>780</v>
      </c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</row>
    <row r="79" spans="1:23" x14ac:dyDescent="0.55000000000000004">
      <c r="A79" s="81" t="s">
        <v>119</v>
      </c>
      <c r="B79" s="82">
        <v>0.06</v>
      </c>
      <c r="C79" s="82">
        <v>0.06</v>
      </c>
      <c r="D79" s="82">
        <v>0.06</v>
      </c>
      <c r="E79" s="82">
        <v>0.06</v>
      </c>
      <c r="F79" s="82">
        <v>0.06</v>
      </c>
      <c r="G79" s="82">
        <v>0.05</v>
      </c>
      <c r="H79" s="82">
        <v>0.06</v>
      </c>
      <c r="I79" s="82">
        <v>0.15</v>
      </c>
      <c r="J79" s="82">
        <v>0.16</v>
      </c>
      <c r="K79" s="82">
        <v>0.14000000000000001</v>
      </c>
      <c r="L79" s="82">
        <v>0.12</v>
      </c>
      <c r="M79" s="82">
        <v>0.11</v>
      </c>
      <c r="N79" s="82">
        <v>0.11</v>
      </c>
      <c r="O79" s="82">
        <v>0.13</v>
      </c>
      <c r="P79" s="82">
        <v>0.13</v>
      </c>
      <c r="Q79" s="82">
        <v>0.12</v>
      </c>
      <c r="R79" s="82">
        <v>0.12</v>
      </c>
      <c r="S79" s="82">
        <v>0.06</v>
      </c>
      <c r="T79" s="82">
        <v>0.06</v>
      </c>
      <c r="U79" s="82">
        <v>0.05</v>
      </c>
      <c r="V79" s="82">
        <v>0.05</v>
      </c>
      <c r="W79" s="82">
        <v>0.05</v>
      </c>
    </row>
    <row r="80" spans="1:23" x14ac:dyDescent="0.55000000000000004">
      <c r="A80" s="77">
        <v>830</v>
      </c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</row>
    <row r="81" spans="1:23" x14ac:dyDescent="0.55000000000000004">
      <c r="A81" s="81" t="s">
        <v>120</v>
      </c>
      <c r="B81" s="82">
        <v>1.64</v>
      </c>
      <c r="C81" s="82">
        <v>0.83</v>
      </c>
      <c r="D81" s="82">
        <v>0.37</v>
      </c>
      <c r="E81" s="82">
        <v>0.14000000000000001</v>
      </c>
      <c r="F81" s="82">
        <v>0.05</v>
      </c>
      <c r="G81" s="82">
        <v>0.08</v>
      </c>
      <c r="H81" s="82">
        <v>0.11</v>
      </c>
      <c r="I81" s="82">
        <v>7.0000000000000007E-2</v>
      </c>
      <c r="J81" s="82">
        <v>0.13</v>
      </c>
      <c r="K81" s="82">
        <v>0.19</v>
      </c>
      <c r="L81" s="82">
        <v>2.8</v>
      </c>
      <c r="M81" s="82">
        <v>2.34</v>
      </c>
      <c r="N81" s="82">
        <v>2.17</v>
      </c>
      <c r="O81" s="82">
        <v>1.5</v>
      </c>
      <c r="P81" s="82">
        <v>0.64</v>
      </c>
      <c r="Q81" s="82">
        <v>0.41</v>
      </c>
      <c r="R81" s="82">
        <v>0.61</v>
      </c>
      <c r="S81" s="82">
        <v>1.36</v>
      </c>
      <c r="T81" s="82">
        <v>2.16</v>
      </c>
      <c r="U81" s="82">
        <v>1.75</v>
      </c>
      <c r="V81" s="82">
        <v>1.86</v>
      </c>
      <c r="W81" s="82">
        <v>1.98</v>
      </c>
    </row>
    <row r="82" spans="1:23" x14ac:dyDescent="0.55000000000000004">
      <c r="A82" s="77">
        <v>840</v>
      </c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</row>
    <row r="83" spans="1:23" x14ac:dyDescent="0.55000000000000004">
      <c r="A83" s="81" t="s">
        <v>121</v>
      </c>
      <c r="B83" s="82">
        <v>158.9</v>
      </c>
      <c r="C83" s="82">
        <v>158.08000000000001</v>
      </c>
      <c r="D83" s="82">
        <v>160.31</v>
      </c>
      <c r="E83" s="82">
        <v>166.97</v>
      </c>
      <c r="F83" s="82">
        <v>176.79</v>
      </c>
      <c r="G83" s="82">
        <v>176.63</v>
      </c>
      <c r="H83" s="82">
        <v>172.29</v>
      </c>
      <c r="I83" s="82">
        <v>136.87</v>
      </c>
      <c r="J83" s="82">
        <v>131.88999999999999</v>
      </c>
      <c r="K83" s="82">
        <v>130.49</v>
      </c>
      <c r="L83" s="82">
        <v>127.79</v>
      </c>
      <c r="M83" s="82">
        <v>106.63</v>
      </c>
      <c r="N83" s="82">
        <v>93.41</v>
      </c>
      <c r="O83" s="82">
        <v>90.21</v>
      </c>
      <c r="P83" s="82">
        <v>81.77</v>
      </c>
      <c r="Q83" s="82">
        <v>77.66</v>
      </c>
      <c r="R83" s="82">
        <v>73.5</v>
      </c>
      <c r="S83" s="82">
        <v>81.83</v>
      </c>
      <c r="T83" s="82">
        <v>77.28</v>
      </c>
      <c r="U83" s="82">
        <v>76.33</v>
      </c>
      <c r="V83" s="82">
        <v>79.319999999999993</v>
      </c>
      <c r="W83" s="82">
        <v>79.47</v>
      </c>
    </row>
    <row r="84" spans="1:23" x14ac:dyDescent="0.55000000000000004">
      <c r="A84" s="83">
        <v>3</v>
      </c>
      <c r="B84" s="78"/>
      <c r="C84" s="79"/>
      <c r="D84" s="79"/>
      <c r="E84" s="79"/>
      <c r="F84" s="79"/>
      <c r="G84" s="79"/>
      <c r="H84" s="79"/>
      <c r="I84" s="78"/>
      <c r="J84" s="79"/>
      <c r="K84" s="79"/>
      <c r="L84" s="79"/>
      <c r="M84" s="79"/>
      <c r="N84" s="79"/>
      <c r="O84" s="78"/>
      <c r="P84" s="79"/>
      <c r="Q84" s="79"/>
      <c r="R84" s="79"/>
      <c r="S84" s="78"/>
      <c r="T84" s="79"/>
      <c r="U84" s="79"/>
      <c r="V84" s="79"/>
      <c r="W84" s="80"/>
    </row>
    <row r="85" spans="1:23" x14ac:dyDescent="0.55000000000000004">
      <c r="A85" s="73" t="s">
        <v>122</v>
      </c>
      <c r="B85" s="74"/>
      <c r="C85" s="75"/>
      <c r="D85" s="75"/>
      <c r="E85" s="75"/>
      <c r="F85" s="75"/>
      <c r="G85" s="75"/>
      <c r="H85" s="75"/>
      <c r="I85" s="74"/>
      <c r="J85" s="75"/>
      <c r="K85" s="75"/>
      <c r="L85" s="75"/>
      <c r="M85" s="75"/>
      <c r="N85" s="75"/>
      <c r="O85" s="74"/>
      <c r="P85" s="75"/>
      <c r="Q85" s="75"/>
      <c r="R85" s="75"/>
      <c r="S85" s="74"/>
      <c r="T85" s="75"/>
      <c r="U85" s="75"/>
      <c r="V85" s="75"/>
      <c r="W85" s="76"/>
    </row>
    <row r="86" spans="1:23" x14ac:dyDescent="0.55000000000000004">
      <c r="A86" s="77">
        <v>850</v>
      </c>
      <c r="B86" s="78"/>
      <c r="C86" s="79"/>
      <c r="D86" s="79"/>
      <c r="E86" s="79"/>
      <c r="F86" s="79"/>
      <c r="G86" s="79"/>
      <c r="H86" s="79"/>
      <c r="I86" s="78"/>
      <c r="J86" s="79"/>
      <c r="K86" s="79"/>
      <c r="L86" s="79"/>
      <c r="M86" s="79"/>
      <c r="N86" s="79"/>
      <c r="O86" s="78"/>
      <c r="P86" s="79"/>
      <c r="Q86" s="79"/>
      <c r="R86" s="79"/>
      <c r="S86" s="78"/>
      <c r="T86" s="79"/>
      <c r="U86" s="79"/>
      <c r="V86" s="79"/>
      <c r="W86" s="80"/>
    </row>
    <row r="87" spans="1:23" x14ac:dyDescent="0.55000000000000004">
      <c r="A87" s="81" t="s">
        <v>123</v>
      </c>
      <c r="B87" s="82">
        <v>3.46</v>
      </c>
      <c r="C87" s="82">
        <v>3.26</v>
      </c>
      <c r="D87" s="82">
        <v>3.19</v>
      </c>
      <c r="E87" s="82">
        <v>3.18</v>
      </c>
      <c r="F87" s="82">
        <v>3.03</v>
      </c>
      <c r="G87" s="82">
        <v>2.99</v>
      </c>
      <c r="H87" s="82">
        <v>2.81</v>
      </c>
      <c r="I87" s="82">
        <v>2.0699999999999998</v>
      </c>
      <c r="J87" s="82">
        <v>2.11</v>
      </c>
      <c r="K87" s="82">
        <v>2.14</v>
      </c>
      <c r="L87" s="82">
        <v>2.0699999999999998</v>
      </c>
      <c r="M87" s="82">
        <v>1.93</v>
      </c>
      <c r="N87" s="82">
        <v>1.78</v>
      </c>
      <c r="O87" s="82">
        <v>2.0299999999999998</v>
      </c>
      <c r="P87" s="82">
        <v>2.04</v>
      </c>
      <c r="Q87" s="82">
        <v>1.9</v>
      </c>
      <c r="R87" s="82">
        <v>1.84</v>
      </c>
      <c r="S87" s="82">
        <v>2.04</v>
      </c>
      <c r="T87" s="82">
        <v>2.0299999999999998</v>
      </c>
      <c r="U87" s="82">
        <v>2.0099999999999998</v>
      </c>
      <c r="V87" s="82">
        <v>1.98</v>
      </c>
      <c r="W87" s="82">
        <v>1.94</v>
      </c>
    </row>
    <row r="88" spans="1:23" x14ac:dyDescent="0.55000000000000004">
      <c r="A88" s="77">
        <v>860</v>
      </c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</row>
    <row r="89" spans="1:23" x14ac:dyDescent="0.55000000000000004">
      <c r="A89" s="81" t="s">
        <v>124</v>
      </c>
      <c r="B89" s="82">
        <v>20.57</v>
      </c>
      <c r="C89" s="82">
        <v>19.399999999999999</v>
      </c>
      <c r="D89" s="82">
        <v>18.899999999999999</v>
      </c>
      <c r="E89" s="82">
        <v>18.37</v>
      </c>
      <c r="F89" s="82">
        <v>17.68</v>
      </c>
      <c r="G89" s="82">
        <v>17.350000000000001</v>
      </c>
      <c r="H89" s="82">
        <v>16.760000000000002</v>
      </c>
      <c r="I89" s="82">
        <v>17.09</v>
      </c>
      <c r="J89" s="82">
        <v>17.329999999999998</v>
      </c>
      <c r="K89" s="82">
        <v>17.190000000000001</v>
      </c>
      <c r="L89" s="82">
        <v>16.77</v>
      </c>
      <c r="M89" s="82">
        <v>16.16</v>
      </c>
      <c r="N89" s="82">
        <v>15.2</v>
      </c>
      <c r="O89" s="82">
        <v>16.77</v>
      </c>
      <c r="P89" s="82">
        <v>16.12</v>
      </c>
      <c r="Q89" s="82">
        <v>16.11</v>
      </c>
      <c r="R89" s="82">
        <v>15.59</v>
      </c>
      <c r="S89" s="82">
        <v>20.170000000000002</v>
      </c>
      <c r="T89" s="82">
        <v>19.489999999999998</v>
      </c>
      <c r="U89" s="82">
        <v>18.46</v>
      </c>
      <c r="V89" s="82">
        <v>18.11</v>
      </c>
      <c r="W89" s="82">
        <v>17.63</v>
      </c>
    </row>
    <row r="90" spans="1:23" x14ac:dyDescent="0.55000000000000004">
      <c r="A90" s="77">
        <v>870</v>
      </c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</row>
    <row r="91" spans="1:23" x14ac:dyDescent="0.55000000000000004">
      <c r="A91" s="81" t="s">
        <v>125</v>
      </c>
      <c r="B91" s="82">
        <v>91.88</v>
      </c>
      <c r="C91" s="82">
        <v>90.99</v>
      </c>
      <c r="D91" s="82">
        <v>88.84</v>
      </c>
      <c r="E91" s="82">
        <v>88.35</v>
      </c>
      <c r="F91" s="82">
        <v>86.3</v>
      </c>
      <c r="G91" s="82">
        <v>82.98</v>
      </c>
      <c r="H91" s="82">
        <v>81.16</v>
      </c>
      <c r="I91" s="82">
        <v>81.34</v>
      </c>
      <c r="J91" s="82">
        <v>78.180000000000007</v>
      </c>
      <c r="K91" s="82">
        <v>75.540000000000006</v>
      </c>
      <c r="L91" s="82">
        <v>70.98</v>
      </c>
      <c r="M91" s="82">
        <v>64.59</v>
      </c>
      <c r="N91" s="82">
        <v>60.38</v>
      </c>
      <c r="O91" s="82">
        <v>50.17</v>
      </c>
      <c r="P91" s="82">
        <v>47.49</v>
      </c>
      <c r="Q91" s="82">
        <v>43.43</v>
      </c>
      <c r="R91" s="82">
        <v>43.3</v>
      </c>
      <c r="S91" s="82">
        <v>55.75</v>
      </c>
      <c r="T91" s="82">
        <v>53.61</v>
      </c>
      <c r="U91" s="82">
        <v>51.58</v>
      </c>
      <c r="V91" s="82">
        <v>50.66</v>
      </c>
      <c r="W91" s="82">
        <v>49.61</v>
      </c>
    </row>
    <row r="92" spans="1:23" x14ac:dyDescent="0.55000000000000004">
      <c r="A92" s="77">
        <v>880</v>
      </c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</row>
    <row r="93" spans="1:23" x14ac:dyDescent="0.55000000000000004">
      <c r="A93" s="81" t="s">
        <v>126</v>
      </c>
      <c r="B93" s="82">
        <v>145.38999999999999</v>
      </c>
      <c r="C93" s="82">
        <v>142.86000000000001</v>
      </c>
      <c r="D93" s="82">
        <v>143.72</v>
      </c>
      <c r="E93" s="82">
        <v>157.91</v>
      </c>
      <c r="F93" s="82">
        <v>155.04</v>
      </c>
      <c r="G93" s="82">
        <v>150.97</v>
      </c>
      <c r="H93" s="82">
        <v>137.55000000000001</v>
      </c>
      <c r="I93" s="82">
        <v>120.64</v>
      </c>
      <c r="J93" s="82">
        <v>110.3</v>
      </c>
      <c r="K93" s="82">
        <v>107.5</v>
      </c>
      <c r="L93" s="82">
        <v>93.14</v>
      </c>
      <c r="M93" s="82">
        <v>85.14</v>
      </c>
      <c r="N93" s="82">
        <v>86.17</v>
      </c>
      <c r="O93" s="82">
        <v>86.68</v>
      </c>
      <c r="P93" s="82">
        <v>83.88</v>
      </c>
      <c r="Q93" s="82">
        <v>81.93</v>
      </c>
      <c r="R93" s="82">
        <v>80.739999999999995</v>
      </c>
      <c r="S93" s="82">
        <v>81.98</v>
      </c>
      <c r="T93" s="82">
        <v>80.12</v>
      </c>
      <c r="U93" s="82">
        <v>79.739999999999995</v>
      </c>
      <c r="V93" s="82">
        <v>77.66</v>
      </c>
      <c r="W93" s="82">
        <v>76.739999999999995</v>
      </c>
    </row>
    <row r="94" spans="1:23" x14ac:dyDescent="0.55000000000000004">
      <c r="A94" s="77">
        <v>900</v>
      </c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</row>
    <row r="95" spans="1:23" x14ac:dyDescent="0.55000000000000004">
      <c r="A95" s="81" t="s">
        <v>127</v>
      </c>
      <c r="B95" s="82">
        <v>10.74</v>
      </c>
      <c r="C95" s="82">
        <v>10.66</v>
      </c>
      <c r="D95" s="82">
        <v>10.52</v>
      </c>
      <c r="E95" s="82">
        <v>10.57</v>
      </c>
      <c r="F95" s="82">
        <v>9.9499999999999993</v>
      </c>
      <c r="G95" s="82">
        <v>9.7799999999999994</v>
      </c>
      <c r="H95" s="82">
        <v>9.58</v>
      </c>
      <c r="I95" s="82">
        <v>9.93</v>
      </c>
      <c r="J95" s="82">
        <v>9.41</v>
      </c>
      <c r="K95" s="82">
        <v>10.84</v>
      </c>
      <c r="L95" s="82">
        <v>9.64</v>
      </c>
      <c r="M95" s="82">
        <v>8.7100000000000009</v>
      </c>
      <c r="N95" s="82">
        <v>7.93</v>
      </c>
      <c r="O95" s="82">
        <v>6.06</v>
      </c>
      <c r="P95" s="82">
        <v>5.85</v>
      </c>
      <c r="Q95" s="82">
        <v>5.8</v>
      </c>
      <c r="R95" s="82">
        <v>5.66</v>
      </c>
      <c r="S95" s="82">
        <v>7.14</v>
      </c>
      <c r="T95" s="82">
        <v>7.01</v>
      </c>
      <c r="U95" s="82">
        <v>6.77</v>
      </c>
      <c r="V95" s="82">
        <v>6.89</v>
      </c>
      <c r="W95" s="82">
        <v>6.76</v>
      </c>
    </row>
    <row r="96" spans="1:23" x14ac:dyDescent="0.55000000000000004">
      <c r="A96" s="77">
        <v>910</v>
      </c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</row>
    <row r="97" spans="1:23" x14ac:dyDescent="0.55000000000000004">
      <c r="A97" s="81" t="s">
        <v>128</v>
      </c>
      <c r="B97" s="82">
        <v>18.89</v>
      </c>
      <c r="C97" s="82">
        <v>18.25</v>
      </c>
      <c r="D97" s="82">
        <v>17.98</v>
      </c>
      <c r="E97" s="82">
        <v>17.95</v>
      </c>
      <c r="F97" s="82">
        <v>17.93</v>
      </c>
      <c r="G97" s="82">
        <v>17.61</v>
      </c>
      <c r="H97" s="82">
        <v>17.440000000000001</v>
      </c>
      <c r="I97" s="82">
        <v>15.1</v>
      </c>
      <c r="J97" s="82">
        <v>14.86</v>
      </c>
      <c r="K97" s="82">
        <v>14.57</v>
      </c>
      <c r="L97" s="82">
        <v>14.29</v>
      </c>
      <c r="M97" s="82">
        <v>13.89</v>
      </c>
      <c r="N97" s="82">
        <v>13.22</v>
      </c>
      <c r="O97" s="82">
        <v>12.47</v>
      </c>
      <c r="P97" s="82">
        <v>11.86</v>
      </c>
      <c r="Q97" s="82">
        <v>11.66</v>
      </c>
      <c r="R97" s="82">
        <v>11.37</v>
      </c>
      <c r="S97" s="82">
        <v>15.17</v>
      </c>
      <c r="T97" s="82">
        <v>14.56</v>
      </c>
      <c r="U97" s="82">
        <v>14.13</v>
      </c>
      <c r="V97" s="82">
        <v>12.94</v>
      </c>
      <c r="W97" s="82">
        <v>13.68</v>
      </c>
    </row>
    <row r="98" spans="1:23" x14ac:dyDescent="0.55000000000000004">
      <c r="A98" s="77">
        <v>930</v>
      </c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</row>
    <row r="99" spans="1:23" x14ac:dyDescent="0.55000000000000004">
      <c r="A99" s="81" t="s">
        <v>129</v>
      </c>
      <c r="B99" s="82">
        <v>290.93</v>
      </c>
      <c r="C99" s="82">
        <v>285.42</v>
      </c>
      <c r="D99" s="82">
        <v>283.14999999999998</v>
      </c>
      <c r="E99" s="82">
        <v>296.33</v>
      </c>
      <c r="F99" s="82">
        <v>289.93</v>
      </c>
      <c r="G99" s="82">
        <v>281.68</v>
      </c>
      <c r="H99" s="82">
        <v>265.3</v>
      </c>
      <c r="I99" s="82">
        <v>246.17</v>
      </c>
      <c r="J99" s="82">
        <v>232.19</v>
      </c>
      <c r="K99" s="82">
        <v>227.78</v>
      </c>
      <c r="L99" s="82">
        <v>206.9</v>
      </c>
      <c r="M99" s="82">
        <v>190.42</v>
      </c>
      <c r="N99" s="82">
        <v>184.68</v>
      </c>
      <c r="O99" s="82">
        <v>174.18</v>
      </c>
      <c r="P99" s="82">
        <v>167.24</v>
      </c>
      <c r="Q99" s="82">
        <v>160.83000000000001</v>
      </c>
      <c r="R99" s="82">
        <v>158.5</v>
      </c>
      <c r="S99" s="82">
        <v>182.25</v>
      </c>
      <c r="T99" s="82">
        <v>176.82</v>
      </c>
      <c r="U99" s="82">
        <v>172.69</v>
      </c>
      <c r="V99" s="82">
        <v>168.24</v>
      </c>
      <c r="W99" s="82">
        <v>166.36</v>
      </c>
    </row>
    <row r="100" spans="1:23" x14ac:dyDescent="0.55000000000000004">
      <c r="A100" s="83">
        <v>4</v>
      </c>
      <c r="B100" s="78"/>
      <c r="C100" s="79"/>
      <c r="D100" s="79"/>
      <c r="E100" s="79"/>
      <c r="F100" s="79"/>
      <c r="G100" s="79"/>
      <c r="H100" s="79"/>
      <c r="I100" s="78"/>
      <c r="J100" s="79"/>
      <c r="K100" s="79"/>
      <c r="L100" s="79"/>
      <c r="M100" s="79"/>
      <c r="N100" s="79"/>
      <c r="O100" s="78"/>
      <c r="P100" s="79"/>
      <c r="Q100" s="79"/>
      <c r="R100" s="79"/>
      <c r="S100" s="78"/>
      <c r="T100" s="79"/>
      <c r="U100" s="79"/>
      <c r="V100" s="79"/>
      <c r="W100" s="80"/>
    </row>
    <row r="101" spans="1:23" x14ac:dyDescent="0.55000000000000004">
      <c r="A101" s="73" t="s">
        <v>130</v>
      </c>
      <c r="B101" s="74"/>
      <c r="C101" s="75"/>
      <c r="D101" s="75"/>
      <c r="E101" s="75"/>
      <c r="F101" s="75"/>
      <c r="G101" s="75"/>
      <c r="H101" s="75"/>
      <c r="I101" s="74"/>
      <c r="J101" s="75"/>
      <c r="K101" s="75"/>
      <c r="L101" s="75"/>
      <c r="M101" s="75"/>
      <c r="N101" s="75"/>
      <c r="O101" s="74"/>
      <c r="P101" s="75"/>
      <c r="Q101" s="75"/>
      <c r="R101" s="75"/>
      <c r="S101" s="74"/>
      <c r="T101" s="75"/>
      <c r="U101" s="75"/>
      <c r="V101" s="75"/>
      <c r="W101" s="76"/>
    </row>
    <row r="102" spans="1:23" x14ac:dyDescent="0.55000000000000004">
      <c r="A102" s="77">
        <v>940</v>
      </c>
      <c r="B102" s="78"/>
      <c r="C102" s="79"/>
      <c r="D102" s="79"/>
      <c r="E102" s="79"/>
      <c r="F102" s="79"/>
      <c r="G102" s="79"/>
      <c r="H102" s="79"/>
      <c r="I102" s="78"/>
      <c r="J102" s="79"/>
      <c r="K102" s="79"/>
      <c r="L102" s="79"/>
      <c r="M102" s="79"/>
      <c r="N102" s="79"/>
      <c r="O102" s="78"/>
      <c r="P102" s="79"/>
      <c r="Q102" s="79"/>
      <c r="R102" s="79"/>
      <c r="S102" s="78"/>
      <c r="T102" s="79"/>
      <c r="U102" s="79"/>
      <c r="V102" s="79"/>
      <c r="W102" s="80"/>
    </row>
    <row r="103" spans="1:23" x14ac:dyDescent="0.55000000000000004">
      <c r="A103" s="81" t="s">
        <v>131</v>
      </c>
      <c r="B103" s="82">
        <v>449.83</v>
      </c>
      <c r="C103" s="82">
        <v>443.5</v>
      </c>
      <c r="D103" s="82">
        <v>443.46</v>
      </c>
      <c r="E103" s="82">
        <v>463.3</v>
      </c>
      <c r="F103" s="82">
        <v>466.72</v>
      </c>
      <c r="G103" s="82">
        <v>458.31</v>
      </c>
      <c r="H103" s="82">
        <v>437.59</v>
      </c>
      <c r="I103" s="82">
        <v>383.04</v>
      </c>
      <c r="J103" s="82">
        <v>364.09</v>
      </c>
      <c r="K103" s="82">
        <v>358.27</v>
      </c>
      <c r="L103" s="82">
        <v>334.69</v>
      </c>
      <c r="M103" s="82">
        <v>297.05</v>
      </c>
      <c r="N103" s="82">
        <v>278.08999999999997</v>
      </c>
      <c r="O103" s="82">
        <v>264.39</v>
      </c>
      <c r="P103" s="82">
        <v>249.01</v>
      </c>
      <c r="Q103" s="82">
        <v>238.49</v>
      </c>
      <c r="R103" s="82">
        <v>232</v>
      </c>
      <c r="S103" s="82">
        <v>264.08</v>
      </c>
      <c r="T103" s="82">
        <v>254.1</v>
      </c>
      <c r="U103" s="82">
        <v>249.02</v>
      </c>
      <c r="V103" s="82">
        <v>247.56</v>
      </c>
      <c r="W103" s="82">
        <v>245.83</v>
      </c>
    </row>
    <row r="104" spans="1:23" x14ac:dyDescent="0.55000000000000004">
      <c r="A104" s="83">
        <v>5</v>
      </c>
      <c r="B104" s="78"/>
      <c r="C104" s="79"/>
      <c r="D104" s="79"/>
      <c r="E104" s="79"/>
      <c r="F104" s="79"/>
      <c r="G104" s="79"/>
      <c r="H104" s="79"/>
      <c r="I104" s="78"/>
      <c r="J104" s="79"/>
      <c r="K104" s="79"/>
      <c r="L104" s="79"/>
      <c r="M104" s="79"/>
      <c r="N104" s="79"/>
      <c r="O104" s="78"/>
      <c r="P104" s="79"/>
      <c r="Q104" s="79"/>
      <c r="R104" s="79"/>
      <c r="S104" s="78"/>
      <c r="T104" s="79"/>
      <c r="U104" s="79"/>
      <c r="V104" s="79"/>
      <c r="W104" s="80"/>
    </row>
    <row r="105" spans="1:23" x14ac:dyDescent="0.55000000000000004">
      <c r="A105" s="73" t="s">
        <v>132</v>
      </c>
      <c r="B105" s="74"/>
      <c r="C105" s="75"/>
      <c r="D105" s="75"/>
      <c r="E105" s="75"/>
      <c r="F105" s="75"/>
      <c r="G105" s="75"/>
      <c r="H105" s="75"/>
      <c r="I105" s="74"/>
      <c r="J105" s="75"/>
      <c r="K105" s="75"/>
      <c r="L105" s="75"/>
      <c r="M105" s="75"/>
      <c r="N105" s="75"/>
      <c r="O105" s="74"/>
      <c r="P105" s="75"/>
      <c r="Q105" s="75"/>
      <c r="R105" s="75"/>
      <c r="S105" s="74"/>
      <c r="T105" s="75"/>
      <c r="U105" s="75"/>
      <c r="V105" s="75"/>
      <c r="W105" s="76"/>
    </row>
    <row r="106" spans="1:23" x14ac:dyDescent="0.55000000000000004">
      <c r="A106" s="77">
        <v>950</v>
      </c>
      <c r="B106" s="78"/>
      <c r="C106" s="79"/>
      <c r="D106" s="79"/>
      <c r="E106" s="79"/>
      <c r="F106" s="79"/>
      <c r="G106" s="79"/>
      <c r="H106" s="79"/>
      <c r="I106" s="78"/>
      <c r="J106" s="79"/>
      <c r="K106" s="79"/>
      <c r="L106" s="79"/>
      <c r="M106" s="79"/>
      <c r="N106" s="79"/>
      <c r="O106" s="78"/>
      <c r="P106" s="79"/>
      <c r="Q106" s="79"/>
      <c r="R106" s="79"/>
      <c r="S106" s="78"/>
      <c r="T106" s="79"/>
      <c r="U106" s="79"/>
      <c r="V106" s="79"/>
      <c r="W106" s="80"/>
    </row>
    <row r="107" spans="1:23" x14ac:dyDescent="0.55000000000000004">
      <c r="A107" s="81" t="s">
        <v>133</v>
      </c>
      <c r="B107" s="82">
        <v>-5.62</v>
      </c>
      <c r="C107" s="82">
        <v>11.22</v>
      </c>
      <c r="D107" s="82">
        <v>48.46</v>
      </c>
      <c r="E107" s="82">
        <v>-32.74</v>
      </c>
      <c r="F107" s="82">
        <v>55.52</v>
      </c>
      <c r="G107" s="82">
        <v>112.73</v>
      </c>
      <c r="H107" s="82">
        <v>159.22999999999999</v>
      </c>
      <c r="I107" s="82">
        <v>142.32</v>
      </c>
      <c r="J107" s="82">
        <v>85.23</v>
      </c>
      <c r="K107" s="82">
        <v>78.83</v>
      </c>
      <c r="L107" s="82">
        <v>115.95</v>
      </c>
      <c r="M107" s="82">
        <v>60.7</v>
      </c>
      <c r="N107" s="82">
        <v>-23.25</v>
      </c>
      <c r="O107" s="82">
        <v>0.18</v>
      </c>
      <c r="P107" s="82">
        <v>4.45</v>
      </c>
      <c r="Q107" s="82">
        <v>-5.0199999999999996</v>
      </c>
      <c r="R107" s="82">
        <v>-24</v>
      </c>
      <c r="S107" s="82">
        <v>-85.46</v>
      </c>
      <c r="T107" s="82">
        <v>-71.650000000000006</v>
      </c>
      <c r="U107" s="82">
        <v>-71.02</v>
      </c>
      <c r="V107" s="82">
        <v>-24.39</v>
      </c>
      <c r="W107" s="82">
        <v>32.94</v>
      </c>
    </row>
    <row r="108" spans="1:23" x14ac:dyDescent="0.55000000000000004">
      <c r="A108" s="77">
        <v>960</v>
      </c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</row>
    <row r="109" spans="1:23" x14ac:dyDescent="0.55000000000000004">
      <c r="A109" s="81" t="s">
        <v>134</v>
      </c>
      <c r="B109" s="82">
        <v>285.31</v>
      </c>
      <c r="C109" s="82">
        <v>296.64</v>
      </c>
      <c r="D109" s="82">
        <v>331.61</v>
      </c>
      <c r="E109" s="82">
        <v>263.58999999999997</v>
      </c>
      <c r="F109" s="82">
        <v>345.45</v>
      </c>
      <c r="G109" s="82">
        <v>394.41</v>
      </c>
      <c r="H109" s="82">
        <v>424.53</v>
      </c>
      <c r="I109" s="82">
        <v>388.49</v>
      </c>
      <c r="J109" s="82">
        <v>317.43</v>
      </c>
      <c r="K109" s="82">
        <v>306.61</v>
      </c>
      <c r="L109" s="82">
        <v>322.85000000000002</v>
      </c>
      <c r="M109" s="82">
        <v>251.12</v>
      </c>
      <c r="N109" s="82">
        <v>161.43</v>
      </c>
      <c r="O109" s="82">
        <v>174.36</v>
      </c>
      <c r="P109" s="82">
        <v>171.69</v>
      </c>
      <c r="Q109" s="82">
        <v>155.81</v>
      </c>
      <c r="R109" s="82">
        <v>134.5</v>
      </c>
      <c r="S109" s="82">
        <v>96.79</v>
      </c>
      <c r="T109" s="82">
        <v>105.17</v>
      </c>
      <c r="U109" s="82">
        <v>101.67</v>
      </c>
      <c r="V109" s="82">
        <v>143.85</v>
      </c>
      <c r="W109" s="82">
        <v>199.31</v>
      </c>
    </row>
    <row r="110" spans="1:23" x14ac:dyDescent="0.55000000000000004">
      <c r="A110" s="83">
        <v>6</v>
      </c>
      <c r="B110" s="78"/>
      <c r="C110" s="79"/>
      <c r="D110" s="79"/>
      <c r="E110" s="79"/>
      <c r="F110" s="79"/>
      <c r="G110" s="79"/>
      <c r="H110" s="79"/>
      <c r="I110" s="78"/>
      <c r="J110" s="79"/>
      <c r="K110" s="79"/>
      <c r="L110" s="79"/>
      <c r="M110" s="79"/>
      <c r="N110" s="79"/>
      <c r="O110" s="78"/>
      <c r="P110" s="79"/>
      <c r="Q110" s="79"/>
      <c r="R110" s="79"/>
      <c r="S110" s="78"/>
      <c r="T110" s="79"/>
      <c r="U110" s="79"/>
      <c r="V110" s="79"/>
      <c r="W110" s="80"/>
    </row>
    <row r="111" spans="1:23" x14ac:dyDescent="0.55000000000000004">
      <c r="A111" s="73" t="s">
        <v>135</v>
      </c>
      <c r="B111" s="74"/>
      <c r="C111" s="75"/>
      <c r="D111" s="75"/>
      <c r="E111" s="75"/>
      <c r="F111" s="75"/>
      <c r="G111" s="75"/>
      <c r="H111" s="75"/>
      <c r="I111" s="74"/>
      <c r="J111" s="75"/>
      <c r="K111" s="75"/>
      <c r="L111" s="75"/>
      <c r="M111" s="75"/>
      <c r="N111" s="75"/>
      <c r="O111" s="74"/>
      <c r="P111" s="75"/>
      <c r="Q111" s="75"/>
      <c r="R111" s="75"/>
      <c r="S111" s="74"/>
      <c r="T111" s="75"/>
      <c r="U111" s="75"/>
      <c r="V111" s="75"/>
      <c r="W111" s="76"/>
    </row>
    <row r="112" spans="1:23" x14ac:dyDescent="0.55000000000000004">
      <c r="A112" s="77">
        <v>970</v>
      </c>
      <c r="B112" s="78"/>
      <c r="C112" s="79"/>
      <c r="D112" s="79"/>
      <c r="E112" s="79"/>
      <c r="F112" s="79"/>
      <c r="G112" s="79"/>
      <c r="H112" s="79"/>
      <c r="I112" s="78"/>
      <c r="J112" s="79"/>
      <c r="K112" s="79"/>
      <c r="L112" s="79"/>
      <c r="M112" s="79"/>
      <c r="N112" s="79"/>
      <c r="O112" s="78"/>
      <c r="P112" s="79"/>
      <c r="Q112" s="79"/>
      <c r="R112" s="79"/>
      <c r="S112" s="78"/>
      <c r="T112" s="79"/>
      <c r="U112" s="79"/>
      <c r="V112" s="79"/>
      <c r="W112" s="80"/>
    </row>
    <row r="113" spans="1:23" x14ac:dyDescent="0.55000000000000004">
      <c r="A113" s="81" t="s">
        <v>136</v>
      </c>
      <c r="B113" s="84">
        <v>51</v>
      </c>
      <c r="C113" s="84">
        <v>49</v>
      </c>
      <c r="D113" s="84">
        <v>52</v>
      </c>
      <c r="E113" s="84">
        <v>48</v>
      </c>
      <c r="F113" s="84">
        <v>48</v>
      </c>
      <c r="G113" s="84">
        <v>43</v>
      </c>
      <c r="H113" s="84">
        <v>42</v>
      </c>
      <c r="I113" s="84">
        <v>44</v>
      </c>
      <c r="J113" s="84">
        <v>47</v>
      </c>
      <c r="K113" s="84">
        <v>47</v>
      </c>
      <c r="L113" s="84">
        <v>43</v>
      </c>
      <c r="M113" s="84">
        <v>45</v>
      </c>
      <c r="N113" s="84">
        <v>46</v>
      </c>
      <c r="O113" s="84">
        <v>47</v>
      </c>
      <c r="P113" s="84">
        <v>45</v>
      </c>
      <c r="Q113" s="84">
        <v>36</v>
      </c>
      <c r="R113" s="84">
        <v>40</v>
      </c>
      <c r="S113" s="84">
        <v>43</v>
      </c>
      <c r="T113" s="84">
        <v>41</v>
      </c>
      <c r="U113" s="84">
        <v>40</v>
      </c>
      <c r="V113" s="84">
        <v>43</v>
      </c>
      <c r="W113" s="84">
        <v>43</v>
      </c>
    </row>
    <row r="114" spans="1:23" x14ac:dyDescent="0.55000000000000004">
      <c r="A114" s="77">
        <v>980</v>
      </c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</row>
    <row r="115" spans="1:23" x14ac:dyDescent="0.55000000000000004">
      <c r="A115" s="81" t="s">
        <v>137</v>
      </c>
      <c r="B115" s="82">
        <v>8.7100000000000009</v>
      </c>
      <c r="C115" s="82">
        <v>9.2799999999999994</v>
      </c>
      <c r="D115" s="82">
        <v>9.4600000000000009</v>
      </c>
      <c r="E115" s="82">
        <v>8.9700000000000006</v>
      </c>
      <c r="F115" s="82">
        <v>10.88</v>
      </c>
      <c r="G115" s="82">
        <v>13.28</v>
      </c>
      <c r="H115" s="82">
        <v>14.21</v>
      </c>
      <c r="I115" s="82">
        <v>11.94</v>
      </c>
      <c r="J115" s="82">
        <v>9.56</v>
      </c>
      <c r="K115" s="82">
        <v>9.3000000000000007</v>
      </c>
      <c r="L115" s="82">
        <v>10.48</v>
      </c>
      <c r="M115" s="82">
        <v>7.95</v>
      </c>
      <c r="N115" s="82">
        <v>5.54</v>
      </c>
      <c r="O115" s="82">
        <v>5.68</v>
      </c>
      <c r="P115" s="82">
        <v>5.6</v>
      </c>
      <c r="Q115" s="82">
        <v>6.56</v>
      </c>
      <c r="R115" s="82">
        <v>5.2</v>
      </c>
      <c r="S115" s="82">
        <v>4.1500000000000004</v>
      </c>
      <c r="T115" s="82">
        <v>4.45</v>
      </c>
      <c r="U115" s="82">
        <v>4.45</v>
      </c>
      <c r="V115" s="82">
        <v>5.19</v>
      </c>
      <c r="W115" s="82">
        <v>6.54</v>
      </c>
    </row>
    <row r="116" spans="1:23" x14ac:dyDescent="0.55000000000000004">
      <c r="A116" s="77">
        <v>1030</v>
      </c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</row>
    <row r="117" spans="1:23" x14ac:dyDescent="0.55000000000000004">
      <c r="A117" s="81" t="s">
        <v>138</v>
      </c>
      <c r="B117" s="84">
        <v>273</v>
      </c>
      <c r="C117" s="84">
        <v>273</v>
      </c>
      <c r="D117" s="84">
        <v>273</v>
      </c>
      <c r="E117" s="84">
        <v>273</v>
      </c>
      <c r="F117" s="84">
        <v>273</v>
      </c>
      <c r="G117" s="84">
        <v>273</v>
      </c>
      <c r="H117" s="84">
        <v>273</v>
      </c>
      <c r="I117" s="84">
        <v>303</v>
      </c>
      <c r="J117" s="84">
        <v>303</v>
      </c>
      <c r="K117" s="84">
        <v>303</v>
      </c>
      <c r="L117" s="84">
        <v>303</v>
      </c>
      <c r="M117" s="84">
        <v>303</v>
      </c>
      <c r="N117" s="84">
        <v>303</v>
      </c>
      <c r="O117" s="84">
        <v>268</v>
      </c>
      <c r="P117" s="84">
        <v>268</v>
      </c>
      <c r="Q117" s="84">
        <v>268</v>
      </c>
      <c r="R117" s="84">
        <v>268</v>
      </c>
      <c r="S117" s="84">
        <v>220</v>
      </c>
      <c r="T117" s="84">
        <v>220</v>
      </c>
      <c r="U117" s="84">
        <v>220</v>
      </c>
      <c r="V117" s="84">
        <v>220</v>
      </c>
      <c r="W117" s="84">
        <v>220</v>
      </c>
    </row>
    <row r="118" spans="1:23" x14ac:dyDescent="0.55000000000000004">
      <c r="A118" s="83">
        <v>7</v>
      </c>
      <c r="B118" s="78"/>
      <c r="C118" s="79"/>
      <c r="D118" s="79"/>
      <c r="E118" s="79"/>
      <c r="F118" s="79"/>
      <c r="G118" s="79"/>
      <c r="H118" s="79"/>
      <c r="I118" s="78"/>
      <c r="J118" s="79"/>
      <c r="K118" s="79"/>
      <c r="L118" s="79"/>
      <c r="M118" s="79"/>
      <c r="N118" s="79"/>
      <c r="O118" s="78"/>
      <c r="P118" s="79"/>
      <c r="Q118" s="79"/>
      <c r="R118" s="79"/>
      <c r="S118" s="78"/>
      <c r="T118" s="79"/>
      <c r="U118" s="79"/>
      <c r="V118" s="79"/>
      <c r="W118" s="80"/>
    </row>
    <row r="119" spans="1:23" x14ac:dyDescent="0.55000000000000004">
      <c r="A119" s="73" t="s">
        <v>139</v>
      </c>
      <c r="B119" s="74"/>
      <c r="C119" s="75"/>
      <c r="D119" s="75"/>
      <c r="E119" s="75"/>
      <c r="F119" s="75"/>
      <c r="G119" s="75"/>
      <c r="H119" s="75"/>
      <c r="I119" s="74"/>
      <c r="J119" s="75"/>
      <c r="K119" s="75"/>
      <c r="L119" s="75"/>
      <c r="M119" s="75"/>
      <c r="N119" s="75"/>
      <c r="O119" s="74"/>
      <c r="P119" s="75"/>
      <c r="Q119" s="75"/>
      <c r="R119" s="75"/>
      <c r="S119" s="74"/>
      <c r="T119" s="75"/>
      <c r="U119" s="75"/>
      <c r="V119" s="75"/>
      <c r="W119" s="76"/>
    </row>
    <row r="120" spans="1:23" x14ac:dyDescent="0.55000000000000004">
      <c r="A120" s="77">
        <v>1180</v>
      </c>
      <c r="B120" s="78"/>
      <c r="C120" s="79"/>
      <c r="D120" s="79"/>
      <c r="E120" s="79"/>
      <c r="F120" s="79"/>
      <c r="G120" s="79"/>
      <c r="H120" s="79"/>
      <c r="I120" s="78"/>
      <c r="J120" s="79"/>
      <c r="K120" s="79"/>
      <c r="L120" s="79"/>
      <c r="M120" s="79"/>
      <c r="N120" s="79"/>
      <c r="O120" s="78"/>
      <c r="P120" s="79"/>
      <c r="Q120" s="79"/>
      <c r="R120" s="79"/>
      <c r="S120" s="78"/>
      <c r="T120" s="79"/>
      <c r="U120" s="79"/>
      <c r="V120" s="79"/>
      <c r="W120" s="80"/>
    </row>
    <row r="121" spans="1:23" x14ac:dyDescent="0.55000000000000004">
      <c r="A121" s="81" t="s">
        <v>140</v>
      </c>
      <c r="B121" s="86">
        <v>90</v>
      </c>
      <c r="C121" s="86">
        <v>90</v>
      </c>
      <c r="D121" s="86">
        <v>90</v>
      </c>
      <c r="E121" s="86">
        <v>90</v>
      </c>
      <c r="F121" s="86">
        <v>90</v>
      </c>
      <c r="G121" s="86">
        <v>90</v>
      </c>
      <c r="H121" s="86">
        <v>90</v>
      </c>
      <c r="I121" s="86">
        <v>91</v>
      </c>
      <c r="J121" s="86">
        <v>91</v>
      </c>
      <c r="K121" s="86">
        <v>91</v>
      </c>
      <c r="L121" s="86">
        <v>91</v>
      </c>
      <c r="M121" s="86">
        <v>91</v>
      </c>
      <c r="N121" s="86">
        <v>91</v>
      </c>
      <c r="O121" s="86">
        <v>91</v>
      </c>
      <c r="P121" s="86">
        <v>91</v>
      </c>
      <c r="Q121" s="86">
        <v>91</v>
      </c>
      <c r="R121" s="86">
        <v>91</v>
      </c>
      <c r="S121" s="86">
        <v>95</v>
      </c>
      <c r="T121" s="86">
        <v>95</v>
      </c>
      <c r="U121" s="86">
        <v>95</v>
      </c>
      <c r="V121" s="86">
        <v>95</v>
      </c>
      <c r="W121" s="86">
        <v>95</v>
      </c>
    </row>
    <row r="122" spans="1:23" x14ac:dyDescent="0.55000000000000004">
      <c r="A122" s="77">
        <v>1190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</row>
    <row r="123" spans="1:23" x14ac:dyDescent="0.55000000000000004">
      <c r="A123" s="87" t="s">
        <v>141</v>
      </c>
      <c r="B123" s="84">
        <v>10</v>
      </c>
      <c r="C123" s="84">
        <v>10</v>
      </c>
      <c r="D123" s="84">
        <v>10</v>
      </c>
      <c r="E123" s="84">
        <v>10</v>
      </c>
      <c r="F123" s="84">
        <v>10</v>
      </c>
      <c r="G123" s="84">
        <v>10</v>
      </c>
      <c r="H123" s="84">
        <v>10</v>
      </c>
      <c r="I123" s="84">
        <v>9</v>
      </c>
      <c r="J123" s="84">
        <v>9</v>
      </c>
      <c r="K123" s="84">
        <v>9</v>
      </c>
      <c r="L123" s="84">
        <v>9</v>
      </c>
      <c r="M123" s="84">
        <v>9</v>
      </c>
      <c r="N123" s="84">
        <v>9</v>
      </c>
      <c r="O123" s="84">
        <v>9</v>
      </c>
      <c r="P123" s="84">
        <v>9</v>
      </c>
      <c r="Q123" s="84">
        <v>9</v>
      </c>
      <c r="R123" s="84">
        <v>9</v>
      </c>
      <c r="S123" s="84">
        <v>5</v>
      </c>
      <c r="T123" s="84">
        <v>5</v>
      </c>
      <c r="U123" s="84">
        <v>5</v>
      </c>
      <c r="V123" s="84">
        <v>5</v>
      </c>
      <c r="W123" s="84">
        <v>5</v>
      </c>
    </row>
    <row r="124" spans="1:23" x14ac:dyDescent="0.55000000000000004">
      <c r="A124" s="88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60"/>
      <c r="W124" s="60"/>
    </row>
    <row r="125" spans="1:23" x14ac:dyDescent="0.55000000000000004">
      <c r="A125" s="90" t="s">
        <v>0</v>
      </c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</row>
    <row r="126" spans="1:23" x14ac:dyDescent="0.55000000000000004">
      <c r="A126" s="91" t="s">
        <v>142</v>
      </c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60"/>
      <c r="O126" s="60"/>
      <c r="P126" s="60"/>
      <c r="Q126" s="60"/>
      <c r="R126" s="60"/>
      <c r="S126" s="60"/>
      <c r="T126" s="60"/>
      <c r="U126" s="60"/>
      <c r="V126" s="60"/>
      <c r="W126" s="60"/>
    </row>
    <row r="127" spans="1:23" x14ac:dyDescent="0.55000000000000004">
      <c r="A127" s="92" t="s">
        <v>143</v>
      </c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3" t="s">
        <v>144</v>
      </c>
      <c r="N127" s="60"/>
      <c r="O127" s="60"/>
      <c r="P127" s="60"/>
      <c r="Q127" s="60"/>
      <c r="R127" s="60"/>
      <c r="S127" s="60"/>
      <c r="T127" s="60"/>
      <c r="U127" s="60"/>
      <c r="V127" s="60"/>
      <c r="W127" s="60"/>
    </row>
    <row r="128" spans="1:23" x14ac:dyDescent="0.55000000000000004">
      <c r="A128" s="97" t="s">
        <v>145</v>
      </c>
      <c r="B128" s="94" t="s">
        <v>146</v>
      </c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3"/>
      <c r="N128" s="60"/>
      <c r="O128" s="60"/>
      <c r="P128" s="60"/>
      <c r="Q128" s="60"/>
      <c r="R128" s="60"/>
      <c r="S128" s="60"/>
      <c r="T128" s="60"/>
      <c r="U128" s="60"/>
      <c r="V128" s="60"/>
      <c r="W128" s="60"/>
    </row>
    <row r="129" spans="1:23" x14ac:dyDescent="0.55000000000000004">
      <c r="A129" s="60" t="s">
        <v>147</v>
      </c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</row>
    <row r="130" spans="1:23" x14ac:dyDescent="0.55000000000000004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</row>
    <row r="131" spans="1:23" x14ac:dyDescent="0.55000000000000004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</row>
    <row r="135" spans="1:23" x14ac:dyDescent="0.55000000000000004">
      <c r="A135" t="s">
        <v>156</v>
      </c>
    </row>
    <row r="136" spans="1:23" x14ac:dyDescent="0.55000000000000004">
      <c r="A136" t="s">
        <v>157</v>
      </c>
      <c r="B136" t="e">
        <f>#REF!+#REF!</f>
        <v>#REF!</v>
      </c>
    </row>
    <row r="137" spans="1:23" x14ac:dyDescent="0.55000000000000004">
      <c r="A137" t="s">
        <v>165</v>
      </c>
      <c r="B137" s="51" t="e">
        <f>(B136/30)/247</f>
        <v>#REF!</v>
      </c>
    </row>
    <row r="138" spans="1:23" x14ac:dyDescent="0.55000000000000004">
      <c r="A138" t="s">
        <v>155</v>
      </c>
      <c r="B138" t="e">
        <f>SUM(#REF!)</f>
        <v>#REF!</v>
      </c>
    </row>
    <row r="139" spans="1:23" x14ac:dyDescent="0.55000000000000004">
      <c r="A139" t="s">
        <v>160</v>
      </c>
      <c r="B139" t="e">
        <f>B138/(100*2.47)</f>
        <v>#REF!</v>
      </c>
    </row>
    <row r="140" spans="1:23" x14ac:dyDescent="0.55000000000000004">
      <c r="A140" t="s">
        <v>161</v>
      </c>
      <c r="B140" t="e">
        <f>#REF!</f>
        <v>#REF!</v>
      </c>
    </row>
    <row r="141" spans="1:23" x14ac:dyDescent="0.55000000000000004">
      <c r="A141" t="s">
        <v>162</v>
      </c>
      <c r="B141" t="e">
        <f>B140/(100*2.47)</f>
        <v>#REF!</v>
      </c>
    </row>
    <row r="142" spans="1:23" x14ac:dyDescent="0.55000000000000004">
      <c r="A142" t="s">
        <v>163</v>
      </c>
      <c r="B142">
        <f>SUM('NPV Parameters'!F32,'NPV Parameters'!F34)</f>
        <v>0</v>
      </c>
    </row>
    <row r="143" spans="1:23" x14ac:dyDescent="0.55000000000000004">
      <c r="A143" t="s">
        <v>164</v>
      </c>
      <c r="B143">
        <f>(B142*0.66)/247</f>
        <v>0</v>
      </c>
    </row>
    <row r="144" spans="1:23" x14ac:dyDescent="0.55000000000000004">
      <c r="A144" t="s">
        <v>167</v>
      </c>
      <c r="B144" t="e">
        <f>B137+B139+B141+B143</f>
        <v>#REF!</v>
      </c>
    </row>
    <row r="146" spans="1:15" x14ac:dyDescent="0.55000000000000004">
      <c r="A146" t="s">
        <v>166</v>
      </c>
      <c r="B146" s="2" t="e">
        <f>#REF!*#REF!</f>
        <v>#REF!</v>
      </c>
    </row>
    <row r="147" spans="1:15" x14ac:dyDescent="0.55000000000000004">
      <c r="A147" t="s">
        <v>168</v>
      </c>
      <c r="B147" t="e">
        <f>B146/248</f>
        <v>#REF!</v>
      </c>
    </row>
    <row r="150" spans="1:15" x14ac:dyDescent="0.55000000000000004">
      <c r="A150" t="s">
        <v>955</v>
      </c>
    </row>
    <row r="151" spans="1:15" x14ac:dyDescent="0.55000000000000004">
      <c r="A151" t="s">
        <v>956</v>
      </c>
      <c r="D151" t="s">
        <v>957</v>
      </c>
    </row>
    <row r="152" spans="1:15" x14ac:dyDescent="0.55000000000000004">
      <c r="B152" t="s">
        <v>958</v>
      </c>
      <c r="C152" t="s">
        <v>173</v>
      </c>
      <c r="E152" t="s">
        <v>958</v>
      </c>
      <c r="F152" t="s">
        <v>173</v>
      </c>
      <c r="K152" t="s">
        <v>174</v>
      </c>
    </row>
    <row r="153" spans="1:15" x14ac:dyDescent="0.55000000000000004">
      <c r="B153" t="s">
        <v>959</v>
      </c>
      <c r="K153" t="s">
        <v>182</v>
      </c>
      <c r="L153">
        <v>25454</v>
      </c>
      <c r="N153" t="s">
        <v>960</v>
      </c>
      <c r="O153" t="s">
        <v>178</v>
      </c>
    </row>
    <row r="154" spans="1:15" x14ac:dyDescent="0.55000000000000004">
      <c r="A154" t="s">
        <v>61</v>
      </c>
      <c r="B154">
        <v>48.1</v>
      </c>
      <c r="C154" t="s">
        <v>961</v>
      </c>
      <c r="E154">
        <f>B154*L154*B167/(1000*L155)</f>
        <v>546.32098765432102</v>
      </c>
      <c r="F154" t="s">
        <v>185</v>
      </c>
      <c r="K154" t="s">
        <v>188</v>
      </c>
      <c r="L154">
        <v>100</v>
      </c>
      <c r="M154" t="s">
        <v>189</v>
      </c>
    </row>
    <row r="155" spans="1:15" x14ac:dyDescent="0.55000000000000004">
      <c r="A155" t="s">
        <v>63</v>
      </c>
      <c r="B155">
        <v>186.7</v>
      </c>
      <c r="C155" t="s">
        <v>961</v>
      </c>
      <c r="E155">
        <f>(B155/L165*(2*L166))*L154*B167/(1000*L155)</f>
        <v>925.87097896018076</v>
      </c>
      <c r="F155" t="s">
        <v>185</v>
      </c>
      <c r="K155" t="s">
        <v>192</v>
      </c>
      <c r="L155">
        <v>0.40500000000000003</v>
      </c>
      <c r="M155" t="s">
        <v>193</v>
      </c>
    </row>
    <row r="156" spans="1:15" x14ac:dyDescent="0.55000000000000004">
      <c r="B156" s="50">
        <f>(B155/52.2)*2.2</f>
        <v>7.868582375478927</v>
      </c>
      <c r="C156" t="s">
        <v>973</v>
      </c>
      <c r="K156" t="s">
        <v>195</v>
      </c>
      <c r="L156">
        <v>907.2</v>
      </c>
      <c r="M156" t="s">
        <v>196</v>
      </c>
    </row>
    <row r="157" spans="1:15" x14ac:dyDescent="0.55000000000000004">
      <c r="A157" t="s">
        <v>64</v>
      </c>
      <c r="B157">
        <v>299.10000000000002</v>
      </c>
      <c r="C157" t="s">
        <v>961</v>
      </c>
      <c r="E157">
        <f>(B157*(2*L167)/L168)*L154*B167/(1000*L155)</f>
        <v>2818.940898345154</v>
      </c>
      <c r="F157" t="s">
        <v>185</v>
      </c>
      <c r="K157" t="s">
        <v>199</v>
      </c>
      <c r="L157">
        <v>1055</v>
      </c>
      <c r="M157" t="s">
        <v>200</v>
      </c>
    </row>
    <row r="158" spans="1:15" x14ac:dyDescent="0.55000000000000004">
      <c r="A158" t="s">
        <v>962</v>
      </c>
      <c r="B158">
        <v>0</v>
      </c>
      <c r="C158" t="s">
        <v>961</v>
      </c>
      <c r="K158" t="s">
        <v>2</v>
      </c>
      <c r="L158">
        <v>78</v>
      </c>
      <c r="M158" t="s">
        <v>204</v>
      </c>
    </row>
    <row r="159" spans="1:15" x14ac:dyDescent="0.55000000000000004">
      <c r="B159" t="s">
        <v>963</v>
      </c>
      <c r="K159" t="s">
        <v>9</v>
      </c>
      <c r="L159">
        <v>0</v>
      </c>
      <c r="M159" t="s">
        <v>204</v>
      </c>
    </row>
    <row r="160" spans="1:15" x14ac:dyDescent="0.55000000000000004">
      <c r="A160" t="s">
        <v>964</v>
      </c>
      <c r="B160">
        <v>17.95</v>
      </c>
      <c r="C160" t="s">
        <v>961</v>
      </c>
      <c r="E160">
        <f>B160*L$154*B$167/(1000*L$155)</f>
        <v>203.87654320987653</v>
      </c>
      <c r="F160" t="s">
        <v>185</v>
      </c>
      <c r="K160" s="144" t="s">
        <v>208</v>
      </c>
      <c r="L160">
        <v>32610</v>
      </c>
      <c r="M160" t="s">
        <v>209</v>
      </c>
    </row>
    <row r="161" spans="1:13" x14ac:dyDescent="0.55000000000000004">
      <c r="A161" t="s">
        <v>965</v>
      </c>
      <c r="B161">
        <v>0.36</v>
      </c>
      <c r="C161" t="s">
        <v>961</v>
      </c>
      <c r="E161">
        <f>B161*L$154*B$167/(1000*L$155)</f>
        <v>4.0888888888888886</v>
      </c>
      <c r="F161" s="7" t="s">
        <v>185</v>
      </c>
      <c r="K161" s="144" t="s">
        <v>215</v>
      </c>
      <c r="L161" s="15">
        <v>170.773</v>
      </c>
      <c r="M161" t="s">
        <v>216</v>
      </c>
    </row>
    <row r="162" spans="1:13" x14ac:dyDescent="0.55000000000000004">
      <c r="K162" s="144" t="s">
        <v>220</v>
      </c>
      <c r="L162">
        <v>264.17200000000003</v>
      </c>
      <c r="M162" t="s">
        <v>221</v>
      </c>
    </row>
    <row r="163" spans="1:13" x14ac:dyDescent="0.55000000000000004">
      <c r="A163" t="s">
        <v>966</v>
      </c>
      <c r="B163">
        <v>18433</v>
      </c>
      <c r="C163" t="s">
        <v>209</v>
      </c>
      <c r="E163">
        <f>B163*B167*L154*L157/(L155*1000000)</f>
        <v>220877.40493827162</v>
      </c>
      <c r="F163" t="s">
        <v>570</v>
      </c>
      <c r="G163" t="s">
        <v>967</v>
      </c>
      <c r="H163" t="s">
        <v>974</v>
      </c>
      <c r="K163" s="144" t="s">
        <v>226</v>
      </c>
      <c r="L163">
        <v>12</v>
      </c>
      <c r="M163" t="s">
        <v>227</v>
      </c>
    </row>
    <row r="164" spans="1:13" x14ac:dyDescent="0.55000000000000004">
      <c r="K164" t="s">
        <v>233</v>
      </c>
      <c r="L164">
        <v>16</v>
      </c>
      <c r="M164" t="s">
        <v>227</v>
      </c>
    </row>
    <row r="165" spans="1:13" x14ac:dyDescent="0.55000000000000004">
      <c r="A165" t="s">
        <v>217</v>
      </c>
      <c r="B165">
        <v>530</v>
      </c>
      <c r="C165" t="s">
        <v>216</v>
      </c>
      <c r="E165">
        <f>B165*B167*L154/(L155*L162)</f>
        <v>22787.248786471511</v>
      </c>
      <c r="F165" t="s">
        <v>968</v>
      </c>
      <c r="G165" t="s">
        <v>975</v>
      </c>
      <c r="K165" t="s">
        <v>236</v>
      </c>
      <c r="L165">
        <v>142</v>
      </c>
      <c r="M165" t="s">
        <v>227</v>
      </c>
    </row>
    <row r="166" spans="1:13" x14ac:dyDescent="0.55000000000000004">
      <c r="K166" t="s">
        <v>245</v>
      </c>
      <c r="L166">
        <v>31</v>
      </c>
      <c r="M166" t="s">
        <v>227</v>
      </c>
    </row>
    <row r="167" spans="1:13" x14ac:dyDescent="0.55000000000000004">
      <c r="A167" t="s">
        <v>640</v>
      </c>
      <c r="B167" s="2">
        <v>46</v>
      </c>
      <c r="C167" t="s">
        <v>969</v>
      </c>
      <c r="K167" t="s">
        <v>251</v>
      </c>
      <c r="L167">
        <v>39</v>
      </c>
      <c r="M167" t="s">
        <v>227</v>
      </c>
    </row>
    <row r="168" spans="1:13" x14ac:dyDescent="0.55000000000000004">
      <c r="B168" s="2">
        <f>(B167*52.2)/2.2</f>
        <v>1091.4545454545455</v>
      </c>
      <c r="C168" t="s">
        <v>971</v>
      </c>
      <c r="K168" t="s">
        <v>254</v>
      </c>
      <c r="L168">
        <f>L167*2+L164</f>
        <v>94</v>
      </c>
      <c r="M168" t="s">
        <v>227</v>
      </c>
    </row>
    <row r="169" spans="1:13" x14ac:dyDescent="0.55000000000000004">
      <c r="B169" s="2">
        <f>B168*2.47</f>
        <v>2695.8927272727274</v>
      </c>
      <c r="C169" t="s">
        <v>972</v>
      </c>
      <c r="K169" t="s">
        <v>970</v>
      </c>
    </row>
    <row r="170" spans="1:13" x14ac:dyDescent="0.55000000000000004">
      <c r="B170" s="2">
        <f>B169*100</f>
        <v>269589.27272727276</v>
      </c>
      <c r="C170" t="s">
        <v>185</v>
      </c>
    </row>
  </sheetData>
  <mergeCells count="4">
    <mergeCell ref="B56:H56"/>
    <mergeCell ref="I56:N56"/>
    <mergeCell ref="O56:R56"/>
    <mergeCell ref="S56:W56"/>
  </mergeCells>
  <hyperlinks>
    <hyperlink ref="M127" r:id="rId3" xr:uid="{00000000-0004-0000-1000-000000000000}"/>
    <hyperlink ref="B128" r:id="rId4" xr:uid="{00000000-0004-0000-1000-000001000000}"/>
  </hyperlinks>
  <pageMargins left="0.75" right="0.75" top="1" bottom="1" header="0.5" footer="0.5"/>
  <pageSetup orientation="portrait" horizontalDpi="4294967292" verticalDpi="4294967292"/>
  <drawing r:id="rId5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9"/>
  <sheetViews>
    <sheetView workbookViewId="0">
      <selection activeCell="N6" sqref="N6"/>
    </sheetView>
  </sheetViews>
  <sheetFormatPr defaultColWidth="8.7890625" defaultRowHeight="14.4" x14ac:dyDescent="0.55000000000000004"/>
  <cols>
    <col min="1" max="1" width="33.15625" bestFit="1" customWidth="1"/>
    <col min="2" max="2" width="10" bestFit="1" customWidth="1"/>
    <col min="3" max="3" width="12" bestFit="1" customWidth="1"/>
    <col min="4" max="4" width="18.15625" bestFit="1" customWidth="1"/>
    <col min="5" max="5" width="18.15625" customWidth="1"/>
    <col min="6" max="6" width="36.26171875" bestFit="1" customWidth="1"/>
    <col min="7" max="7" width="11" bestFit="1" customWidth="1"/>
    <col min="12" max="12" width="49.26171875" customWidth="1"/>
    <col min="13" max="13" width="28.15625" bestFit="1" customWidth="1"/>
    <col min="14" max="14" width="15.62890625" bestFit="1" customWidth="1"/>
    <col min="16" max="16" width="14" customWidth="1"/>
    <col min="18" max="18" width="11" bestFit="1" customWidth="1"/>
    <col min="19" max="19" width="11" customWidth="1"/>
    <col min="20" max="20" width="30.62890625" bestFit="1" customWidth="1"/>
    <col min="21" max="21" width="12" bestFit="1" customWidth="1"/>
  </cols>
  <sheetData>
    <row r="1" spans="1:24" x14ac:dyDescent="0.55000000000000004">
      <c r="A1" t="s">
        <v>169</v>
      </c>
      <c r="H1" s="51" t="s">
        <v>981</v>
      </c>
      <c r="I1" s="51"/>
    </row>
    <row r="2" spans="1:24" x14ac:dyDescent="0.55000000000000004">
      <c r="B2" t="s">
        <v>2</v>
      </c>
      <c r="C2" t="s">
        <v>9</v>
      </c>
      <c r="D2" t="s">
        <v>170</v>
      </c>
      <c r="F2" t="s">
        <v>2</v>
      </c>
      <c r="M2" t="s">
        <v>9</v>
      </c>
    </row>
    <row r="3" spans="1:24" x14ac:dyDescent="0.55000000000000004">
      <c r="A3" s="3" t="s">
        <v>171</v>
      </c>
      <c r="G3" t="s">
        <v>172</v>
      </c>
      <c r="H3" t="s">
        <v>173</v>
      </c>
      <c r="I3" t="s">
        <v>5</v>
      </c>
      <c r="J3" t="s">
        <v>0</v>
      </c>
      <c r="N3" t="s">
        <v>172</v>
      </c>
      <c r="O3" t="s">
        <v>173</v>
      </c>
      <c r="P3" t="s">
        <v>5</v>
      </c>
      <c r="Q3" t="s">
        <v>0</v>
      </c>
      <c r="T3" t="s">
        <v>174</v>
      </c>
      <c r="W3" t="s">
        <v>5</v>
      </c>
      <c r="X3" t="s">
        <v>0</v>
      </c>
    </row>
    <row r="4" spans="1:24" x14ac:dyDescent="0.55000000000000004">
      <c r="A4" t="s">
        <v>175</v>
      </c>
      <c r="C4">
        <v>100</v>
      </c>
      <c r="F4" t="s">
        <v>176</v>
      </c>
      <c r="G4">
        <v>184</v>
      </c>
      <c r="H4" t="s">
        <v>177</v>
      </c>
      <c r="I4" t="s">
        <v>178</v>
      </c>
      <c r="J4" t="s">
        <v>179</v>
      </c>
      <c r="M4" t="s">
        <v>176</v>
      </c>
      <c r="N4">
        <v>1.1952</v>
      </c>
      <c r="O4" t="s">
        <v>180</v>
      </c>
      <c r="P4" t="s">
        <v>178</v>
      </c>
      <c r="Q4" t="s">
        <v>181</v>
      </c>
      <c r="T4" t="s">
        <v>182</v>
      </c>
      <c r="U4">
        <v>25454</v>
      </c>
    </row>
    <row r="5" spans="1:24" x14ac:dyDescent="0.55000000000000004">
      <c r="A5" t="s">
        <v>183</v>
      </c>
      <c r="F5" t="s">
        <v>184</v>
      </c>
      <c r="G5" s="51">
        <f>(G4*U4*U5)/(U6*1000)</f>
        <v>1156428.6419753085</v>
      </c>
      <c r="H5" t="s">
        <v>185</v>
      </c>
      <c r="I5">
        <f>G5*1000*0.00159</f>
        <v>1838721.5407407405</v>
      </c>
      <c r="M5" t="s">
        <v>186</v>
      </c>
      <c r="N5" s="175">
        <f>N4*U5/U6*U7</f>
        <v>267724.80000000005</v>
      </c>
      <c r="O5" t="s">
        <v>185</v>
      </c>
      <c r="Q5" t="s">
        <v>187</v>
      </c>
      <c r="T5" t="s">
        <v>188</v>
      </c>
      <c r="U5">
        <v>100</v>
      </c>
      <c r="V5" t="s">
        <v>189</v>
      </c>
    </row>
    <row r="6" spans="1:24" x14ac:dyDescent="0.55000000000000004">
      <c r="A6" t="s">
        <v>13</v>
      </c>
      <c r="F6" s="110" t="s">
        <v>190</v>
      </c>
      <c r="G6" s="51">
        <f>(71936.5189168857+2800)</f>
        <v>74736.518916885703</v>
      </c>
      <c r="H6" t="s">
        <v>191</v>
      </c>
      <c r="J6" t="s">
        <v>1162</v>
      </c>
      <c r="M6" s="110" t="s">
        <v>190</v>
      </c>
      <c r="N6" s="109">
        <v>71936.518916885703</v>
      </c>
      <c r="O6" t="s">
        <v>191</v>
      </c>
      <c r="T6" t="s">
        <v>192</v>
      </c>
      <c r="U6">
        <v>0.40500000000000003</v>
      </c>
      <c r="V6" t="s">
        <v>193</v>
      </c>
    </row>
    <row r="7" spans="1:24" x14ac:dyDescent="0.55000000000000004">
      <c r="A7" t="s">
        <v>14</v>
      </c>
      <c r="F7" s="110" t="s">
        <v>194</v>
      </c>
      <c r="G7" s="51">
        <f>25512.6184728981</f>
        <v>25512.618472898099</v>
      </c>
      <c r="H7" t="s">
        <v>191</v>
      </c>
      <c r="M7" s="110" t="s">
        <v>194</v>
      </c>
      <c r="N7" s="109">
        <v>25512.618472898073</v>
      </c>
      <c r="O7" t="s">
        <v>191</v>
      </c>
      <c r="T7" t="s">
        <v>195</v>
      </c>
      <c r="U7">
        <v>907.2</v>
      </c>
      <c r="V7" t="s">
        <v>196</v>
      </c>
    </row>
    <row r="8" spans="1:24" x14ac:dyDescent="0.55000000000000004">
      <c r="A8" t="s">
        <v>197</v>
      </c>
      <c r="F8" s="110" t="s">
        <v>198</v>
      </c>
      <c r="G8" s="51">
        <f>38646.9348416314</f>
        <v>38646.934841631402</v>
      </c>
      <c r="H8" t="s">
        <v>191</v>
      </c>
      <c r="M8" s="110" t="s">
        <v>198</v>
      </c>
      <c r="N8" s="109">
        <v>38646.934841631446</v>
      </c>
      <c r="O8" t="s">
        <v>191</v>
      </c>
      <c r="T8" t="s">
        <v>199</v>
      </c>
      <c r="U8">
        <v>1055</v>
      </c>
      <c r="V8" t="s">
        <v>200</v>
      </c>
    </row>
    <row r="9" spans="1:24" x14ac:dyDescent="0.55000000000000004">
      <c r="A9" t="s">
        <v>201</v>
      </c>
      <c r="F9" s="111" t="s">
        <v>202</v>
      </c>
      <c r="G9" s="51">
        <f>214174.083616557</f>
        <v>214174.08361655701</v>
      </c>
      <c r="H9" t="s">
        <v>191</v>
      </c>
      <c r="K9">
        <f>120*100*2.47*20</f>
        <v>592800.00000000012</v>
      </c>
      <c r="M9" s="110" t="s">
        <v>202</v>
      </c>
      <c r="N9" s="109">
        <v>214174.08361655689</v>
      </c>
      <c r="O9" t="s">
        <v>191</v>
      </c>
      <c r="R9" t="s">
        <v>203</v>
      </c>
      <c r="T9" t="s">
        <v>2</v>
      </c>
      <c r="U9">
        <v>78</v>
      </c>
      <c r="V9" t="s">
        <v>204</v>
      </c>
    </row>
    <row r="10" spans="1:24" x14ac:dyDescent="0.55000000000000004">
      <c r="A10" t="s">
        <v>24</v>
      </c>
      <c r="F10" s="110" t="s">
        <v>205</v>
      </c>
      <c r="G10">
        <v>971.5900028262339</v>
      </c>
      <c r="H10" t="s">
        <v>191</v>
      </c>
      <c r="M10" s="112" t="s">
        <v>205</v>
      </c>
      <c r="N10" s="109">
        <v>971.5900028262339</v>
      </c>
      <c r="O10" t="s">
        <v>191</v>
      </c>
      <c r="T10" t="s">
        <v>9</v>
      </c>
      <c r="U10">
        <v>0</v>
      </c>
      <c r="V10" t="s">
        <v>204</v>
      </c>
    </row>
    <row r="11" spans="1:24" x14ac:dyDescent="0.55000000000000004">
      <c r="A11" t="s">
        <v>23</v>
      </c>
      <c r="F11" s="113" t="s">
        <v>206</v>
      </c>
      <c r="G11">
        <v>2.0728947363607744</v>
      </c>
      <c r="H11" t="s">
        <v>191</v>
      </c>
      <c r="M11" s="114" t="s">
        <v>206</v>
      </c>
      <c r="N11" s="109">
        <v>2.0728947363607744</v>
      </c>
      <c r="O11" t="s">
        <v>191</v>
      </c>
      <c r="R11" t="s">
        <v>207</v>
      </c>
      <c r="T11" s="110" t="s">
        <v>208</v>
      </c>
      <c r="U11">
        <v>32610</v>
      </c>
      <c r="V11" t="s">
        <v>209</v>
      </c>
    </row>
    <row r="12" spans="1:24" x14ac:dyDescent="0.55000000000000004">
      <c r="A12" t="s">
        <v>22</v>
      </c>
      <c r="F12" s="115" t="s">
        <v>210</v>
      </c>
      <c r="G12" s="1">
        <v>1.325</v>
      </c>
      <c r="H12" s="1" t="s">
        <v>204</v>
      </c>
      <c r="I12" s="1" t="s">
        <v>211</v>
      </c>
      <c r="J12" s="1"/>
      <c r="M12" s="116" t="s">
        <v>212</v>
      </c>
      <c r="N12" s="1">
        <v>80937.739936037804</v>
      </c>
      <c r="O12" s="1" t="s">
        <v>213</v>
      </c>
      <c r="P12" s="1" t="s">
        <v>178</v>
      </c>
      <c r="Q12" s="1" t="s">
        <v>214</v>
      </c>
      <c r="T12" s="110" t="s">
        <v>215</v>
      </c>
      <c r="U12" s="15">
        <v>170.773</v>
      </c>
      <c r="V12" t="s">
        <v>216</v>
      </c>
    </row>
    <row r="13" spans="1:24" x14ac:dyDescent="0.55000000000000004">
      <c r="A13" t="s">
        <v>21</v>
      </c>
      <c r="F13" s="110" t="s">
        <v>217</v>
      </c>
      <c r="G13" s="15">
        <f>U12*G4</f>
        <v>31422.232</v>
      </c>
      <c r="H13" t="s">
        <v>218</v>
      </c>
      <c r="I13" t="s">
        <v>178</v>
      </c>
      <c r="J13" t="s">
        <v>203</v>
      </c>
      <c r="M13" s="116" t="s">
        <v>217</v>
      </c>
      <c r="N13" s="15">
        <f>U12*G4*U10/100</f>
        <v>0</v>
      </c>
      <c r="O13" t="s">
        <v>218</v>
      </c>
      <c r="Q13" t="s">
        <v>219</v>
      </c>
      <c r="T13" s="110" t="s">
        <v>220</v>
      </c>
      <c r="U13">
        <v>264.17200000000003</v>
      </c>
      <c r="V13" t="s">
        <v>221</v>
      </c>
    </row>
    <row r="14" spans="1:24" x14ac:dyDescent="0.55000000000000004">
      <c r="A14" t="s">
        <v>222</v>
      </c>
      <c r="F14" s="110" t="s">
        <v>223</v>
      </c>
      <c r="G14">
        <v>42.1</v>
      </c>
      <c r="H14" t="s">
        <v>204</v>
      </c>
      <c r="I14" t="s">
        <v>224</v>
      </c>
      <c r="J14" t="s">
        <v>225</v>
      </c>
      <c r="M14" s="116" t="s">
        <v>223</v>
      </c>
      <c r="N14">
        <v>43.7</v>
      </c>
      <c r="O14" t="s">
        <v>204</v>
      </c>
      <c r="P14" t="s">
        <v>224</v>
      </c>
      <c r="Q14" t="s">
        <v>225</v>
      </c>
      <c r="T14" s="110" t="s">
        <v>226</v>
      </c>
      <c r="U14">
        <v>12</v>
      </c>
      <c r="V14" t="s">
        <v>227</v>
      </c>
    </row>
    <row r="15" spans="1:24" x14ac:dyDescent="0.55000000000000004">
      <c r="A15" t="s">
        <v>15</v>
      </c>
      <c r="F15" s="110" t="s">
        <v>228</v>
      </c>
      <c r="G15">
        <v>20.5</v>
      </c>
      <c r="H15" t="s">
        <v>204</v>
      </c>
      <c r="I15" t="s">
        <v>229</v>
      </c>
      <c r="J15" t="s">
        <v>230</v>
      </c>
      <c r="M15" s="115" t="s">
        <v>231</v>
      </c>
      <c r="N15">
        <f>N5*N14/100*(1+2*U15/U14)</f>
        <v>428984.37120000011</v>
      </c>
      <c r="O15" t="s">
        <v>185</v>
      </c>
      <c r="P15" t="s">
        <v>232</v>
      </c>
      <c r="T15" s="117" t="s">
        <v>233</v>
      </c>
      <c r="U15">
        <v>16</v>
      </c>
      <c r="V15" t="s">
        <v>227</v>
      </c>
    </row>
    <row r="16" spans="1:24" x14ac:dyDescent="0.55000000000000004">
      <c r="A16" t="s">
        <v>16</v>
      </c>
      <c r="F16" s="110" t="s">
        <v>234</v>
      </c>
      <c r="G16">
        <f>(G5*(1-G15/100)*G14/100)*(1+2*U15/U14)</f>
        <v>1419186.5758617285</v>
      </c>
      <c r="H16" t="s">
        <v>185</v>
      </c>
      <c r="I16" t="s">
        <v>232</v>
      </c>
      <c r="M16" s="180" t="s">
        <v>235</v>
      </c>
      <c r="N16" s="181"/>
      <c r="O16" s="181"/>
      <c r="P16" s="181"/>
      <c r="T16" s="117" t="s">
        <v>236</v>
      </c>
      <c r="U16">
        <v>142</v>
      </c>
      <c r="V16" t="s">
        <v>227</v>
      </c>
    </row>
    <row r="17" spans="1:24" x14ac:dyDescent="0.55000000000000004">
      <c r="A17" t="s">
        <v>237</v>
      </c>
      <c r="F17" s="110" t="s">
        <v>238</v>
      </c>
      <c r="G17">
        <v>30000</v>
      </c>
      <c r="H17" t="s">
        <v>239</v>
      </c>
      <c r="I17" t="s">
        <v>240</v>
      </c>
      <c r="J17" s="42" t="s">
        <v>241</v>
      </c>
      <c r="M17" s="116" t="s">
        <v>242</v>
      </c>
      <c r="N17">
        <v>63</v>
      </c>
      <c r="O17" t="s">
        <v>243</v>
      </c>
      <c r="P17" t="s">
        <v>244</v>
      </c>
      <c r="T17" s="117" t="s">
        <v>245</v>
      </c>
      <c r="U17">
        <v>31</v>
      </c>
      <c r="V17" t="s">
        <v>227</v>
      </c>
    </row>
    <row r="18" spans="1:24" x14ac:dyDescent="0.55000000000000004">
      <c r="A18" t="s">
        <v>17</v>
      </c>
      <c r="F18" s="110" t="s">
        <v>246</v>
      </c>
      <c r="G18">
        <v>32.99</v>
      </c>
      <c r="H18" t="s">
        <v>247</v>
      </c>
      <c r="I18" t="s">
        <v>240</v>
      </c>
      <c r="J18" t="s">
        <v>248</v>
      </c>
      <c r="M18" s="116" t="s">
        <v>249</v>
      </c>
      <c r="N18" s="15">
        <v>42</v>
      </c>
      <c r="O18" t="s">
        <v>250</v>
      </c>
      <c r="P18" t="s">
        <v>244</v>
      </c>
      <c r="T18" s="117" t="s">
        <v>251</v>
      </c>
      <c r="U18">
        <v>39</v>
      </c>
      <c r="V18" t="s">
        <v>227</v>
      </c>
    </row>
    <row r="19" spans="1:24" x14ac:dyDescent="0.55000000000000004">
      <c r="A19" s="118" t="s">
        <v>18</v>
      </c>
      <c r="B19" s="119">
        <f>(G71*G72*C4/U6)*U34/(U29*1000)+G77*G5*2.2*U34/(1000*U29*1000)</f>
        <v>12810.855111374514</v>
      </c>
      <c r="C19" s="15">
        <f>N12*N5*2.2*U34/(1000*U29*1000)</f>
        <v>1175.3746278401993</v>
      </c>
      <c r="F19" s="110" t="s">
        <v>113</v>
      </c>
      <c r="G19">
        <v>97.9</v>
      </c>
      <c r="H19" t="s">
        <v>247</v>
      </c>
      <c r="I19" t="s">
        <v>240</v>
      </c>
      <c r="J19" t="s">
        <v>252</v>
      </c>
      <c r="M19" s="116" t="s">
        <v>253</v>
      </c>
      <c r="N19">
        <v>21</v>
      </c>
      <c r="O19" t="s">
        <v>250</v>
      </c>
      <c r="P19" t="s">
        <v>244</v>
      </c>
      <c r="T19" s="117" t="s">
        <v>254</v>
      </c>
      <c r="U19">
        <f>U18*2+U15</f>
        <v>94</v>
      </c>
      <c r="V19" t="s">
        <v>227</v>
      </c>
    </row>
    <row r="20" spans="1:24" x14ac:dyDescent="0.55000000000000004">
      <c r="A20" t="s">
        <v>100</v>
      </c>
      <c r="F20" s="110" t="s">
        <v>255</v>
      </c>
      <c r="G20">
        <v>61.57</v>
      </c>
      <c r="H20" t="s">
        <v>247</v>
      </c>
      <c r="I20" t="s">
        <v>240</v>
      </c>
      <c r="J20" t="s">
        <v>256</v>
      </c>
      <c r="M20" s="116" t="s">
        <v>257</v>
      </c>
      <c r="N20">
        <v>21</v>
      </c>
      <c r="O20" t="s">
        <v>250</v>
      </c>
      <c r="P20" t="s">
        <v>244</v>
      </c>
      <c r="T20" s="117" t="s">
        <v>258</v>
      </c>
      <c r="U20">
        <v>17.079999999999998</v>
      </c>
      <c r="V20" t="s">
        <v>259</v>
      </c>
      <c r="W20" t="s">
        <v>260</v>
      </c>
      <c r="X20" t="s">
        <v>261</v>
      </c>
    </row>
    <row r="21" spans="1:24" x14ac:dyDescent="0.55000000000000004">
      <c r="A21" t="s">
        <v>262</v>
      </c>
      <c r="F21" s="110" t="s">
        <v>263</v>
      </c>
      <c r="G21">
        <v>71.23</v>
      </c>
      <c r="H21" t="s">
        <v>247</v>
      </c>
      <c r="I21" t="s">
        <v>240</v>
      </c>
      <c r="J21" s="42" t="s">
        <v>264</v>
      </c>
      <c r="M21" s="116" t="s">
        <v>265</v>
      </c>
      <c r="N21">
        <v>2000</v>
      </c>
      <c r="O21" t="s">
        <v>266</v>
      </c>
      <c r="P21" t="s">
        <v>244</v>
      </c>
      <c r="Q21" t="s">
        <v>267</v>
      </c>
      <c r="T21" s="117"/>
      <c r="X21" t="s">
        <v>268</v>
      </c>
    </row>
    <row r="22" spans="1:24" x14ac:dyDescent="0.55000000000000004">
      <c r="A22" t="s">
        <v>269</v>
      </c>
      <c r="F22" s="110" t="s">
        <v>270</v>
      </c>
      <c r="G22" s="51">
        <v>921000</v>
      </c>
      <c r="H22" s="120" t="s">
        <v>271</v>
      </c>
      <c r="I22" t="s">
        <v>272</v>
      </c>
      <c r="J22" s="42" t="s">
        <v>273</v>
      </c>
      <c r="M22" s="116" t="s">
        <v>274</v>
      </c>
      <c r="N22">
        <v>658460</v>
      </c>
      <c r="O22" t="s">
        <v>275</v>
      </c>
      <c r="P22" t="s">
        <v>244</v>
      </c>
      <c r="Q22" t="s">
        <v>267</v>
      </c>
      <c r="T22" s="117" t="s">
        <v>276</v>
      </c>
      <c r="U22">
        <v>6</v>
      </c>
      <c r="V22" t="s">
        <v>277</v>
      </c>
      <c r="W22" t="s">
        <v>260</v>
      </c>
    </row>
    <row r="23" spans="1:24" x14ac:dyDescent="0.55000000000000004">
      <c r="A23" t="s">
        <v>19</v>
      </c>
      <c r="F23" s="110" t="s">
        <v>278</v>
      </c>
      <c r="G23">
        <v>219</v>
      </c>
      <c r="H23" t="s">
        <v>247</v>
      </c>
      <c r="I23" t="s">
        <v>240</v>
      </c>
      <c r="J23" s="42"/>
      <c r="M23" s="116" t="s">
        <v>279</v>
      </c>
      <c r="N23">
        <f>N22*(N17*N18)/100*U37</f>
        <v>17422851600</v>
      </c>
      <c r="O23" t="s">
        <v>185</v>
      </c>
      <c r="P23" t="s">
        <v>244</v>
      </c>
      <c r="Q23" t="s">
        <v>280</v>
      </c>
      <c r="T23" s="117" t="s">
        <v>281</v>
      </c>
      <c r="U23">
        <v>1.4E-2</v>
      </c>
      <c r="V23" t="s">
        <v>68</v>
      </c>
      <c r="W23" t="s">
        <v>260</v>
      </c>
    </row>
    <row r="24" spans="1:24" x14ac:dyDescent="0.55000000000000004">
      <c r="A24" t="s">
        <v>282</v>
      </c>
      <c r="F24" s="110" t="s">
        <v>283</v>
      </c>
      <c r="G24" s="121">
        <v>4.07</v>
      </c>
      <c r="H24" t="s">
        <v>284</v>
      </c>
      <c r="I24" t="s">
        <v>240</v>
      </c>
      <c r="J24" s="42" t="s">
        <v>285</v>
      </c>
      <c r="M24" s="116" t="s">
        <v>286</v>
      </c>
      <c r="N24">
        <v>329.23</v>
      </c>
      <c r="O24" t="s">
        <v>287</v>
      </c>
      <c r="P24" t="s">
        <v>244</v>
      </c>
      <c r="T24" s="117" t="s">
        <v>288</v>
      </c>
      <c r="U24">
        <v>7.0000000000000007E-2</v>
      </c>
      <c r="V24" t="s">
        <v>289</v>
      </c>
      <c r="W24" t="s">
        <v>260</v>
      </c>
    </row>
    <row r="25" spans="1:24" x14ac:dyDescent="0.55000000000000004">
      <c r="A25" t="s">
        <v>290</v>
      </c>
      <c r="F25" s="110" t="s">
        <v>291</v>
      </c>
      <c r="G25">
        <v>59.5</v>
      </c>
      <c r="H25" t="s">
        <v>204</v>
      </c>
      <c r="I25" t="s">
        <v>292</v>
      </c>
      <c r="J25" t="s">
        <v>293</v>
      </c>
      <c r="M25" s="115" t="s">
        <v>294</v>
      </c>
      <c r="T25" s="117" t="s">
        <v>295</v>
      </c>
      <c r="U25" s="36">
        <v>14000000</v>
      </c>
      <c r="V25" t="s">
        <v>296</v>
      </c>
      <c r="W25" t="s">
        <v>260</v>
      </c>
    </row>
    <row r="26" spans="1:24" x14ac:dyDescent="0.55000000000000004">
      <c r="A26" t="s">
        <v>297</v>
      </c>
      <c r="F26" s="110" t="s">
        <v>298</v>
      </c>
      <c r="G26">
        <v>2.7</v>
      </c>
      <c r="H26" t="s">
        <v>299</v>
      </c>
      <c r="I26" t="s">
        <v>300</v>
      </c>
      <c r="J26" t="s">
        <v>301</v>
      </c>
      <c r="M26" s="116" t="s">
        <v>302</v>
      </c>
      <c r="N26" s="122">
        <v>78631915</v>
      </c>
      <c r="O26" t="s">
        <v>303</v>
      </c>
      <c r="P26" t="s">
        <v>244</v>
      </c>
      <c r="T26" s="117" t="s">
        <v>304</v>
      </c>
      <c r="U26">
        <v>0.79</v>
      </c>
      <c r="V26" t="s">
        <v>305</v>
      </c>
      <c r="W26" t="s">
        <v>306</v>
      </c>
    </row>
    <row r="27" spans="1:24" x14ac:dyDescent="0.55000000000000004">
      <c r="A27" t="s">
        <v>307</v>
      </c>
      <c r="B27" s="15">
        <f>G17*C4*56/(U6*U46*2.2)</f>
        <v>2218.2610417904534</v>
      </c>
      <c r="F27" s="111" t="s">
        <v>308</v>
      </c>
      <c r="G27" s="122">
        <v>22000</v>
      </c>
      <c r="H27" t="s">
        <v>309</v>
      </c>
      <c r="I27" t="s">
        <v>292</v>
      </c>
      <c r="J27" t="s">
        <v>310</v>
      </c>
      <c r="M27" s="116" t="s">
        <v>311</v>
      </c>
      <c r="N27" s="122">
        <v>237468382</v>
      </c>
      <c r="O27" t="s">
        <v>303</v>
      </c>
      <c r="P27" t="s">
        <v>244</v>
      </c>
      <c r="T27" s="117" t="s">
        <v>312</v>
      </c>
      <c r="U27">
        <v>3785.4</v>
      </c>
      <c r="V27" t="s">
        <v>313</v>
      </c>
    </row>
    <row r="28" spans="1:24" x14ac:dyDescent="0.55000000000000004">
      <c r="F28" s="111" t="s">
        <v>314</v>
      </c>
      <c r="G28" s="122">
        <v>34500</v>
      </c>
      <c r="H28" t="s">
        <v>309</v>
      </c>
      <c r="I28" t="s">
        <v>292</v>
      </c>
      <c r="J28" t="s">
        <v>315</v>
      </c>
      <c r="M28" s="116" t="s">
        <v>316</v>
      </c>
      <c r="N28" s="122">
        <v>69982404</v>
      </c>
      <c r="O28" t="s">
        <v>303</v>
      </c>
      <c r="P28" t="s">
        <v>244</v>
      </c>
      <c r="T28" s="117" t="s">
        <v>317</v>
      </c>
      <c r="U28">
        <f>0.4641/0.4859</f>
        <v>0.95513480139946494</v>
      </c>
      <c r="V28" t="s">
        <v>318</v>
      </c>
      <c r="W28" t="s">
        <v>292</v>
      </c>
    </row>
    <row r="29" spans="1:24" x14ac:dyDescent="0.55000000000000004">
      <c r="A29" s="3" t="s">
        <v>26</v>
      </c>
      <c r="F29" s="110" t="s">
        <v>319</v>
      </c>
      <c r="G29">
        <v>31.7</v>
      </c>
      <c r="H29" t="s">
        <v>320</v>
      </c>
      <c r="I29" t="s">
        <v>292</v>
      </c>
      <c r="J29" t="s">
        <v>321</v>
      </c>
      <c r="M29" s="116" t="s">
        <v>322</v>
      </c>
      <c r="N29" s="122">
        <v>61490157</v>
      </c>
      <c r="O29" t="s">
        <v>303</v>
      </c>
      <c r="P29" t="s">
        <v>244</v>
      </c>
      <c r="T29" s="117" t="s">
        <v>323</v>
      </c>
      <c r="U29">
        <v>128450</v>
      </c>
      <c r="V29" t="s">
        <v>324</v>
      </c>
      <c r="W29" t="s">
        <v>178</v>
      </c>
    </row>
    <row r="30" spans="1:24" x14ac:dyDescent="0.55000000000000004">
      <c r="A30" t="s">
        <v>36</v>
      </c>
      <c r="F30" s="110" t="s">
        <v>325</v>
      </c>
      <c r="G30">
        <v>53.5</v>
      </c>
      <c r="H30" t="s">
        <v>320</v>
      </c>
      <c r="I30" t="s">
        <v>292</v>
      </c>
      <c r="M30" s="116" t="s">
        <v>326</v>
      </c>
      <c r="N30" s="122">
        <v>55341142</v>
      </c>
      <c r="O30" t="s">
        <v>303</v>
      </c>
      <c r="P30" t="s">
        <v>244</v>
      </c>
      <c r="T30" s="117" t="s">
        <v>327</v>
      </c>
      <c r="U30">
        <v>983</v>
      </c>
      <c r="V30" t="s">
        <v>328</v>
      </c>
      <c r="W30" t="s">
        <v>178</v>
      </c>
    </row>
    <row r="31" spans="1:24" x14ac:dyDescent="0.55000000000000004">
      <c r="A31" t="s">
        <v>37</v>
      </c>
      <c r="F31" s="110" t="s">
        <v>329</v>
      </c>
      <c r="G31">
        <v>20.399999999999999</v>
      </c>
      <c r="H31" t="s">
        <v>320</v>
      </c>
      <c r="I31" t="s">
        <v>292</v>
      </c>
      <c r="M31" s="116" t="s">
        <v>330</v>
      </c>
      <c r="N31" s="122">
        <v>368940944</v>
      </c>
      <c r="O31" t="s">
        <v>303</v>
      </c>
      <c r="P31" t="s">
        <v>244</v>
      </c>
      <c r="T31" s="117" t="s">
        <v>159</v>
      </c>
      <c r="U31">
        <v>112194</v>
      </c>
      <c r="V31" t="s">
        <v>324</v>
      </c>
      <c r="W31" t="s">
        <v>178</v>
      </c>
    </row>
    <row r="32" spans="1:24" x14ac:dyDescent="0.55000000000000004">
      <c r="A32" t="s">
        <v>38</v>
      </c>
      <c r="F32" s="110" t="s">
        <v>331</v>
      </c>
      <c r="G32">
        <v>2.4</v>
      </c>
      <c r="H32" t="s">
        <v>320</v>
      </c>
      <c r="I32" t="s">
        <v>292</v>
      </c>
      <c r="M32" s="116" t="s">
        <v>4</v>
      </c>
      <c r="N32" s="122">
        <v>4717915</v>
      </c>
      <c r="O32" t="s">
        <v>303</v>
      </c>
      <c r="P32" t="s">
        <v>244</v>
      </c>
      <c r="T32" s="117" t="s">
        <v>332</v>
      </c>
      <c r="U32">
        <v>84950</v>
      </c>
      <c r="V32" t="s">
        <v>324</v>
      </c>
      <c r="W32" t="s">
        <v>178</v>
      </c>
    </row>
    <row r="33" spans="1:24" x14ac:dyDescent="0.55000000000000004">
      <c r="A33" t="s">
        <v>41</v>
      </c>
      <c r="F33" s="110" t="s">
        <v>333</v>
      </c>
      <c r="G33">
        <v>42623</v>
      </c>
      <c r="H33" t="s">
        <v>334</v>
      </c>
      <c r="I33" t="s">
        <v>292</v>
      </c>
      <c r="M33" s="116" t="s">
        <v>335</v>
      </c>
      <c r="N33" s="122">
        <v>429000000</v>
      </c>
      <c r="O33" t="s">
        <v>303</v>
      </c>
      <c r="P33" t="s">
        <v>244</v>
      </c>
      <c r="R33" s="36"/>
      <c r="S33" s="36"/>
      <c r="T33" s="117" t="s">
        <v>336</v>
      </c>
      <c r="U33">
        <v>2836</v>
      </c>
      <c r="V33" t="s">
        <v>337</v>
      </c>
      <c r="W33" t="s">
        <v>178</v>
      </c>
    </row>
    <row r="34" spans="1:24" x14ac:dyDescent="0.55000000000000004">
      <c r="A34" t="s">
        <v>39</v>
      </c>
      <c r="F34" s="110" t="s">
        <v>338</v>
      </c>
      <c r="G34">
        <v>12.9</v>
      </c>
      <c r="H34" t="s">
        <v>320</v>
      </c>
      <c r="I34" t="s">
        <v>292</v>
      </c>
      <c r="J34" t="s">
        <v>339</v>
      </c>
      <c r="M34" s="116" t="s">
        <v>340</v>
      </c>
      <c r="N34" s="122">
        <v>15744489</v>
      </c>
      <c r="O34" t="s">
        <v>341</v>
      </c>
      <c r="P34" t="s">
        <v>244</v>
      </c>
      <c r="T34" t="s">
        <v>342</v>
      </c>
      <c r="U34">
        <v>3167</v>
      </c>
      <c r="V34" t="s">
        <v>337</v>
      </c>
      <c r="W34" t="s">
        <v>178</v>
      </c>
    </row>
    <row r="35" spans="1:24" x14ac:dyDescent="0.55000000000000004">
      <c r="A35" s="123" t="s">
        <v>40</v>
      </c>
      <c r="B35" s="123"/>
      <c r="C35" s="124">
        <f>N5</f>
        <v>267724.80000000005</v>
      </c>
      <c r="F35" s="110" t="s">
        <v>343</v>
      </c>
      <c r="G35" s="15">
        <v>10</v>
      </c>
      <c r="H35" t="s">
        <v>204</v>
      </c>
      <c r="I35" t="s">
        <v>292</v>
      </c>
      <c r="M35" s="116" t="s">
        <v>344</v>
      </c>
      <c r="N35">
        <v>83</v>
      </c>
      <c r="O35" t="s">
        <v>66</v>
      </c>
      <c r="P35" t="s">
        <v>244</v>
      </c>
      <c r="T35" t="s">
        <v>345</v>
      </c>
      <c r="U35">
        <v>0.753</v>
      </c>
      <c r="V35" t="s">
        <v>346</v>
      </c>
      <c r="W35" t="s">
        <v>347</v>
      </c>
    </row>
    <row r="36" spans="1:24" x14ac:dyDescent="0.55000000000000004">
      <c r="A36" t="s">
        <v>42</v>
      </c>
      <c r="C36" s="15"/>
      <c r="F36" s="110" t="s">
        <v>348</v>
      </c>
      <c r="G36">
        <v>6.25</v>
      </c>
      <c r="H36" t="s">
        <v>204</v>
      </c>
      <c r="I36" t="s">
        <v>292</v>
      </c>
      <c r="M36" s="116" t="s">
        <v>349</v>
      </c>
      <c r="N36">
        <v>5.3999999999999999E-2</v>
      </c>
      <c r="O36" t="s">
        <v>67</v>
      </c>
      <c r="P36" t="s">
        <v>244</v>
      </c>
      <c r="T36" t="s">
        <v>350</v>
      </c>
      <c r="U36">
        <v>1.33</v>
      </c>
      <c r="V36" t="s">
        <v>60</v>
      </c>
      <c r="W36" t="s">
        <v>351</v>
      </c>
      <c r="X36" t="s">
        <v>352</v>
      </c>
    </row>
    <row r="37" spans="1:24" x14ac:dyDescent="0.55000000000000004">
      <c r="A37" s="123" t="s">
        <v>353</v>
      </c>
      <c r="B37" s="124">
        <f>G68*G5*(1-G15/100)*2.2/2000</f>
        <v>560.31307169265403</v>
      </c>
      <c r="C37" s="124">
        <f>N80*1000000/O80*U$44/U$45*C35/(N73*U$44/U$45)*(0.93)</f>
        <v>5896.676159872286</v>
      </c>
      <c r="F37" s="110" t="s">
        <v>354</v>
      </c>
      <c r="G37">
        <v>6.25</v>
      </c>
      <c r="H37" t="s">
        <v>204</v>
      </c>
      <c r="I37" t="s">
        <v>292</v>
      </c>
      <c r="M37" s="116" t="s">
        <v>355</v>
      </c>
      <c r="N37" s="122">
        <v>11490</v>
      </c>
      <c r="O37" t="s">
        <v>356</v>
      </c>
      <c r="P37" t="s">
        <v>244</v>
      </c>
      <c r="T37" t="s">
        <v>357</v>
      </c>
      <c r="U37">
        <v>1000</v>
      </c>
      <c r="V37" t="s">
        <v>358</v>
      </c>
    </row>
    <row r="38" spans="1:24" x14ac:dyDescent="0.55000000000000004">
      <c r="A38" s="123" t="s">
        <v>359</v>
      </c>
      <c r="B38" s="123"/>
      <c r="C38" s="124">
        <f>(N81+N87)*1000000/O81*U$44/U$45*C35/(N73*U$44/U$45)</f>
        <v>3744.6399021832544</v>
      </c>
      <c r="F38" s="110" t="s">
        <v>360</v>
      </c>
      <c r="G38">
        <v>37</v>
      </c>
      <c r="H38" t="s">
        <v>204</v>
      </c>
      <c r="I38" t="s">
        <v>292</v>
      </c>
      <c r="M38" s="116" t="s">
        <v>361</v>
      </c>
      <c r="N38" s="122">
        <v>223000000</v>
      </c>
      <c r="O38" t="s">
        <v>362</v>
      </c>
      <c r="P38" t="s">
        <v>244</v>
      </c>
      <c r="T38" t="s">
        <v>363</v>
      </c>
      <c r="U38">
        <v>298</v>
      </c>
      <c r="V38" t="s">
        <v>364</v>
      </c>
      <c r="W38" t="s">
        <v>365</v>
      </c>
    </row>
    <row r="39" spans="1:24" x14ac:dyDescent="0.55000000000000004">
      <c r="A39" s="125" t="s">
        <v>366</v>
      </c>
      <c r="B39" s="123"/>
      <c r="C39" s="124">
        <f>(N82+N86)*1000000/O82*U$44/U$45*C35/(N73*U$44/U$45)</f>
        <v>4232.734116891249</v>
      </c>
      <c r="F39" s="110" t="s">
        <v>367</v>
      </c>
      <c r="G39">
        <v>39.5</v>
      </c>
      <c r="H39" t="s">
        <v>204</v>
      </c>
      <c r="I39" t="s">
        <v>292</v>
      </c>
      <c r="J39" t="s">
        <v>368</v>
      </c>
      <c r="M39" s="116" t="s">
        <v>369</v>
      </c>
      <c r="N39" s="122">
        <v>1770000</v>
      </c>
      <c r="O39" t="s">
        <v>341</v>
      </c>
      <c r="P39" t="s">
        <v>244</v>
      </c>
      <c r="T39" t="s">
        <v>370</v>
      </c>
      <c r="U39">
        <v>3.6</v>
      </c>
      <c r="V39" t="s">
        <v>371</v>
      </c>
    </row>
    <row r="40" spans="1:24" x14ac:dyDescent="0.55000000000000004">
      <c r="A40" s="125" t="s">
        <v>372</v>
      </c>
      <c r="B40" s="123"/>
      <c r="C40" s="124">
        <f>N83*1000000/O83*U$44/U$45*C35/(N73*U$44/U$45)</f>
        <v>456.47062005741634</v>
      </c>
      <c r="F40" s="110" t="s">
        <v>373</v>
      </c>
      <c r="G40">
        <v>1</v>
      </c>
      <c r="H40" t="s">
        <v>204</v>
      </c>
      <c r="I40" t="s">
        <v>292</v>
      </c>
      <c r="M40" s="116" t="s">
        <v>350</v>
      </c>
      <c r="N40">
        <v>1.33</v>
      </c>
      <c r="O40" t="s">
        <v>60</v>
      </c>
      <c r="P40" t="s">
        <v>244</v>
      </c>
      <c r="T40" t="s">
        <v>374</v>
      </c>
      <c r="U40">
        <v>18960</v>
      </c>
      <c r="V40" t="s">
        <v>375</v>
      </c>
      <c r="W40" t="s">
        <v>178</v>
      </c>
    </row>
    <row r="41" spans="1:24" x14ac:dyDescent="0.55000000000000004">
      <c r="A41" s="125" t="s">
        <v>376</v>
      </c>
      <c r="B41" s="123"/>
      <c r="C41" s="124">
        <f>N84*1000000/O84*U$44/U$45*C35/(N73*U$44/U$45)</f>
        <v>142.34337232866173</v>
      </c>
      <c r="F41" s="110" t="s">
        <v>377</v>
      </c>
      <c r="G41">
        <v>46.7</v>
      </c>
      <c r="H41" t="s">
        <v>378</v>
      </c>
      <c r="I41" t="s">
        <v>260</v>
      </c>
      <c r="J41" t="s">
        <v>379</v>
      </c>
      <c r="M41" s="116" t="s">
        <v>380</v>
      </c>
      <c r="N41" s="122">
        <v>2041</v>
      </c>
      <c r="O41" t="s">
        <v>381</v>
      </c>
      <c r="P41" t="s">
        <v>244</v>
      </c>
      <c r="T41" t="s">
        <v>382</v>
      </c>
      <c r="U41">
        <v>2988</v>
      </c>
      <c r="V41" t="s">
        <v>337</v>
      </c>
      <c r="W41" t="s">
        <v>178</v>
      </c>
    </row>
    <row r="42" spans="1:24" x14ac:dyDescent="0.55000000000000004">
      <c r="A42" s="125" t="s">
        <v>383</v>
      </c>
      <c r="B42" s="123"/>
      <c r="C42" s="124">
        <f>N85*1000000/O85*U$44/U$45*C35/(N73*U$44/U$45)</f>
        <v>7762.0465613805</v>
      </c>
      <c r="F42" s="6" t="s">
        <v>384</v>
      </c>
      <c r="G42">
        <v>3.4</v>
      </c>
      <c r="H42" t="s">
        <v>378</v>
      </c>
      <c r="I42" t="s">
        <v>260</v>
      </c>
      <c r="M42" s="116" t="s">
        <v>385</v>
      </c>
      <c r="N42" s="122">
        <v>10.8</v>
      </c>
      <c r="O42" t="s">
        <v>204</v>
      </c>
      <c r="P42" t="s">
        <v>211</v>
      </c>
      <c r="Q42" t="s">
        <v>386</v>
      </c>
      <c r="T42" t="s">
        <v>387</v>
      </c>
      <c r="U42">
        <v>3036</v>
      </c>
      <c r="V42" t="s">
        <v>337</v>
      </c>
      <c r="W42" t="s">
        <v>388</v>
      </c>
    </row>
    <row r="43" spans="1:24" x14ac:dyDescent="0.55000000000000004">
      <c r="A43" s="125" t="s">
        <v>389</v>
      </c>
      <c r="B43" s="123"/>
      <c r="C43" s="124">
        <f>N88*1000000/O88*U$44/U$45*C35/(N73*U$44/U$45)</f>
        <v>218.41167304760549</v>
      </c>
      <c r="F43" s="126" t="s">
        <v>390</v>
      </c>
      <c r="G43">
        <v>5.3</v>
      </c>
      <c r="H43" t="s">
        <v>378</v>
      </c>
      <c r="I43" t="s">
        <v>260</v>
      </c>
      <c r="M43" s="116" t="s">
        <v>391</v>
      </c>
      <c r="N43" s="122">
        <v>184</v>
      </c>
      <c r="O43" t="s">
        <v>392</v>
      </c>
      <c r="P43" t="s">
        <v>211</v>
      </c>
      <c r="Q43" s="42" t="s">
        <v>393</v>
      </c>
      <c r="T43" t="s">
        <v>394</v>
      </c>
      <c r="U43">
        <v>46</v>
      </c>
      <c r="V43" t="s">
        <v>395</v>
      </c>
    </row>
    <row r="44" spans="1:24" x14ac:dyDescent="0.55000000000000004">
      <c r="A44" s="125" t="s">
        <v>396</v>
      </c>
      <c r="B44" s="123"/>
      <c r="C44" s="124">
        <f>N89*1000000/O89*U$44/U$45*C35/(N73*U$44/U$45)</f>
        <v>50.249568193111642</v>
      </c>
      <c r="F44" s="126" t="s">
        <v>397</v>
      </c>
      <c r="G44">
        <v>10.5</v>
      </c>
      <c r="H44" t="s">
        <v>378</v>
      </c>
      <c r="I44" t="s">
        <v>260</v>
      </c>
      <c r="M44" s="116" t="s">
        <v>398</v>
      </c>
      <c r="N44" s="122">
        <f>44600+109000+124000</f>
        <v>277600</v>
      </c>
      <c r="O44" t="s">
        <v>399</v>
      </c>
      <c r="P44" t="s">
        <v>211</v>
      </c>
      <c r="Q44" s="42" t="s">
        <v>393</v>
      </c>
      <c r="T44" t="s">
        <v>400</v>
      </c>
      <c r="U44">
        <v>2000</v>
      </c>
      <c r="V44" t="s">
        <v>401</v>
      </c>
    </row>
    <row r="45" spans="1:24" x14ac:dyDescent="0.55000000000000004">
      <c r="A45" s="125" t="s">
        <v>402</v>
      </c>
      <c r="B45" s="123"/>
      <c r="C45" s="124">
        <f>N90*1000000/O90*U$44/U$45*C35/(N73*U$44/U$45)</f>
        <v>7225.6304535347763</v>
      </c>
      <c r="F45" s="126" t="s">
        <v>403</v>
      </c>
      <c r="G45">
        <v>8</v>
      </c>
      <c r="H45" t="s">
        <v>378</v>
      </c>
      <c r="I45" t="s">
        <v>260</v>
      </c>
      <c r="M45" s="116" t="s">
        <v>404</v>
      </c>
      <c r="N45" s="122">
        <v>8010</v>
      </c>
      <c r="O45" t="s">
        <v>392</v>
      </c>
      <c r="P45" t="s">
        <v>211</v>
      </c>
      <c r="Q45" t="s">
        <v>393</v>
      </c>
      <c r="T45" t="s">
        <v>405</v>
      </c>
      <c r="U45">
        <v>2.2000000000000002</v>
      </c>
      <c r="V45" t="s">
        <v>406</v>
      </c>
    </row>
    <row r="46" spans="1:24" x14ac:dyDescent="0.55000000000000004">
      <c r="A46" s="125" t="s">
        <v>407</v>
      </c>
      <c r="B46" s="123"/>
      <c r="C46" s="124">
        <f>N91*1000000/O91*U$44/U$45*C35/(N73*U$44/U$45)</f>
        <v>0.76419275704799705</v>
      </c>
      <c r="F46" s="126" t="s">
        <v>408</v>
      </c>
      <c r="G46">
        <v>17.8</v>
      </c>
      <c r="H46" t="s">
        <v>378</v>
      </c>
      <c r="I46" t="s">
        <v>260</v>
      </c>
      <c r="M46" s="116" t="s">
        <v>409</v>
      </c>
      <c r="N46" s="122">
        <v>543000</v>
      </c>
      <c r="O46" t="s">
        <v>399</v>
      </c>
      <c r="P46" t="s">
        <v>211</v>
      </c>
      <c r="Q46" s="42" t="s">
        <v>393</v>
      </c>
      <c r="T46" t="s">
        <v>410</v>
      </c>
      <c r="U46">
        <v>85000</v>
      </c>
      <c r="V46" t="s">
        <v>411</v>
      </c>
      <c r="W46" t="s">
        <v>412</v>
      </c>
      <c r="X46" t="s">
        <v>413</v>
      </c>
    </row>
    <row r="47" spans="1:24" x14ac:dyDescent="0.55000000000000004">
      <c r="A47" s="125" t="s">
        <v>414</v>
      </c>
      <c r="B47" s="123"/>
      <c r="C47" s="124">
        <f>N92*1000000/O92*U$44/U$45*C35/(N73*U$44/U$45)</f>
        <v>2872.3266608975127</v>
      </c>
      <c r="F47" s="126" t="s">
        <v>415</v>
      </c>
      <c r="G47">
        <v>1.7</v>
      </c>
      <c r="H47" t="s">
        <v>378</v>
      </c>
      <c r="I47" t="s">
        <v>260</v>
      </c>
      <c r="M47" s="116" t="s">
        <v>416</v>
      </c>
      <c r="N47" s="122">
        <v>754</v>
      </c>
      <c r="O47" t="s">
        <v>392</v>
      </c>
      <c r="P47" t="s">
        <v>211</v>
      </c>
      <c r="Q47" t="s">
        <v>393</v>
      </c>
    </row>
    <row r="48" spans="1:24" x14ac:dyDescent="0.55000000000000004">
      <c r="A48" s="125" t="s">
        <v>417</v>
      </c>
      <c r="B48" s="123"/>
      <c r="C48" s="124">
        <f>N93*1000000/O93*U$44/U$45*C35/(N73*U$44/U$45)</f>
        <v>7.6509366099412119</v>
      </c>
      <c r="F48" s="127" t="s">
        <v>418</v>
      </c>
      <c r="M48" s="116" t="s">
        <v>419</v>
      </c>
      <c r="N48" s="122">
        <v>1.3999999999999999E-4</v>
      </c>
      <c r="O48" t="s">
        <v>392</v>
      </c>
      <c r="P48" t="s">
        <v>211</v>
      </c>
      <c r="Q48" t="s">
        <v>393</v>
      </c>
    </row>
    <row r="49" spans="1:21" x14ac:dyDescent="0.55000000000000004">
      <c r="A49" s="127" t="s">
        <v>420</v>
      </c>
      <c r="C49" s="15"/>
      <c r="F49" s="6" t="s">
        <v>2</v>
      </c>
      <c r="G49">
        <v>31024000</v>
      </c>
      <c r="H49" t="s">
        <v>303</v>
      </c>
      <c r="I49" t="s">
        <v>260</v>
      </c>
      <c r="M49" s="116" t="s">
        <v>421</v>
      </c>
      <c r="N49" s="122">
        <v>84.9</v>
      </c>
      <c r="O49" t="s">
        <v>392</v>
      </c>
      <c r="P49" t="s">
        <v>211</v>
      </c>
      <c r="Q49" t="s">
        <v>393</v>
      </c>
    </row>
    <row r="50" spans="1:21" x14ac:dyDescent="0.55000000000000004">
      <c r="A50" t="s">
        <v>422</v>
      </c>
      <c r="C50" s="15"/>
      <c r="F50" s="6" t="s">
        <v>423</v>
      </c>
      <c r="G50">
        <v>1038000</v>
      </c>
      <c r="H50" t="s">
        <v>303</v>
      </c>
      <c r="I50" t="s">
        <v>260</v>
      </c>
      <c r="M50" s="128" t="s">
        <v>424</v>
      </c>
      <c r="N50" s="122">
        <v>12300</v>
      </c>
      <c r="O50" t="s">
        <v>392</v>
      </c>
      <c r="P50" t="s">
        <v>211</v>
      </c>
      <c r="Q50" t="s">
        <v>393</v>
      </c>
    </row>
    <row r="51" spans="1:21" x14ac:dyDescent="0.55000000000000004">
      <c r="A51" t="s">
        <v>425</v>
      </c>
      <c r="C51" s="15"/>
      <c r="F51" s="6" t="s">
        <v>426</v>
      </c>
      <c r="G51">
        <v>2016000</v>
      </c>
      <c r="H51" t="s">
        <v>303</v>
      </c>
      <c r="I51" t="s">
        <v>260</v>
      </c>
      <c r="M51" s="128" t="s">
        <v>427</v>
      </c>
      <c r="N51" s="122">
        <v>0.45</v>
      </c>
      <c r="O51" t="s">
        <v>392</v>
      </c>
      <c r="P51" t="s">
        <v>211</v>
      </c>
      <c r="Q51" t="s">
        <v>428</v>
      </c>
    </row>
    <row r="52" spans="1:21" x14ac:dyDescent="0.55000000000000004">
      <c r="A52" t="s">
        <v>429</v>
      </c>
      <c r="C52" s="15"/>
      <c r="F52" s="6" t="s">
        <v>430</v>
      </c>
      <c r="G52">
        <v>477000</v>
      </c>
      <c r="H52" t="s">
        <v>303</v>
      </c>
      <c r="I52" t="s">
        <v>260</v>
      </c>
      <c r="M52" s="128" t="s">
        <v>431</v>
      </c>
      <c r="N52" s="122">
        <v>0.73</v>
      </c>
      <c r="O52" t="s">
        <v>392</v>
      </c>
      <c r="P52" t="s">
        <v>211</v>
      </c>
      <c r="Q52" t="s">
        <v>432</v>
      </c>
    </row>
    <row r="53" spans="1:21" x14ac:dyDescent="0.55000000000000004">
      <c r="A53" t="s">
        <v>433</v>
      </c>
      <c r="C53" s="15"/>
      <c r="F53" s="6" t="s">
        <v>434</v>
      </c>
      <c r="G53">
        <v>496000</v>
      </c>
      <c r="H53" t="s">
        <v>303</v>
      </c>
      <c r="I53" t="s">
        <v>260</v>
      </c>
      <c r="M53" s="128" t="s">
        <v>435</v>
      </c>
      <c r="N53" s="122">
        <v>291000</v>
      </c>
      <c r="O53" t="s">
        <v>399</v>
      </c>
      <c r="P53" t="s">
        <v>211</v>
      </c>
    </row>
    <row r="54" spans="1:21" x14ac:dyDescent="0.55000000000000004">
      <c r="A54" t="s">
        <v>436</v>
      </c>
      <c r="C54" s="15"/>
      <c r="F54" s="162" t="s">
        <v>3</v>
      </c>
      <c r="G54" s="163">
        <v>2.7</v>
      </c>
      <c r="H54" s="163" t="s">
        <v>1122</v>
      </c>
      <c r="I54" s="163" t="s">
        <v>178</v>
      </c>
      <c r="M54" s="128"/>
      <c r="N54" s="122"/>
    </row>
    <row r="55" spans="1:21" x14ac:dyDescent="0.55000000000000004">
      <c r="A55" t="s">
        <v>439</v>
      </c>
      <c r="C55" s="15"/>
      <c r="F55" s="5" t="s">
        <v>437</v>
      </c>
      <c r="M55" s="128" t="s">
        <v>438</v>
      </c>
      <c r="N55" s="122">
        <v>1070</v>
      </c>
      <c r="O55" t="s">
        <v>392</v>
      </c>
      <c r="P55" t="s">
        <v>211</v>
      </c>
    </row>
    <row r="56" spans="1:21" x14ac:dyDescent="0.55000000000000004">
      <c r="A56" t="s">
        <v>441</v>
      </c>
      <c r="C56" s="15"/>
      <c r="F56" s="6" t="s">
        <v>398</v>
      </c>
      <c r="G56">
        <v>1063000</v>
      </c>
      <c r="H56" t="s">
        <v>303</v>
      </c>
      <c r="I56" t="s">
        <v>260</v>
      </c>
      <c r="M56" s="128" t="s">
        <v>440</v>
      </c>
      <c r="N56" s="122">
        <v>7.0000000000000001E-3</v>
      </c>
      <c r="O56" t="s">
        <v>392</v>
      </c>
      <c r="P56" t="s">
        <v>211</v>
      </c>
    </row>
    <row r="57" spans="1:21" x14ac:dyDescent="0.55000000000000004">
      <c r="A57" s="123" t="s">
        <v>446</v>
      </c>
      <c r="B57" s="123">
        <f>G54*B90*1000/(U27*U26)</f>
        <v>331200</v>
      </c>
      <c r="C57" s="124">
        <f>N94*1000000/O94*U$44/U$45*C35/(N73*U$44/U$45)</f>
        <v>481871.51133359596</v>
      </c>
      <c r="D57" t="s">
        <v>1123</v>
      </c>
      <c r="F57" s="6" t="s">
        <v>442</v>
      </c>
      <c r="G57">
        <v>5054000</v>
      </c>
      <c r="H57" t="s">
        <v>303</v>
      </c>
      <c r="I57" t="s">
        <v>260</v>
      </c>
      <c r="M57" s="128" t="s">
        <v>443</v>
      </c>
      <c r="N57" s="122">
        <v>1780000</v>
      </c>
      <c r="O57" t="s">
        <v>185</v>
      </c>
      <c r="P57" t="s">
        <v>444</v>
      </c>
      <c r="Q57" t="s">
        <v>445</v>
      </c>
    </row>
    <row r="58" spans="1:21" x14ac:dyDescent="0.55000000000000004">
      <c r="A58" t="s">
        <v>449</v>
      </c>
      <c r="F58" s="6" t="s">
        <v>447</v>
      </c>
      <c r="G58">
        <v>3222000</v>
      </c>
      <c r="H58" t="s">
        <v>303</v>
      </c>
      <c r="I58" t="s">
        <v>260</v>
      </c>
      <c r="M58" s="128" t="s">
        <v>448</v>
      </c>
      <c r="N58" s="122">
        <v>291000</v>
      </c>
      <c r="O58" t="s">
        <v>399</v>
      </c>
      <c r="P58" t="s">
        <v>211</v>
      </c>
      <c r="Q58" t="s">
        <v>393</v>
      </c>
      <c r="U58">
        <f>1270000/(U31*U8)*1000000*U33/1000</f>
        <v>30429.012305783468</v>
      </c>
    </row>
    <row r="59" spans="1:21" x14ac:dyDescent="0.55000000000000004">
      <c r="A59" s="123" t="s">
        <v>451</v>
      </c>
      <c r="B59" s="123"/>
      <c r="C59" s="124">
        <f>N99*1000000/N73*C35*2.2/2000</f>
        <v>944.82956584734825</v>
      </c>
      <c r="F59" s="6" t="s">
        <v>288</v>
      </c>
      <c r="G59">
        <v>922000</v>
      </c>
      <c r="H59" t="s">
        <v>303</v>
      </c>
      <c r="I59" t="s">
        <v>260</v>
      </c>
      <c r="M59" s="129" t="s">
        <v>450</v>
      </c>
      <c r="N59" s="122"/>
      <c r="U59">
        <f>691000*1000000/(U8*U29*1000)*U34</f>
        <v>16148.773472998326</v>
      </c>
    </row>
    <row r="60" spans="1:21" x14ac:dyDescent="0.55000000000000004">
      <c r="A60" s="123" t="s">
        <v>454</v>
      </c>
      <c r="B60" s="123"/>
      <c r="C60" s="130">
        <f>N101/N73*C35*2.2/2000</f>
        <v>160963.90789133252</v>
      </c>
      <c r="F60" s="5" t="s">
        <v>452</v>
      </c>
      <c r="M60" s="116" t="s">
        <v>453</v>
      </c>
      <c r="N60" s="122">
        <v>1769722</v>
      </c>
      <c r="O60" t="s">
        <v>303</v>
      </c>
      <c r="P60" t="s">
        <v>444</v>
      </c>
    </row>
    <row r="61" spans="1:21" x14ac:dyDescent="0.55000000000000004">
      <c r="A61" t="s">
        <v>457</v>
      </c>
      <c r="F61" s="6" t="s">
        <v>455</v>
      </c>
      <c r="G61">
        <v>1037000</v>
      </c>
      <c r="H61" t="s">
        <v>303</v>
      </c>
      <c r="I61" t="s">
        <v>260</v>
      </c>
      <c r="M61" s="116" t="s">
        <v>456</v>
      </c>
      <c r="N61" s="122">
        <v>1061833</v>
      </c>
      <c r="O61" t="s">
        <v>303</v>
      </c>
      <c r="P61" t="s">
        <v>444</v>
      </c>
    </row>
    <row r="62" spans="1:21" x14ac:dyDescent="0.55000000000000004">
      <c r="A62" t="s">
        <v>459</v>
      </c>
      <c r="F62" s="6" t="s">
        <v>458</v>
      </c>
      <c r="G62">
        <v>1315000</v>
      </c>
      <c r="H62" t="s">
        <v>303</v>
      </c>
      <c r="I62" t="s">
        <v>260</v>
      </c>
      <c r="M62" s="116" t="s">
        <v>458</v>
      </c>
      <c r="N62" s="122">
        <v>3305992</v>
      </c>
      <c r="O62" t="s">
        <v>303</v>
      </c>
      <c r="P62" t="s">
        <v>444</v>
      </c>
    </row>
    <row r="63" spans="1:21" x14ac:dyDescent="0.55000000000000004">
      <c r="A63" t="s">
        <v>462</v>
      </c>
      <c r="F63" s="5" t="s">
        <v>460</v>
      </c>
      <c r="G63">
        <v>722000</v>
      </c>
      <c r="H63" t="s">
        <v>303</v>
      </c>
      <c r="I63" t="s">
        <v>260</v>
      </c>
      <c r="M63" s="115" t="s">
        <v>461</v>
      </c>
      <c r="N63" s="122"/>
    </row>
    <row r="64" spans="1:21" x14ac:dyDescent="0.55000000000000004">
      <c r="A64" t="s">
        <v>465</v>
      </c>
      <c r="F64" s="5" t="s">
        <v>463</v>
      </c>
      <c r="G64">
        <v>-11742000</v>
      </c>
      <c r="H64" t="s">
        <v>303</v>
      </c>
      <c r="I64" t="s">
        <v>260</v>
      </c>
      <c r="M64" s="116" t="s">
        <v>464</v>
      </c>
      <c r="N64" s="122">
        <v>2479494</v>
      </c>
      <c r="O64" t="s">
        <v>303</v>
      </c>
      <c r="P64" t="s">
        <v>444</v>
      </c>
    </row>
    <row r="65" spans="1:17" x14ac:dyDescent="0.55000000000000004">
      <c r="A65" t="s">
        <v>469</v>
      </c>
      <c r="F65" s="5" t="s">
        <v>466</v>
      </c>
      <c r="G65" s="36">
        <f>U25*U4/1000*(1-15.3/100)</f>
        <v>301833532</v>
      </c>
      <c r="H65" t="s">
        <v>185</v>
      </c>
      <c r="I65" t="s">
        <v>260</v>
      </c>
      <c r="J65" t="s">
        <v>467</v>
      </c>
      <c r="M65" s="116" t="s">
        <v>468</v>
      </c>
      <c r="N65" s="122">
        <v>84780000</v>
      </c>
      <c r="O65" t="s">
        <v>303</v>
      </c>
      <c r="P65" t="s">
        <v>444</v>
      </c>
    </row>
    <row r="66" spans="1:17" x14ac:dyDescent="0.55000000000000004">
      <c r="A66" t="s">
        <v>473</v>
      </c>
      <c r="F66" s="5" t="s">
        <v>470</v>
      </c>
      <c r="G66" s="36">
        <f>G65*0.082/100</f>
        <v>247503.49624000001</v>
      </c>
      <c r="H66" t="s">
        <v>185</v>
      </c>
      <c r="I66" t="s">
        <v>260</v>
      </c>
      <c r="J66" t="s">
        <v>471</v>
      </c>
      <c r="M66" s="116" t="s">
        <v>472</v>
      </c>
      <c r="N66" s="122">
        <v>1780000</v>
      </c>
      <c r="O66" t="s">
        <v>303</v>
      </c>
      <c r="P66" t="s">
        <v>444</v>
      </c>
    </row>
    <row r="67" spans="1:17" x14ac:dyDescent="0.55000000000000004">
      <c r="A67" t="s">
        <v>477</v>
      </c>
      <c r="F67" s="5" t="s">
        <v>474</v>
      </c>
      <c r="G67" s="36">
        <f>0.11/100*G65</f>
        <v>332016.88520000002</v>
      </c>
      <c r="H67" t="s">
        <v>185</v>
      </c>
      <c r="I67" t="s">
        <v>260</v>
      </c>
      <c r="J67" t="s">
        <v>475</v>
      </c>
      <c r="M67" s="116" t="s">
        <v>476</v>
      </c>
      <c r="N67" s="122">
        <v>1610000</v>
      </c>
      <c r="O67" t="s">
        <v>303</v>
      </c>
      <c r="P67" t="s">
        <v>444</v>
      </c>
    </row>
    <row r="68" spans="1:17" x14ac:dyDescent="0.55000000000000004">
      <c r="A68" t="s">
        <v>481</v>
      </c>
      <c r="F68" s="131" t="s">
        <v>478</v>
      </c>
      <c r="G68" s="132">
        <f>0.00234*T2kg*26.1%</f>
        <v>0.55405400810760008</v>
      </c>
      <c r="H68" s="51" t="s">
        <v>479</v>
      </c>
      <c r="I68" s="51" t="s">
        <v>178</v>
      </c>
      <c r="J68" t="s">
        <v>480</v>
      </c>
      <c r="M68" s="116" t="s">
        <v>330</v>
      </c>
      <c r="N68" s="122">
        <v>171817824</v>
      </c>
      <c r="O68" t="s">
        <v>271</v>
      </c>
      <c r="P68" t="s">
        <v>444</v>
      </c>
    </row>
    <row r="69" spans="1:17" x14ac:dyDescent="0.55000000000000004">
      <c r="A69" t="s">
        <v>485</v>
      </c>
      <c r="F69" s="127" t="s">
        <v>482</v>
      </c>
      <c r="G69" s="2">
        <f>11.81*7920</f>
        <v>93535.2</v>
      </c>
      <c r="H69" t="s">
        <v>185</v>
      </c>
      <c r="I69" t="s">
        <v>260</v>
      </c>
      <c r="J69" t="s">
        <v>483</v>
      </c>
      <c r="M69" s="116" t="s">
        <v>4</v>
      </c>
      <c r="N69" s="122">
        <v>2197159</v>
      </c>
      <c r="O69" t="s">
        <v>271</v>
      </c>
      <c r="P69" t="s">
        <v>444</v>
      </c>
      <c r="Q69" t="s">
        <v>484</v>
      </c>
    </row>
    <row r="70" spans="1:17" x14ac:dyDescent="0.55000000000000004">
      <c r="A70" s="5" t="s">
        <v>491</v>
      </c>
      <c r="F70" s="127" t="s">
        <v>486</v>
      </c>
      <c r="G70" s="36">
        <v>119000000</v>
      </c>
      <c r="H70" t="s">
        <v>487</v>
      </c>
      <c r="I70" t="s">
        <v>260</v>
      </c>
      <c r="J70" t="s">
        <v>488</v>
      </c>
      <c r="M70" s="116" t="s">
        <v>489</v>
      </c>
      <c r="N70" s="36">
        <v>98000</v>
      </c>
      <c r="O70" t="s">
        <v>490</v>
      </c>
      <c r="P70" t="s">
        <v>444</v>
      </c>
    </row>
    <row r="71" spans="1:17" x14ac:dyDescent="0.55000000000000004">
      <c r="A71" s="5" t="s">
        <v>495</v>
      </c>
      <c r="F71" s="127" t="s">
        <v>492</v>
      </c>
      <c r="G71" s="15">
        <v>1214948.9868609237</v>
      </c>
      <c r="H71" t="s">
        <v>493</v>
      </c>
      <c r="I71" t="s">
        <v>178</v>
      </c>
      <c r="J71" t="s">
        <v>494</v>
      </c>
    </row>
    <row r="72" spans="1:17" x14ac:dyDescent="0.55000000000000004">
      <c r="A72" s="133" t="s">
        <v>500</v>
      </c>
      <c r="B72" s="123"/>
      <c r="C72" s="124">
        <f t="shared" ref="C72:C77" si="0">C37*O80/1000</f>
        <v>479.93047265200539</v>
      </c>
      <c r="F72" s="126" t="s">
        <v>496</v>
      </c>
      <c r="G72">
        <v>0.49227384912544297</v>
      </c>
      <c r="H72" t="s">
        <v>497</v>
      </c>
      <c r="I72" t="s">
        <v>178</v>
      </c>
      <c r="J72" t="s">
        <v>498</v>
      </c>
      <c r="M72" s="182" t="s">
        <v>499</v>
      </c>
      <c r="N72" s="182"/>
      <c r="O72" s="182"/>
      <c r="P72" s="182"/>
      <c r="Q72" s="182"/>
    </row>
    <row r="73" spans="1:17" x14ac:dyDescent="0.55000000000000004">
      <c r="A73" s="133" t="s">
        <v>506</v>
      </c>
      <c r="B73" s="123"/>
      <c r="C73" s="124">
        <f t="shared" si="0"/>
        <v>1523.918654592497</v>
      </c>
      <c r="F73" t="s">
        <v>501</v>
      </c>
      <c r="G73">
        <v>0.14702546594990001</v>
      </c>
      <c r="H73" t="s">
        <v>497</v>
      </c>
      <c r="I73" t="s">
        <v>178</v>
      </c>
      <c r="M73" s="126" t="s">
        <v>502</v>
      </c>
      <c r="N73">
        <v>773000</v>
      </c>
      <c r="O73" t="s">
        <v>503</v>
      </c>
      <c r="P73" t="s">
        <v>504</v>
      </c>
      <c r="Q73" t="s">
        <v>505</v>
      </c>
    </row>
    <row r="74" spans="1:17" x14ac:dyDescent="0.55000000000000004">
      <c r="A74" s="133" t="s">
        <v>511</v>
      </c>
      <c r="B74" s="123"/>
      <c r="C74" s="124">
        <f t="shared" si="0"/>
        <v>218.19744372574388</v>
      </c>
      <c r="F74" t="s">
        <v>507</v>
      </c>
      <c r="G74">
        <v>0.13545295451313899</v>
      </c>
      <c r="H74" t="s">
        <v>497</v>
      </c>
      <c r="I74" t="s">
        <v>178</v>
      </c>
      <c r="M74" s="126" t="s">
        <v>508</v>
      </c>
      <c r="N74">
        <v>61</v>
      </c>
      <c r="O74" t="s">
        <v>509</v>
      </c>
      <c r="P74" t="s">
        <v>510</v>
      </c>
      <c r="Q74" t="s">
        <v>505</v>
      </c>
    </row>
    <row r="75" spans="1:17" x14ac:dyDescent="0.55000000000000004">
      <c r="A75" s="133" t="s">
        <v>516</v>
      </c>
      <c r="B75" s="123"/>
      <c r="C75" s="124">
        <f t="shared" si="0"/>
        <v>408.68727554980603</v>
      </c>
      <c r="F75" t="s">
        <v>512</v>
      </c>
      <c r="G75">
        <v>0.17931221943383002</v>
      </c>
      <c r="H75" t="s">
        <v>497</v>
      </c>
      <c r="I75" t="s">
        <v>178</v>
      </c>
      <c r="M75" s="126" t="s">
        <v>513</v>
      </c>
      <c r="N75">
        <v>27.61</v>
      </c>
      <c r="O75" t="s">
        <v>514</v>
      </c>
      <c r="P75" t="s">
        <v>504</v>
      </c>
      <c r="Q75" t="s">
        <v>515</v>
      </c>
    </row>
    <row r="76" spans="1:17" x14ac:dyDescent="0.55000000000000004">
      <c r="A76" s="133" t="s">
        <v>521</v>
      </c>
      <c r="B76" s="123"/>
      <c r="C76" s="124">
        <f t="shared" si="0"/>
        <v>145.46496248382925</v>
      </c>
      <c r="F76" t="s">
        <v>517</v>
      </c>
      <c r="G76">
        <v>4.5935510977688006E-2</v>
      </c>
      <c r="H76" t="s">
        <v>497</v>
      </c>
      <c r="I76" t="s">
        <v>178</v>
      </c>
      <c r="M76" s="126" t="s">
        <v>518</v>
      </c>
      <c r="N76" s="15">
        <f>N74*10^6*U41*(U14+2*U15)/(U43*10^6)</f>
        <v>174343.30434782608</v>
      </c>
      <c r="O76" t="s">
        <v>519</v>
      </c>
      <c r="P76" t="s">
        <v>510</v>
      </c>
      <c r="Q76" t="s">
        <v>520</v>
      </c>
    </row>
    <row r="77" spans="1:17" x14ac:dyDescent="0.55000000000000004">
      <c r="A77" s="133" t="s">
        <v>526</v>
      </c>
      <c r="B77" s="123"/>
      <c r="C77" s="124">
        <f t="shared" si="0"/>
        <v>4086.8727554980605</v>
      </c>
      <c r="F77" s="1" t="s">
        <v>522</v>
      </c>
      <c r="G77" s="1">
        <v>146186</v>
      </c>
      <c r="H77" s="1" t="s">
        <v>213</v>
      </c>
      <c r="I77" s="1" t="s">
        <v>178</v>
      </c>
      <c r="J77" t="s">
        <v>523</v>
      </c>
      <c r="M77" s="126" t="s">
        <v>524</v>
      </c>
      <c r="N77">
        <v>22.1</v>
      </c>
      <c r="O77" t="s">
        <v>525</v>
      </c>
      <c r="P77" t="s">
        <v>510</v>
      </c>
    </row>
    <row r="78" spans="1:17" x14ac:dyDescent="0.55000000000000004">
      <c r="A78" s="133" t="s">
        <v>532</v>
      </c>
      <c r="B78" s="123"/>
      <c r="C78" s="124">
        <f t="shared" ref="C78:C83" si="1">C43*O88/1000</f>
        <v>162.78221992238034</v>
      </c>
      <c r="F78" t="s">
        <v>527</v>
      </c>
      <c r="G78" s="134">
        <v>0.2123927642316138</v>
      </c>
      <c r="H78" t="s">
        <v>70</v>
      </c>
      <c r="I78" t="s">
        <v>178</v>
      </c>
      <c r="J78" t="s">
        <v>528</v>
      </c>
      <c r="M78" s="126" t="s">
        <v>529</v>
      </c>
      <c r="N78">
        <v>20</v>
      </c>
      <c r="O78" t="s">
        <v>530</v>
      </c>
      <c r="P78" t="s">
        <v>510</v>
      </c>
      <c r="Q78" t="s">
        <v>531</v>
      </c>
    </row>
    <row r="79" spans="1:17" x14ac:dyDescent="0.55000000000000004">
      <c r="A79" s="133" t="s">
        <v>537</v>
      </c>
      <c r="B79" s="123"/>
      <c r="C79" s="124">
        <f t="shared" si="1"/>
        <v>13.853805950840879</v>
      </c>
      <c r="F79" t="s">
        <v>533</v>
      </c>
      <c r="G79" s="134">
        <v>0.11512878031117831</v>
      </c>
      <c r="H79" t="s">
        <v>70</v>
      </c>
      <c r="I79" t="s">
        <v>178</v>
      </c>
      <c r="M79" s="135" t="s">
        <v>534</v>
      </c>
      <c r="N79" s="9" t="s">
        <v>535</v>
      </c>
      <c r="O79" s="9" t="s">
        <v>536</v>
      </c>
    </row>
    <row r="80" spans="1:17" x14ac:dyDescent="0.55000000000000004">
      <c r="A80" s="133" t="s">
        <v>542</v>
      </c>
      <c r="B80" s="123"/>
      <c r="C80" s="124">
        <f t="shared" si="1"/>
        <v>980.15677102199243</v>
      </c>
      <c r="F80" t="s">
        <v>538</v>
      </c>
      <c r="G80" s="136">
        <v>5.5170533920077799E-2</v>
      </c>
      <c r="H80" t="s">
        <v>539</v>
      </c>
      <c r="I80" t="s">
        <v>178</v>
      </c>
      <c r="M80" s="126" t="s">
        <v>540</v>
      </c>
      <c r="N80">
        <v>1.49</v>
      </c>
      <c r="O80">
        <v>81.39</v>
      </c>
      <c r="P80" t="s">
        <v>510</v>
      </c>
      <c r="Q80" t="s">
        <v>541</v>
      </c>
    </row>
    <row r="81" spans="1:17" x14ac:dyDescent="0.55000000000000004">
      <c r="A81" s="133" t="s">
        <v>544</v>
      </c>
      <c r="B81" s="123"/>
      <c r="C81" s="124">
        <f t="shared" si="1"/>
        <v>3.4634514877102212</v>
      </c>
      <c r="F81" t="s">
        <v>543</v>
      </c>
      <c r="G81" s="136">
        <v>9.2964882515629722E-3</v>
      </c>
      <c r="H81" t="s">
        <v>370</v>
      </c>
      <c r="I81" t="s">
        <v>178</v>
      </c>
      <c r="M81" s="126" t="s">
        <v>62</v>
      </c>
      <c r="N81">
        <v>3.97</v>
      </c>
      <c r="O81">
        <v>406.96</v>
      </c>
    </row>
    <row r="82" spans="1:17" x14ac:dyDescent="0.55000000000000004">
      <c r="A82" s="133" t="s">
        <v>546</v>
      </c>
      <c r="B82" s="123"/>
      <c r="C82" s="124">
        <f t="shared" si="1"/>
        <v>519.51772315653318</v>
      </c>
      <c r="F82" t="s">
        <v>545</v>
      </c>
      <c r="G82" s="136">
        <v>6.745808835334577E-4</v>
      </c>
      <c r="H82" t="s">
        <v>76</v>
      </c>
      <c r="I82" t="s">
        <v>178</v>
      </c>
      <c r="M82" s="126" t="s">
        <v>366</v>
      </c>
      <c r="N82">
        <v>0.55000000000000004</v>
      </c>
      <c r="O82">
        <v>51.55</v>
      </c>
    </row>
    <row r="83" spans="1:17" x14ac:dyDescent="0.55000000000000004">
      <c r="A83" s="133" t="s">
        <v>548</v>
      </c>
      <c r="B83" s="123"/>
      <c r="C83" s="124">
        <f t="shared" si="1"/>
        <v>20.780708926261326</v>
      </c>
      <c r="F83" t="s">
        <v>547</v>
      </c>
      <c r="G83" s="136">
        <v>1.0691470606945369E-4</v>
      </c>
      <c r="H83" t="s">
        <v>76</v>
      </c>
      <c r="I83" t="s">
        <v>178</v>
      </c>
      <c r="M83" s="126" t="s">
        <v>372</v>
      </c>
      <c r="N83">
        <v>1.18</v>
      </c>
      <c r="O83">
        <v>895.32</v>
      </c>
    </row>
    <row r="84" spans="1:17" x14ac:dyDescent="0.55000000000000004">
      <c r="A84" s="133" t="s">
        <v>549</v>
      </c>
      <c r="B84" s="123"/>
      <c r="C84" s="124">
        <f>C57*O94/1000</f>
        <v>110.83044760672708</v>
      </c>
      <c r="F84" t="s">
        <v>3</v>
      </c>
      <c r="G84" s="136">
        <v>5.6621519216734716E-2</v>
      </c>
      <c r="H84" t="s">
        <v>76</v>
      </c>
      <c r="I84" t="s">
        <v>178</v>
      </c>
      <c r="M84" s="126" t="s">
        <v>376</v>
      </c>
      <c r="N84">
        <v>0.42</v>
      </c>
      <c r="O84">
        <v>1021.93</v>
      </c>
    </row>
    <row r="85" spans="1:17" x14ac:dyDescent="0.55000000000000004">
      <c r="A85" s="133" t="s">
        <v>551</v>
      </c>
      <c r="B85" s="123"/>
      <c r="C85" s="124">
        <f>C151*O95/1000</f>
        <v>529.9080776196638</v>
      </c>
      <c r="F85" t="s">
        <v>550</v>
      </c>
      <c r="G85" s="136">
        <v>1.5782647086443161E-4</v>
      </c>
      <c r="H85" t="s">
        <v>76</v>
      </c>
      <c r="I85" t="s">
        <v>178</v>
      </c>
      <c r="M85" s="126" t="s">
        <v>383</v>
      </c>
      <c r="N85">
        <v>11.8</v>
      </c>
      <c r="O85">
        <v>526.52</v>
      </c>
    </row>
    <row r="86" spans="1:17" x14ac:dyDescent="0.55000000000000004">
      <c r="A86" s="126"/>
      <c r="B86" s="1"/>
      <c r="C86" s="137"/>
      <c r="F86" t="s">
        <v>552</v>
      </c>
      <c r="G86" s="136">
        <v>1.5782647086443161E-4</v>
      </c>
      <c r="H86" t="s">
        <v>76</v>
      </c>
      <c r="I86" t="s">
        <v>178</v>
      </c>
      <c r="M86" s="126" t="s">
        <v>553</v>
      </c>
      <c r="N86">
        <v>0.08</v>
      </c>
      <c r="O86">
        <v>51.55</v>
      </c>
    </row>
    <row r="87" spans="1:17" x14ac:dyDescent="0.55000000000000004">
      <c r="A87" s="138" t="s">
        <v>28</v>
      </c>
      <c r="B87" s="1"/>
      <c r="C87" s="137"/>
      <c r="M87" s="126" t="s">
        <v>554</v>
      </c>
      <c r="N87">
        <v>0.43</v>
      </c>
      <c r="O87">
        <v>406.96</v>
      </c>
    </row>
    <row r="88" spans="1:17" x14ac:dyDescent="0.55000000000000004">
      <c r="A88" t="s">
        <v>46</v>
      </c>
      <c r="C88" t="s">
        <v>559</v>
      </c>
      <c r="F88" t="s">
        <v>555</v>
      </c>
      <c r="G88" t="s">
        <v>556</v>
      </c>
      <c r="H88" t="s">
        <v>60</v>
      </c>
      <c r="I88" t="s">
        <v>557</v>
      </c>
      <c r="J88" t="s">
        <v>558</v>
      </c>
      <c r="M88" s="126" t="s">
        <v>389</v>
      </c>
      <c r="N88">
        <v>0.47</v>
      </c>
      <c r="O88">
        <v>745.3</v>
      </c>
    </row>
    <row r="89" spans="1:17" x14ac:dyDescent="0.55000000000000004">
      <c r="A89" t="s">
        <v>560</v>
      </c>
      <c r="M89" s="126" t="s">
        <v>396</v>
      </c>
      <c r="N89">
        <v>0.04</v>
      </c>
      <c r="O89">
        <v>275.7</v>
      </c>
    </row>
    <row r="90" spans="1:17" x14ac:dyDescent="0.55000000000000004">
      <c r="A90" s="123" t="s">
        <v>564</v>
      </c>
      <c r="B90" s="123">
        <f>'Corn data'!G5*'Corn data'!G26*1000/'Corn data'!U4*'Corn data'!U26*'Corn data'!U27/1000</f>
        <v>366830.49599999998</v>
      </c>
      <c r="C90" s="124">
        <f>C140</f>
        <v>100592.62447850547</v>
      </c>
      <c r="F90" t="s">
        <v>561</v>
      </c>
      <c r="G90">
        <v>48</v>
      </c>
      <c r="H90" t="s">
        <v>562</v>
      </c>
      <c r="I90" t="s">
        <v>563</v>
      </c>
      <c r="M90" s="126" t="s">
        <v>402</v>
      </c>
      <c r="N90">
        <v>2.83</v>
      </c>
      <c r="O90">
        <v>135.65</v>
      </c>
    </row>
    <row r="91" spans="1:17" x14ac:dyDescent="0.55000000000000004">
      <c r="A91" t="s">
        <v>48</v>
      </c>
      <c r="F91" t="s">
        <v>565</v>
      </c>
      <c r="G91">
        <v>10</v>
      </c>
      <c r="H91" t="s">
        <v>562</v>
      </c>
      <c r="I91" t="s">
        <v>563</v>
      </c>
      <c r="M91" s="126" t="s">
        <v>407</v>
      </c>
      <c r="N91">
        <v>0.01</v>
      </c>
      <c r="O91">
        <v>4532.17</v>
      </c>
    </row>
    <row r="92" spans="1:17" x14ac:dyDescent="0.55000000000000004">
      <c r="A92" t="s">
        <v>568</v>
      </c>
      <c r="F92" t="s">
        <v>566</v>
      </c>
      <c r="G92">
        <v>72</v>
      </c>
      <c r="H92" t="s">
        <v>562</v>
      </c>
      <c r="I92" t="s">
        <v>563</v>
      </c>
      <c r="J92" t="s">
        <v>567</v>
      </c>
      <c r="M92" s="126" t="s">
        <v>414</v>
      </c>
      <c r="N92">
        <v>1.5</v>
      </c>
      <c r="O92">
        <v>180.87</v>
      </c>
    </row>
    <row r="93" spans="1:17" x14ac:dyDescent="0.55000000000000004">
      <c r="A93" t="s">
        <v>571</v>
      </c>
      <c r="F93" t="s">
        <v>569</v>
      </c>
      <c r="G93">
        <f>500*365*1000*U40*U8*2.2/10^6</f>
        <v>8031124200.000001</v>
      </c>
      <c r="H93" t="s">
        <v>570</v>
      </c>
      <c r="M93" s="126" t="s">
        <v>417</v>
      </c>
      <c r="N93">
        <v>0.06</v>
      </c>
      <c r="O93">
        <v>2716.1</v>
      </c>
    </row>
    <row r="94" spans="1:17" x14ac:dyDescent="0.55000000000000004">
      <c r="A94" s="123" t="s">
        <v>573</v>
      </c>
      <c r="B94" s="123"/>
      <c r="C94" s="139">
        <f>G83*D159</f>
        <v>194.93795174167096</v>
      </c>
      <c r="F94" t="s">
        <v>572</v>
      </c>
      <c r="G94" s="15">
        <f>[3]InputOutput!G107/'Corn data'!G80</f>
        <v>5998580.7728346391</v>
      </c>
      <c r="H94" t="s">
        <v>570</v>
      </c>
      <c r="M94" s="126" t="s">
        <v>420</v>
      </c>
      <c r="N94">
        <v>0.32</v>
      </c>
      <c r="O94">
        <v>0.23</v>
      </c>
    </row>
    <row r="95" spans="1:17" x14ac:dyDescent="0.55000000000000004">
      <c r="A95" s="123" t="s">
        <v>576</v>
      </c>
      <c r="B95" s="123"/>
      <c r="C95" s="139">
        <f>G84*D159</f>
        <v>103238.21096642825</v>
      </c>
      <c r="M95" s="126" t="s">
        <v>574</v>
      </c>
      <c r="N95">
        <v>1.53</v>
      </c>
      <c r="O95">
        <v>28.86</v>
      </c>
      <c r="Q95" t="s">
        <v>575</v>
      </c>
    </row>
    <row r="96" spans="1:17" x14ac:dyDescent="0.55000000000000004">
      <c r="A96" t="s">
        <v>583</v>
      </c>
      <c r="F96" t="s">
        <v>577</v>
      </c>
      <c r="G96">
        <v>6.69</v>
      </c>
      <c r="H96" t="s">
        <v>578</v>
      </c>
      <c r="I96" t="s">
        <v>579</v>
      </c>
      <c r="J96" t="s">
        <v>580</v>
      </c>
      <c r="M96" s="126" t="s">
        <v>581</v>
      </c>
      <c r="N96">
        <v>6.15</v>
      </c>
      <c r="O96">
        <v>5.7200000000000001E-2</v>
      </c>
      <c r="Q96" t="s">
        <v>582</v>
      </c>
    </row>
    <row r="97" spans="1:17" x14ac:dyDescent="0.55000000000000004">
      <c r="A97" s="123" t="s">
        <v>585</v>
      </c>
      <c r="B97" s="123"/>
      <c r="C97" s="139">
        <f>G82*D159</f>
        <v>1229.9656478938762</v>
      </c>
      <c r="F97" t="s">
        <v>91</v>
      </c>
      <c r="G97">
        <v>0.12</v>
      </c>
      <c r="H97" t="s">
        <v>578</v>
      </c>
      <c r="I97" t="s">
        <v>504</v>
      </c>
      <c r="M97" s="126" t="s">
        <v>584</v>
      </c>
      <c r="N97">
        <v>0.41</v>
      </c>
      <c r="O97">
        <v>5.7200000000000001E-2</v>
      </c>
      <c r="Q97" t="s">
        <v>582</v>
      </c>
    </row>
    <row r="98" spans="1:17" x14ac:dyDescent="0.55000000000000004">
      <c r="A98" s="123" t="s">
        <v>586</v>
      </c>
      <c r="B98" s="123"/>
      <c r="C98" s="139">
        <f>G81*D159*U39</f>
        <v>61021.148550907048</v>
      </c>
      <c r="F98" t="s">
        <v>547</v>
      </c>
      <c r="G98">
        <v>0.21</v>
      </c>
      <c r="H98" t="s">
        <v>578</v>
      </c>
      <c r="I98" t="s">
        <v>504</v>
      </c>
      <c r="M98" s="135" t="s">
        <v>450</v>
      </c>
    </row>
    <row r="99" spans="1:17" x14ac:dyDescent="0.55000000000000004">
      <c r="A99" t="s">
        <v>441</v>
      </c>
      <c r="F99" t="s">
        <v>587</v>
      </c>
      <c r="G99">
        <v>0.15</v>
      </c>
      <c r="H99" t="s">
        <v>578</v>
      </c>
      <c r="I99" t="s">
        <v>504</v>
      </c>
      <c r="J99" t="s">
        <v>588</v>
      </c>
      <c r="M99" s="126" t="s">
        <v>453</v>
      </c>
      <c r="N99">
        <v>2.48</v>
      </c>
      <c r="O99" t="s">
        <v>589</v>
      </c>
    </row>
    <row r="100" spans="1:17" x14ac:dyDescent="0.55000000000000004">
      <c r="A100" s="123" t="s">
        <v>591</v>
      </c>
      <c r="B100" s="123"/>
      <c r="C100" s="139">
        <f>G99*C158*1000/U42</f>
        <v>2047.0807321137609</v>
      </c>
      <c r="M100" s="126" t="s">
        <v>590</v>
      </c>
      <c r="N100">
        <v>5.94</v>
      </c>
      <c r="O100" t="s">
        <v>589</v>
      </c>
    </row>
    <row r="101" spans="1:17" x14ac:dyDescent="0.55000000000000004">
      <c r="A101" s="123" t="s">
        <v>594</v>
      </c>
      <c r="B101" s="123"/>
      <c r="C101" s="139">
        <f>G96*1000*C158/U42</f>
        <v>91299.800652273741</v>
      </c>
      <c r="F101" t="s">
        <v>946</v>
      </c>
      <c r="G101" s="45">
        <f>121*247</f>
        <v>29887</v>
      </c>
      <c r="H101" t="s">
        <v>947</v>
      </c>
      <c r="M101" s="126" t="s">
        <v>592</v>
      </c>
      <c r="N101" s="120">
        <v>422500000</v>
      </c>
      <c r="P101" t="s">
        <v>510</v>
      </c>
      <c r="Q101" t="s">
        <v>593</v>
      </c>
    </row>
    <row r="102" spans="1:17" x14ac:dyDescent="0.55000000000000004">
      <c r="A102" s="123" t="s">
        <v>598</v>
      </c>
      <c r="B102" s="123"/>
      <c r="C102" s="139">
        <f>(G98+G97)*C158*1000/U42</f>
        <v>4503.5776106502726</v>
      </c>
      <c r="F102" t="s">
        <v>948</v>
      </c>
      <c r="G102" s="143">
        <f>G101*20</f>
        <v>597740</v>
      </c>
      <c r="H102" t="s">
        <v>947</v>
      </c>
      <c r="M102" s="126" t="s">
        <v>595</v>
      </c>
      <c r="N102">
        <v>182.5</v>
      </c>
      <c r="O102" t="s">
        <v>596</v>
      </c>
      <c r="P102" t="s">
        <v>504</v>
      </c>
      <c r="Q102" t="s">
        <v>597</v>
      </c>
    </row>
    <row r="103" spans="1:17" x14ac:dyDescent="0.55000000000000004">
      <c r="A103" t="s">
        <v>599</v>
      </c>
    </row>
    <row r="104" spans="1:17" x14ac:dyDescent="0.55000000000000004">
      <c r="A104" t="s">
        <v>600</v>
      </c>
    </row>
    <row r="105" spans="1:17" x14ac:dyDescent="0.55000000000000004">
      <c r="A105" t="s">
        <v>601</v>
      </c>
    </row>
    <row r="106" spans="1:17" x14ac:dyDescent="0.55000000000000004">
      <c r="A106" t="s">
        <v>602</v>
      </c>
    </row>
    <row r="107" spans="1:17" x14ac:dyDescent="0.55000000000000004">
      <c r="A107" t="s">
        <v>603</v>
      </c>
    </row>
    <row r="108" spans="1:17" x14ac:dyDescent="0.55000000000000004">
      <c r="A108" t="s">
        <v>604</v>
      </c>
    </row>
    <row r="109" spans="1:17" x14ac:dyDescent="0.55000000000000004">
      <c r="A109" t="s">
        <v>605</v>
      </c>
    </row>
    <row r="110" spans="1:17" x14ac:dyDescent="0.55000000000000004">
      <c r="A110" s="115" t="s">
        <v>427</v>
      </c>
    </row>
    <row r="111" spans="1:17" x14ac:dyDescent="0.55000000000000004">
      <c r="A111" s="115" t="s">
        <v>431</v>
      </c>
    </row>
    <row r="112" spans="1:17" x14ac:dyDescent="0.55000000000000004">
      <c r="A112" s="116"/>
    </row>
    <row r="113" spans="1:1" x14ac:dyDescent="0.55000000000000004">
      <c r="A113" s="3" t="s">
        <v>49</v>
      </c>
    </row>
    <row r="114" spans="1:1" x14ac:dyDescent="0.55000000000000004">
      <c r="A114" t="s">
        <v>50</v>
      </c>
    </row>
    <row r="115" spans="1:1" x14ac:dyDescent="0.55000000000000004">
      <c r="A115" t="s">
        <v>51</v>
      </c>
    </row>
    <row r="116" spans="1:1" x14ac:dyDescent="0.55000000000000004">
      <c r="A116" t="s">
        <v>52</v>
      </c>
    </row>
    <row r="117" spans="1:1" x14ac:dyDescent="0.55000000000000004">
      <c r="A117" t="s">
        <v>53</v>
      </c>
    </row>
    <row r="120" spans="1:1" x14ac:dyDescent="0.55000000000000004">
      <c r="A120" s="3" t="s">
        <v>29</v>
      </c>
    </row>
    <row r="121" spans="1:1" x14ac:dyDescent="0.55000000000000004">
      <c r="A121" s="3" t="s">
        <v>11</v>
      </c>
    </row>
    <row r="122" spans="1:1" x14ac:dyDescent="0.55000000000000004">
      <c r="A122" s="5" t="s">
        <v>35</v>
      </c>
    </row>
    <row r="123" spans="1:1" x14ac:dyDescent="0.55000000000000004">
      <c r="A123" t="s">
        <v>30</v>
      </c>
    </row>
    <row r="124" spans="1:1" x14ac:dyDescent="0.55000000000000004">
      <c r="A124" t="s">
        <v>31</v>
      </c>
    </row>
    <row r="125" spans="1:1" x14ac:dyDescent="0.55000000000000004">
      <c r="A125" t="s">
        <v>32</v>
      </c>
    </row>
    <row r="126" spans="1:1" x14ac:dyDescent="0.55000000000000004">
      <c r="A126" t="s">
        <v>36</v>
      </c>
    </row>
    <row r="127" spans="1:1" x14ac:dyDescent="0.55000000000000004">
      <c r="A127" t="s">
        <v>37</v>
      </c>
    </row>
    <row r="128" spans="1:1" x14ac:dyDescent="0.55000000000000004">
      <c r="A128" t="s">
        <v>38</v>
      </c>
    </row>
    <row r="129" spans="1:3" x14ac:dyDescent="0.55000000000000004">
      <c r="A129" t="s">
        <v>41</v>
      </c>
    </row>
    <row r="130" spans="1:3" x14ac:dyDescent="0.55000000000000004">
      <c r="A130" t="s">
        <v>39</v>
      </c>
    </row>
    <row r="131" spans="1:3" x14ac:dyDescent="0.55000000000000004">
      <c r="A131" s="123" t="s">
        <v>40</v>
      </c>
      <c r="B131" s="123"/>
      <c r="C131" s="124">
        <f>G5</f>
        <v>1156428.6419753085</v>
      </c>
    </row>
    <row r="132" spans="1:3" x14ac:dyDescent="0.55000000000000004">
      <c r="A132" t="s">
        <v>42</v>
      </c>
    </row>
    <row r="135" spans="1:3" x14ac:dyDescent="0.55000000000000004">
      <c r="A135" s="3" t="s">
        <v>26</v>
      </c>
    </row>
    <row r="136" spans="1:3" x14ac:dyDescent="0.55000000000000004">
      <c r="A136" t="s">
        <v>43</v>
      </c>
    </row>
    <row r="137" spans="1:3" x14ac:dyDescent="0.55000000000000004">
      <c r="A137" t="s">
        <v>44</v>
      </c>
    </row>
    <row r="138" spans="1:3" x14ac:dyDescent="0.55000000000000004">
      <c r="A138" t="s">
        <v>45</v>
      </c>
    </row>
    <row r="139" spans="1:3" x14ac:dyDescent="0.55000000000000004">
      <c r="A139" t="s">
        <v>46</v>
      </c>
    </row>
    <row r="140" spans="1:3" x14ac:dyDescent="0.55000000000000004">
      <c r="A140" s="123" t="s">
        <v>606</v>
      </c>
      <c r="B140" s="123"/>
      <c r="C140" s="124">
        <f>N74*1000000/(N73*U7)*G5</f>
        <v>100592.62447850547</v>
      </c>
    </row>
    <row r="141" spans="1:3" x14ac:dyDescent="0.55000000000000004">
      <c r="A141" t="s">
        <v>47</v>
      </c>
    </row>
    <row r="142" spans="1:3" x14ac:dyDescent="0.55000000000000004">
      <c r="A142" t="s">
        <v>48</v>
      </c>
    </row>
    <row r="143" spans="1:3" x14ac:dyDescent="0.55000000000000004">
      <c r="A143" s="5" t="s">
        <v>33</v>
      </c>
    </row>
    <row r="144" spans="1:3" x14ac:dyDescent="0.55000000000000004">
      <c r="A144" t="s">
        <v>34</v>
      </c>
    </row>
    <row r="145" spans="1:6" x14ac:dyDescent="0.55000000000000004">
      <c r="A145" s="123" t="s">
        <v>607</v>
      </c>
      <c r="B145" s="123"/>
      <c r="C145" s="124">
        <f>N76/(N73*U7)*N5*1000</f>
        <v>66559.697620788589</v>
      </c>
    </row>
    <row r="146" spans="1:6" x14ac:dyDescent="0.55000000000000004">
      <c r="A146" t="s">
        <v>608</v>
      </c>
    </row>
    <row r="147" spans="1:6" x14ac:dyDescent="0.55000000000000004">
      <c r="A147" t="s">
        <v>609</v>
      </c>
    </row>
    <row r="148" spans="1:6" x14ac:dyDescent="0.55000000000000004">
      <c r="A148" t="s">
        <v>32</v>
      </c>
    </row>
    <row r="149" spans="1:6" x14ac:dyDescent="0.55000000000000004">
      <c r="A149" t="s">
        <v>610</v>
      </c>
    </row>
    <row r="150" spans="1:6" x14ac:dyDescent="0.55000000000000004">
      <c r="A150" t="s">
        <v>611</v>
      </c>
    </row>
    <row r="151" spans="1:6" x14ac:dyDescent="0.55000000000000004">
      <c r="A151" s="123" t="s">
        <v>612</v>
      </c>
      <c r="B151" s="123"/>
      <c r="C151" s="124">
        <f>N95*1000000/O95*U$44/U$45*C35/(N73*U$44/U$45)</f>
        <v>18361.333250854601</v>
      </c>
    </row>
    <row r="152" spans="1:6" x14ac:dyDescent="0.55000000000000004">
      <c r="A152" s="123" t="s">
        <v>613</v>
      </c>
      <c r="B152" s="123"/>
      <c r="C152" s="124">
        <f>(N96+N97)*1000000/O96*C35/(N73*U$44/U$45)</f>
        <v>43692.772614190486</v>
      </c>
    </row>
    <row r="153" spans="1:6" x14ac:dyDescent="0.55000000000000004">
      <c r="A153" s="123"/>
      <c r="B153" s="123"/>
      <c r="C153" s="124"/>
    </row>
    <row r="154" spans="1:6" x14ac:dyDescent="0.55000000000000004">
      <c r="A154" s="3" t="s">
        <v>28</v>
      </c>
    </row>
    <row r="155" spans="1:6" x14ac:dyDescent="0.55000000000000004">
      <c r="A155" t="s">
        <v>50</v>
      </c>
    </row>
    <row r="156" spans="1:6" x14ac:dyDescent="0.55000000000000004">
      <c r="A156" t="s">
        <v>51</v>
      </c>
    </row>
    <row r="157" spans="1:6" x14ac:dyDescent="0.55000000000000004">
      <c r="A157" t="s">
        <v>614</v>
      </c>
    </row>
    <row r="158" spans="1:6" x14ac:dyDescent="0.55000000000000004">
      <c r="A158" s="123" t="s">
        <v>615</v>
      </c>
      <c r="B158" s="123"/>
      <c r="C158" s="139">
        <f>C140*1000000/(G80*U40*2.2*U8)</f>
        <v>41432.914017982519</v>
      </c>
    </row>
    <row r="159" spans="1:6" x14ac:dyDescent="0.55000000000000004">
      <c r="A159" t="s">
        <v>616</v>
      </c>
      <c r="D159" s="36">
        <f>C158*U40*2.2*U8/1000000</f>
        <v>1823303.4435415817</v>
      </c>
      <c r="E159" s="36"/>
      <c r="F159" t="s">
        <v>570</v>
      </c>
    </row>
    <row r="160" spans="1:6" x14ac:dyDescent="0.55000000000000004">
      <c r="A160" t="s">
        <v>617</v>
      </c>
    </row>
    <row r="161" spans="1:3" x14ac:dyDescent="0.55000000000000004">
      <c r="A161" s="123" t="s">
        <v>618</v>
      </c>
      <c r="B161" s="123"/>
      <c r="C161" s="139">
        <f>G78*D159</f>
        <v>387256.4584068167</v>
      </c>
    </row>
    <row r="162" spans="1:3" x14ac:dyDescent="0.55000000000000004">
      <c r="A162" s="123" t="s">
        <v>619</v>
      </c>
      <c r="B162" s="123"/>
      <c r="C162" s="139">
        <f>G79*D159</f>
        <v>209914.70159211365</v>
      </c>
    </row>
    <row r="163" spans="1:3" x14ac:dyDescent="0.55000000000000004">
      <c r="A163" s="123" t="s">
        <v>620</v>
      </c>
      <c r="B163" s="123"/>
      <c r="C163" s="139">
        <f>G85*D159</f>
        <v>287.7655478091333</v>
      </c>
    </row>
    <row r="164" spans="1:3" x14ac:dyDescent="0.55000000000000004">
      <c r="A164" s="123" t="s">
        <v>621</v>
      </c>
      <c r="B164" s="123"/>
      <c r="C164" s="139">
        <f>D159*G86</f>
        <v>287.7655478091333</v>
      </c>
    </row>
    <row r="165" spans="1:3" x14ac:dyDescent="0.55000000000000004">
      <c r="A165" t="s">
        <v>32</v>
      </c>
    </row>
    <row r="166" spans="1:3" x14ac:dyDescent="0.55000000000000004">
      <c r="A166" s="116" t="s">
        <v>622</v>
      </c>
    </row>
    <row r="167" spans="1:3" x14ac:dyDescent="0.55000000000000004">
      <c r="A167" s="116" t="s">
        <v>623</v>
      </c>
    </row>
    <row r="168" spans="1:3" x14ac:dyDescent="0.55000000000000004">
      <c r="A168" s="3" t="s">
        <v>49</v>
      </c>
    </row>
    <row r="169" spans="1:3" x14ac:dyDescent="0.55000000000000004">
      <c r="A169" t="s">
        <v>54</v>
      </c>
    </row>
  </sheetData>
  <mergeCells count="2">
    <mergeCell ref="M16:P16"/>
    <mergeCell ref="M72:Q72"/>
  </mergeCell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33"/>
  <sheetViews>
    <sheetView topLeftCell="B73" workbookViewId="0">
      <selection activeCell="L124" sqref="L124"/>
    </sheetView>
  </sheetViews>
  <sheetFormatPr defaultColWidth="8.7890625" defaultRowHeight="14.4" x14ac:dyDescent="0.55000000000000004"/>
  <cols>
    <col min="1" max="1" width="32.62890625" customWidth="1"/>
    <col min="2" max="2" width="14.15625" bestFit="1" customWidth="1"/>
    <col min="3" max="3" width="18.7890625" bestFit="1" customWidth="1"/>
    <col min="4" max="4" width="34.62890625" bestFit="1" customWidth="1"/>
    <col min="5" max="5" width="9.62890625" bestFit="1" customWidth="1"/>
    <col min="11" max="11" width="26.62890625" customWidth="1"/>
    <col min="12" max="12" width="15.7890625" customWidth="1"/>
    <col min="13" max="13" width="18.7890625" customWidth="1"/>
    <col min="14" max="14" width="17.15625" customWidth="1"/>
    <col min="15" max="15" width="15.47265625" customWidth="1"/>
    <col min="16" max="16" width="12" customWidth="1"/>
    <col min="17" max="21" width="8.7890625" customWidth="1"/>
    <col min="23" max="23" width="27.26171875" bestFit="1" customWidth="1"/>
    <col min="27" max="27" width="13" bestFit="1" customWidth="1"/>
  </cols>
  <sheetData>
    <row r="1" spans="1:21" x14ac:dyDescent="0.55000000000000004">
      <c r="B1" t="s">
        <v>639</v>
      </c>
      <c r="K1" t="s">
        <v>8</v>
      </c>
      <c r="R1" t="s">
        <v>174</v>
      </c>
    </row>
    <row r="2" spans="1:21" x14ac:dyDescent="0.55000000000000004">
      <c r="A2" t="s">
        <v>12</v>
      </c>
      <c r="B2">
        <v>100</v>
      </c>
      <c r="D2" s="9" t="s">
        <v>939</v>
      </c>
      <c r="L2" t="s">
        <v>172</v>
      </c>
      <c r="M2" t="s">
        <v>173</v>
      </c>
      <c r="N2" t="s">
        <v>5</v>
      </c>
      <c r="O2" t="s">
        <v>0</v>
      </c>
      <c r="U2" t="s">
        <v>5</v>
      </c>
    </row>
    <row r="3" spans="1:21" x14ac:dyDescent="0.55000000000000004">
      <c r="A3" s="3" t="s">
        <v>10</v>
      </c>
      <c r="D3" t="s">
        <v>940</v>
      </c>
      <c r="E3">
        <v>11.7</v>
      </c>
      <c r="F3" t="s">
        <v>754</v>
      </c>
      <c r="K3" t="s">
        <v>640</v>
      </c>
      <c r="R3" t="s">
        <v>641</v>
      </c>
      <c r="S3">
        <v>3600</v>
      </c>
      <c r="T3" t="s">
        <v>642</v>
      </c>
    </row>
    <row r="4" spans="1:21" x14ac:dyDescent="0.55000000000000004">
      <c r="A4" s="3" t="s">
        <v>171</v>
      </c>
      <c r="B4" s="51">
        <f>B2*AVERAGE(L78,E3)*1000000/1000</f>
        <v>1152499.9999999998</v>
      </c>
      <c r="C4" t="s">
        <v>1169</v>
      </c>
      <c r="D4" t="s">
        <v>757</v>
      </c>
      <c r="E4">
        <f>E3*1000*100*2.2/2000</f>
        <v>1287</v>
      </c>
      <c r="F4" t="s">
        <v>982</v>
      </c>
      <c r="K4" t="s">
        <v>643</v>
      </c>
      <c r="L4">
        <v>132179.5</v>
      </c>
      <c r="M4" t="s">
        <v>644</v>
      </c>
      <c r="N4" t="s">
        <v>178</v>
      </c>
      <c r="O4" t="s">
        <v>645</v>
      </c>
      <c r="R4" s="117" t="s">
        <v>323</v>
      </c>
      <c r="S4">
        <v>128450</v>
      </c>
      <c r="T4" t="s">
        <v>324</v>
      </c>
      <c r="U4" t="s">
        <v>178</v>
      </c>
    </row>
    <row r="5" spans="1:21" x14ac:dyDescent="0.55000000000000004">
      <c r="A5" t="s">
        <v>175</v>
      </c>
      <c r="B5">
        <v>100</v>
      </c>
      <c r="D5" t="s">
        <v>760</v>
      </c>
      <c r="E5">
        <f>0.0362</f>
        <v>3.6200000000000003E-2</v>
      </c>
      <c r="F5" t="s">
        <v>953</v>
      </c>
      <c r="K5" t="s">
        <v>646</v>
      </c>
      <c r="L5">
        <v>195208.78160927171</v>
      </c>
      <c r="M5" t="s">
        <v>213</v>
      </c>
      <c r="N5" t="s">
        <v>178</v>
      </c>
      <c r="O5" t="s">
        <v>647</v>
      </c>
      <c r="R5" t="s">
        <v>226</v>
      </c>
      <c r="S5">
        <v>12</v>
      </c>
      <c r="T5" t="s">
        <v>227</v>
      </c>
    </row>
    <row r="6" spans="1:21" x14ac:dyDescent="0.55000000000000004">
      <c r="A6" t="s">
        <v>183</v>
      </c>
      <c r="B6">
        <v>0</v>
      </c>
      <c r="D6" t="s">
        <v>190</v>
      </c>
      <c r="E6">
        <f>G6*1000/1.1</f>
        <v>3593.5828877005342</v>
      </c>
      <c r="F6" t="s">
        <v>763</v>
      </c>
      <c r="G6">
        <f>4.8*(14/17)</f>
        <v>3.952941176470588</v>
      </c>
      <c r="H6" t="s">
        <v>941</v>
      </c>
      <c r="L6" s="9" t="s">
        <v>648</v>
      </c>
      <c r="R6" t="s">
        <v>233</v>
      </c>
      <c r="S6">
        <v>16</v>
      </c>
      <c r="T6" t="s">
        <v>227</v>
      </c>
    </row>
    <row r="7" spans="1:21" x14ac:dyDescent="0.55000000000000004">
      <c r="A7" t="s">
        <v>13</v>
      </c>
      <c r="B7" s="2">
        <f>0.464*10000*(B5+B6)</f>
        <v>464000</v>
      </c>
      <c r="D7" t="s">
        <v>194</v>
      </c>
      <c r="E7">
        <f>G7*1000/1.1</f>
        <v>1909.090909090909</v>
      </c>
      <c r="F7" t="s">
        <v>763</v>
      </c>
      <c r="G7">
        <v>2.1</v>
      </c>
      <c r="H7" t="s">
        <v>941</v>
      </c>
      <c r="K7" t="s">
        <v>649</v>
      </c>
      <c r="L7">
        <v>4084</v>
      </c>
      <c r="M7" t="s">
        <v>650</v>
      </c>
      <c r="N7" t="s">
        <v>651</v>
      </c>
      <c r="O7" t="s">
        <v>652</v>
      </c>
      <c r="R7" t="s">
        <v>236</v>
      </c>
      <c r="S7">
        <v>142</v>
      </c>
      <c r="T7" t="s">
        <v>227</v>
      </c>
    </row>
    <row r="8" spans="1:21" x14ac:dyDescent="0.55000000000000004">
      <c r="A8" t="s">
        <v>14</v>
      </c>
      <c r="D8" t="s">
        <v>198</v>
      </c>
      <c r="E8">
        <f>G8*1000/1.1</f>
        <v>818.18181818181813</v>
      </c>
      <c r="F8" t="s">
        <v>763</v>
      </c>
      <c r="G8">
        <v>0.9</v>
      </c>
      <c r="H8" t="s">
        <v>941</v>
      </c>
      <c r="K8" t="s">
        <v>653</v>
      </c>
      <c r="L8">
        <v>5000</v>
      </c>
      <c r="M8" t="s">
        <v>654</v>
      </c>
      <c r="N8" t="s">
        <v>651</v>
      </c>
      <c r="R8" t="s">
        <v>245</v>
      </c>
      <c r="S8">
        <v>31</v>
      </c>
      <c r="T8" t="s">
        <v>227</v>
      </c>
    </row>
    <row r="9" spans="1:21" x14ac:dyDescent="0.55000000000000004">
      <c r="A9" t="s">
        <v>655</v>
      </c>
      <c r="B9" s="122">
        <f>AVERAGE(L120,L122)</f>
        <v>2117522</v>
      </c>
      <c r="D9" t="s">
        <v>202</v>
      </c>
      <c r="F9" t="s">
        <v>763</v>
      </c>
      <c r="H9" t="s">
        <v>941</v>
      </c>
      <c r="K9" t="s">
        <v>56</v>
      </c>
      <c r="L9">
        <v>3425</v>
      </c>
      <c r="M9" t="s">
        <v>654</v>
      </c>
      <c r="N9" t="s">
        <v>651</v>
      </c>
      <c r="R9" t="s">
        <v>251</v>
      </c>
      <c r="S9">
        <v>39</v>
      </c>
      <c r="T9" t="s">
        <v>227</v>
      </c>
    </row>
    <row r="10" spans="1:21" x14ac:dyDescent="0.55000000000000004">
      <c r="A10" t="s">
        <v>24</v>
      </c>
      <c r="D10" t="s">
        <v>765</v>
      </c>
      <c r="F10" t="s">
        <v>763</v>
      </c>
      <c r="K10" t="s">
        <v>656</v>
      </c>
      <c r="L10">
        <v>1575</v>
      </c>
      <c r="M10" t="s">
        <v>654</v>
      </c>
      <c r="N10" t="s">
        <v>651</v>
      </c>
      <c r="R10" t="s">
        <v>254</v>
      </c>
      <c r="S10">
        <v>94</v>
      </c>
      <c r="T10" t="s">
        <v>227</v>
      </c>
    </row>
    <row r="11" spans="1:21" x14ac:dyDescent="0.55000000000000004">
      <c r="A11" t="s">
        <v>23</v>
      </c>
      <c r="B11" s="15">
        <f>AVERAGE(L81*L79/1000,E6*E4/1000)</f>
        <v>3560.9093559764151</v>
      </c>
      <c r="D11" t="s">
        <v>766</v>
      </c>
      <c r="F11" t="s">
        <v>763</v>
      </c>
      <c r="K11" t="s">
        <v>294</v>
      </c>
      <c r="L11" s="122">
        <v>217200</v>
      </c>
      <c r="M11" t="s">
        <v>657</v>
      </c>
      <c r="N11" t="s">
        <v>651</v>
      </c>
      <c r="R11" t="s">
        <v>342</v>
      </c>
      <c r="S11">
        <v>3167</v>
      </c>
      <c r="T11" t="s">
        <v>337</v>
      </c>
      <c r="U11" t="s">
        <v>178</v>
      </c>
    </row>
    <row r="12" spans="1:21" x14ac:dyDescent="0.55000000000000004">
      <c r="A12" t="s">
        <v>22</v>
      </c>
      <c r="B12" s="15">
        <f>AVERAGE(L82*L79*(S8/S7)/1000,E7*E4*(S8/S7)/1000)</f>
        <v>349.97643148002936</v>
      </c>
      <c r="D12" t="s">
        <v>767</v>
      </c>
      <c r="F12" t="s">
        <v>768</v>
      </c>
      <c r="R12" t="s">
        <v>192</v>
      </c>
      <c r="S12">
        <v>0.40500000000000003</v>
      </c>
      <c r="T12" t="s">
        <v>193</v>
      </c>
    </row>
    <row r="13" spans="1:21" x14ac:dyDescent="0.55000000000000004">
      <c r="A13" t="s">
        <v>21</v>
      </c>
      <c r="B13" s="15">
        <f>AVERAGE(L83*L79*S9/(S10*1000),E8*E4*S9/(S10*1000))</f>
        <v>355.84754178827239</v>
      </c>
      <c r="K13" t="s">
        <v>658</v>
      </c>
      <c r="L13">
        <v>85</v>
      </c>
      <c r="M13" t="s">
        <v>204</v>
      </c>
      <c r="N13" t="s">
        <v>651</v>
      </c>
      <c r="R13" t="s">
        <v>659</v>
      </c>
      <c r="S13">
        <f>S5+2*S6</f>
        <v>44</v>
      </c>
      <c r="T13" t="s">
        <v>227</v>
      </c>
    </row>
    <row r="14" spans="1:21" x14ac:dyDescent="0.55000000000000004">
      <c r="A14" t="s">
        <v>222</v>
      </c>
      <c r="B14">
        <f>L84*L79/1000</f>
        <v>29458.835218935597</v>
      </c>
      <c r="D14" t="s">
        <v>943</v>
      </c>
      <c r="E14">
        <v>13.1</v>
      </c>
      <c r="F14" t="s">
        <v>866</v>
      </c>
      <c r="L14" s="9" t="s">
        <v>660</v>
      </c>
      <c r="R14" t="s">
        <v>363</v>
      </c>
      <c r="S14">
        <v>298</v>
      </c>
      <c r="T14" t="s">
        <v>364</v>
      </c>
      <c r="U14" t="s">
        <v>365</v>
      </c>
    </row>
    <row r="15" spans="1:21" x14ac:dyDescent="0.55000000000000004">
      <c r="A15" t="s">
        <v>15</v>
      </c>
      <c r="B15">
        <f>L85*L79/1000</f>
        <v>78.218351423580629</v>
      </c>
      <c r="E15">
        <f>E14*E3*B5</f>
        <v>15326.999999999998</v>
      </c>
      <c r="F15" t="s">
        <v>303</v>
      </c>
      <c r="H15" t="s">
        <v>951</v>
      </c>
      <c r="I15" t="s">
        <v>952</v>
      </c>
      <c r="K15" t="s">
        <v>661</v>
      </c>
      <c r="L15">
        <v>700000</v>
      </c>
      <c r="M15" t="s">
        <v>662</v>
      </c>
      <c r="N15" t="s">
        <v>663</v>
      </c>
      <c r="O15" t="s">
        <v>664</v>
      </c>
      <c r="R15" t="s">
        <v>665</v>
      </c>
      <c r="S15">
        <v>1</v>
      </c>
      <c r="T15" t="s">
        <v>227</v>
      </c>
    </row>
    <row r="16" spans="1:21" x14ac:dyDescent="0.55000000000000004">
      <c r="A16" t="s">
        <v>16</v>
      </c>
      <c r="B16">
        <f>L86*L79/1000</f>
        <v>14.911514902979791</v>
      </c>
      <c r="D16" t="s">
        <v>945</v>
      </c>
      <c r="E16">
        <f>860000/2677</f>
        <v>321.25513634665668</v>
      </c>
      <c r="F16" t="s">
        <v>92</v>
      </c>
      <c r="H16">
        <f>30.3</f>
        <v>30.3</v>
      </c>
      <c r="I16" t="s">
        <v>638</v>
      </c>
      <c r="K16" t="s">
        <v>666</v>
      </c>
      <c r="L16" s="36">
        <v>1000000</v>
      </c>
      <c r="M16" t="s">
        <v>667</v>
      </c>
      <c r="N16" t="s">
        <v>663</v>
      </c>
      <c r="O16">
        <v>279888</v>
      </c>
      <c r="R16" t="s">
        <v>668</v>
      </c>
      <c r="S16">
        <v>14</v>
      </c>
      <c r="T16" t="s">
        <v>227</v>
      </c>
    </row>
    <row r="17" spans="1:23" x14ac:dyDescent="0.55000000000000004">
      <c r="A17" t="s">
        <v>942</v>
      </c>
      <c r="B17" s="15">
        <f>(L102*B2/S12)/20</f>
        <v>18082.055119092158</v>
      </c>
      <c r="E17">
        <f>E16/2.47</f>
        <v>130.06280823751283</v>
      </c>
      <c r="F17" t="s">
        <v>949</v>
      </c>
      <c r="H17">
        <f>E3*H16</f>
        <v>354.51</v>
      </c>
      <c r="I17" t="s">
        <v>94</v>
      </c>
      <c r="K17" t="s">
        <v>669</v>
      </c>
      <c r="L17" s="36">
        <v>76.099999999999994</v>
      </c>
      <c r="M17" t="s">
        <v>204</v>
      </c>
      <c r="N17" t="s">
        <v>663</v>
      </c>
      <c r="O17" t="s">
        <v>670</v>
      </c>
      <c r="R17" t="s">
        <v>671</v>
      </c>
      <c r="S17">
        <v>32</v>
      </c>
      <c r="T17" t="s">
        <v>227</v>
      </c>
    </row>
    <row r="18" spans="1:23" x14ac:dyDescent="0.55000000000000004">
      <c r="A18" t="s">
        <v>17</v>
      </c>
      <c r="E18">
        <f>E17/30</f>
        <v>4.3354269412504278</v>
      </c>
      <c r="F18" t="s">
        <v>950</v>
      </c>
      <c r="K18" t="s">
        <v>672</v>
      </c>
      <c r="L18" s="50">
        <f>15501/O16</f>
        <v>5.538286743268736E-2</v>
      </c>
      <c r="M18" t="s">
        <v>673</v>
      </c>
      <c r="N18" t="s">
        <v>663</v>
      </c>
    </row>
    <row r="19" spans="1:23" x14ac:dyDescent="0.55000000000000004">
      <c r="A19" t="s">
        <v>18</v>
      </c>
      <c r="B19">
        <f>E5*B87</f>
        <v>41720.499999999993</v>
      </c>
      <c r="E19">
        <f>E16*100</f>
        <v>32125.513634665669</v>
      </c>
      <c r="F19" t="s">
        <v>271</v>
      </c>
      <c r="K19" t="s">
        <v>72</v>
      </c>
      <c r="L19" s="50">
        <f>843/O16</f>
        <v>3.0119190533356198E-3</v>
      </c>
      <c r="M19" t="s">
        <v>673</v>
      </c>
      <c r="N19" t="s">
        <v>663</v>
      </c>
    </row>
    <row r="20" spans="1:23" x14ac:dyDescent="0.55000000000000004">
      <c r="A20" t="s">
        <v>100</v>
      </c>
      <c r="E20">
        <f>860000*(100/2677)</f>
        <v>32125.513634665669</v>
      </c>
      <c r="F20" t="s">
        <v>271</v>
      </c>
      <c r="K20" t="s">
        <v>674</v>
      </c>
      <c r="L20" s="50">
        <f>215478/O16</f>
        <v>0.76987223460812892</v>
      </c>
      <c r="M20" t="s">
        <v>673</v>
      </c>
      <c r="N20" t="s">
        <v>663</v>
      </c>
    </row>
    <row r="21" spans="1:23" x14ac:dyDescent="0.55000000000000004">
      <c r="A21" t="s">
        <v>262</v>
      </c>
      <c r="K21" t="s">
        <v>675</v>
      </c>
      <c r="L21" s="50">
        <f>4168/O16</f>
        <v>1.4891670954095925E-2</v>
      </c>
      <c r="M21" t="s">
        <v>673</v>
      </c>
      <c r="N21" t="s">
        <v>663</v>
      </c>
      <c r="P21" s="50"/>
    </row>
    <row r="22" spans="1:23" x14ac:dyDescent="0.55000000000000004">
      <c r="A22" t="s">
        <v>269</v>
      </c>
      <c r="K22" t="s">
        <v>676</v>
      </c>
      <c r="L22" s="50">
        <f>37234/O16</f>
        <v>0.13303178414222833</v>
      </c>
      <c r="M22" t="s">
        <v>673</v>
      </c>
      <c r="N22" t="s">
        <v>663</v>
      </c>
    </row>
    <row r="23" spans="1:23" x14ac:dyDescent="0.55000000000000004">
      <c r="A23" t="s">
        <v>19</v>
      </c>
      <c r="B23" s="15">
        <f>AVERAGE(L100/S12*B2/14.7,E15)</f>
        <v>17987.585738547816</v>
      </c>
      <c r="E23">
        <f>3*2.47</f>
        <v>7.41</v>
      </c>
      <c r="K23" t="s">
        <v>677</v>
      </c>
      <c r="L23" s="36">
        <f>28/O16</f>
        <v>1.0004001600640257E-4</v>
      </c>
      <c r="M23" t="s">
        <v>673</v>
      </c>
      <c r="N23" t="s">
        <v>663</v>
      </c>
    </row>
    <row r="24" spans="1:23" x14ac:dyDescent="0.55000000000000004">
      <c r="A24" t="s">
        <v>154</v>
      </c>
      <c r="B24">
        <f>6700*B5*2.47+1700*B6*2.47</f>
        <v>1654900.0000000002</v>
      </c>
      <c r="E24">
        <f>7*2.47</f>
        <v>17.290000000000003</v>
      </c>
      <c r="K24" t="s">
        <v>678</v>
      </c>
      <c r="L24" s="36">
        <f>25/O16</f>
        <v>8.9321442862859429E-5</v>
      </c>
      <c r="M24" t="s">
        <v>673</v>
      </c>
      <c r="N24" t="s">
        <v>663</v>
      </c>
    </row>
    <row r="25" spans="1:23" x14ac:dyDescent="0.55000000000000004">
      <c r="A25" t="s">
        <v>679</v>
      </c>
      <c r="B25" s="51">
        <f>L117/15</f>
        <v>118269</v>
      </c>
      <c r="K25" t="s">
        <v>69</v>
      </c>
      <c r="L25" s="50">
        <f>3954/O16</f>
        <v>1.4127079403189847E-2</v>
      </c>
      <c r="M25" t="s">
        <v>673</v>
      </c>
      <c r="N25" t="s">
        <v>663</v>
      </c>
    </row>
    <row r="26" spans="1:23" x14ac:dyDescent="0.55000000000000004">
      <c r="K26" t="s">
        <v>680</v>
      </c>
      <c r="L26" s="36">
        <f>293/O16</f>
        <v>1.0468473103527126E-3</v>
      </c>
      <c r="M26" t="s">
        <v>673</v>
      </c>
      <c r="N26" t="s">
        <v>663</v>
      </c>
    </row>
    <row r="27" spans="1:23" x14ac:dyDescent="0.55000000000000004">
      <c r="A27" s="42"/>
      <c r="B27" s="42"/>
      <c r="K27" t="s">
        <v>681</v>
      </c>
      <c r="L27" s="36">
        <f>7/O16</f>
        <v>2.5010004001600642E-5</v>
      </c>
      <c r="M27" t="s">
        <v>673</v>
      </c>
      <c r="N27" t="s">
        <v>663</v>
      </c>
    </row>
    <row r="28" spans="1:23" x14ac:dyDescent="0.55000000000000004">
      <c r="A28" s="146" t="s">
        <v>26</v>
      </c>
      <c r="B28" s="42"/>
      <c r="K28" t="s">
        <v>682</v>
      </c>
      <c r="L28" s="36">
        <f>636/O16</f>
        <v>2.2723375064311437E-3</v>
      </c>
      <c r="M28" t="s">
        <v>673</v>
      </c>
      <c r="N28" t="s">
        <v>663</v>
      </c>
    </row>
    <row r="29" spans="1:23" x14ac:dyDescent="0.55000000000000004">
      <c r="A29" s="42" t="s">
        <v>36</v>
      </c>
      <c r="B29" s="42"/>
      <c r="C29" s="42"/>
      <c r="K29" t="s">
        <v>683</v>
      </c>
      <c r="L29" s="36">
        <f>60/O16</f>
        <v>2.1437146287086264E-4</v>
      </c>
      <c r="M29" t="s">
        <v>673</v>
      </c>
      <c r="N29" t="s">
        <v>663</v>
      </c>
    </row>
    <row r="30" spans="1:23" x14ac:dyDescent="0.55000000000000004">
      <c r="A30" s="42" t="s">
        <v>37</v>
      </c>
      <c r="B30" s="42"/>
      <c r="C30" s="42"/>
      <c r="D30" s="9" t="s">
        <v>984</v>
      </c>
      <c r="K30" t="s">
        <v>684</v>
      </c>
      <c r="L30" s="50">
        <f>1598/O16</f>
        <v>5.7094266277939749E-3</v>
      </c>
      <c r="M30" t="s">
        <v>673</v>
      </c>
      <c r="N30" t="s">
        <v>663</v>
      </c>
      <c r="W30" t="s">
        <v>976</v>
      </c>
    </row>
    <row r="31" spans="1:23" x14ac:dyDescent="0.55000000000000004">
      <c r="A31" s="42" t="s">
        <v>38</v>
      </c>
      <c r="B31" s="42"/>
      <c r="C31" s="42"/>
      <c r="D31" t="s">
        <v>986</v>
      </c>
      <c r="E31">
        <v>310</v>
      </c>
      <c r="K31" t="s">
        <v>685</v>
      </c>
      <c r="L31" s="36">
        <f>55/O16</f>
        <v>1.9650717429829073E-4</v>
      </c>
      <c r="M31" t="s">
        <v>673</v>
      </c>
      <c r="N31" t="s">
        <v>663</v>
      </c>
      <c r="W31" t="s">
        <v>977</v>
      </c>
    </row>
    <row r="32" spans="1:23" x14ac:dyDescent="0.55000000000000004">
      <c r="A32" s="42" t="s">
        <v>41</v>
      </c>
      <c r="B32" s="42"/>
      <c r="C32" s="42"/>
      <c r="D32" t="s">
        <v>985</v>
      </c>
      <c r="E32">
        <f>2000*E31</f>
        <v>620000</v>
      </c>
      <c r="K32" t="s">
        <v>686</v>
      </c>
      <c r="L32" s="36">
        <f>4/O16</f>
        <v>1.4291430858057508E-5</v>
      </c>
      <c r="M32" t="s">
        <v>673</v>
      </c>
      <c r="N32" t="s">
        <v>663</v>
      </c>
    </row>
    <row r="33" spans="1:24" x14ac:dyDescent="0.55000000000000004">
      <c r="A33" s="42" t="s">
        <v>39</v>
      </c>
      <c r="B33" s="42"/>
      <c r="C33" s="42"/>
      <c r="D33" t="s">
        <v>987</v>
      </c>
      <c r="E33">
        <f>E32/(B87/1000)</f>
        <v>537.96095444685477</v>
      </c>
      <c r="K33" t="s">
        <v>687</v>
      </c>
      <c r="L33" s="36">
        <f>1/O16</f>
        <v>3.5728577145143771E-6</v>
      </c>
      <c r="M33" t="s">
        <v>673</v>
      </c>
      <c r="N33" t="s">
        <v>663</v>
      </c>
      <c r="W33" t="s">
        <v>978</v>
      </c>
      <c r="X33">
        <v>2000</v>
      </c>
    </row>
    <row r="34" spans="1:24" x14ac:dyDescent="0.55000000000000004">
      <c r="A34" s="42" t="s">
        <v>40</v>
      </c>
      <c r="B34" s="42"/>
      <c r="C34" s="42"/>
      <c r="K34" t="s">
        <v>688</v>
      </c>
      <c r="L34" s="36">
        <v>9.9</v>
      </c>
      <c r="M34" t="s">
        <v>689</v>
      </c>
      <c r="N34" t="s">
        <v>663</v>
      </c>
      <c r="O34" t="s">
        <v>690</v>
      </c>
    </row>
    <row r="35" spans="1:24" x14ac:dyDescent="0.55000000000000004">
      <c r="A35" s="42" t="s">
        <v>42</v>
      </c>
      <c r="B35" s="42">
        <f>B87</f>
        <v>1152499.9999999998</v>
      </c>
      <c r="C35" s="42"/>
      <c r="D35" t="s">
        <v>988</v>
      </c>
      <c r="K35" t="s">
        <v>691</v>
      </c>
      <c r="L35" s="36">
        <f>L34*61971000</f>
        <v>613512900</v>
      </c>
      <c r="M35" t="s">
        <v>692</v>
      </c>
      <c r="N35" t="s">
        <v>663</v>
      </c>
      <c r="O35" t="s">
        <v>693</v>
      </c>
    </row>
    <row r="36" spans="1:24" x14ac:dyDescent="0.55000000000000004">
      <c r="A36" s="42" t="s">
        <v>90</v>
      </c>
      <c r="B36" s="42"/>
      <c r="C36" s="42"/>
      <c r="D36" t="s">
        <v>999</v>
      </c>
      <c r="E36">
        <f>3.5/E33</f>
        <v>6.5060483870967726E-3</v>
      </c>
      <c r="L36" s="140" t="s">
        <v>694</v>
      </c>
      <c r="O36" t="s">
        <v>954</v>
      </c>
    </row>
    <row r="37" spans="1:24" x14ac:dyDescent="0.55000000000000004">
      <c r="A37" s="42" t="s">
        <v>59</v>
      </c>
      <c r="B37" s="42">
        <f>(E55-E38)*1000</f>
        <v>635027.49999999988</v>
      </c>
      <c r="C37" s="42"/>
      <c r="D37" t="s">
        <v>989</v>
      </c>
      <c r="K37" t="s">
        <v>695</v>
      </c>
      <c r="L37" s="120">
        <v>23213888</v>
      </c>
      <c r="M37" t="s">
        <v>271</v>
      </c>
      <c r="N37" t="s">
        <v>663</v>
      </c>
      <c r="O37" s="45">
        <f>L37*(($B$35/1000)/$L$15)</f>
        <v>38220.008457142845</v>
      </c>
    </row>
    <row r="38" spans="1:24" x14ac:dyDescent="0.55000000000000004">
      <c r="A38" s="42" t="s">
        <v>626</v>
      </c>
      <c r="B38" s="42"/>
      <c r="C38" s="42"/>
      <c r="D38" t="s">
        <v>990</v>
      </c>
      <c r="E38">
        <f>444*E31/E33</f>
        <v>255.85499999999996</v>
      </c>
      <c r="K38" t="s">
        <v>696</v>
      </c>
      <c r="L38" s="120">
        <v>12916238</v>
      </c>
      <c r="M38" t="s">
        <v>271</v>
      </c>
      <c r="N38" t="s">
        <v>663</v>
      </c>
      <c r="O38" s="45">
        <f>L38*(($B$35/1000)/$L$15)</f>
        <v>21265.663278571425</v>
      </c>
    </row>
    <row r="39" spans="1:24" x14ac:dyDescent="0.55000000000000004">
      <c r="A39" s="42" t="s">
        <v>627</v>
      </c>
      <c r="B39" s="42"/>
      <c r="C39" s="42"/>
      <c r="K39" t="s">
        <v>697</v>
      </c>
      <c r="L39" s="120">
        <v>52887900</v>
      </c>
      <c r="M39" t="s">
        <v>271</v>
      </c>
      <c r="N39" t="s">
        <v>663</v>
      </c>
      <c r="O39" s="45">
        <f>L39*(($B$35/1000)/$L$15)</f>
        <v>87076.149642857126</v>
      </c>
    </row>
    <row r="40" spans="1:24" x14ac:dyDescent="0.55000000000000004">
      <c r="A40" s="42" t="s">
        <v>429</v>
      </c>
      <c r="B40" s="147"/>
      <c r="C40" s="42"/>
      <c r="D40" t="s">
        <v>991</v>
      </c>
      <c r="K40" t="s">
        <v>698</v>
      </c>
      <c r="L40" s="36">
        <v>16800000</v>
      </c>
      <c r="M40" t="s">
        <v>271</v>
      </c>
      <c r="N40" t="s">
        <v>663</v>
      </c>
      <c r="O40" s="45">
        <f>L40*(($B$35/1000)/$L$15)</f>
        <v>27659.999999999993</v>
      </c>
    </row>
    <row r="41" spans="1:24" x14ac:dyDescent="0.55000000000000004">
      <c r="A41" s="42" t="s">
        <v>628</v>
      </c>
      <c r="B41" s="42">
        <f>E54*1000</f>
        <v>316937.49999999994</v>
      </c>
      <c r="C41" s="42"/>
      <c r="D41" t="s">
        <v>999</v>
      </c>
      <c r="E41">
        <f>11.6/E33</f>
        <v>2.1562903225806448E-2</v>
      </c>
      <c r="K41" t="s">
        <v>699</v>
      </c>
      <c r="L41" s="36">
        <v>3600000</v>
      </c>
      <c r="M41" t="s">
        <v>271</v>
      </c>
      <c r="N41" t="s">
        <v>663</v>
      </c>
      <c r="O41" s="45">
        <f>L41*(($B$35/1000)/$L$15)</f>
        <v>5927.142857142856</v>
      </c>
    </row>
    <row r="42" spans="1:24" x14ac:dyDescent="0.55000000000000004">
      <c r="A42" s="42" t="s">
        <v>630</v>
      </c>
      <c r="B42" s="42"/>
      <c r="C42" s="42"/>
      <c r="D42" t="s">
        <v>992</v>
      </c>
      <c r="E42">
        <f>2903*E31/E33</f>
        <v>1672.8537499999998</v>
      </c>
    </row>
    <row r="43" spans="1:24" x14ac:dyDescent="0.55000000000000004">
      <c r="A43" s="42" t="s">
        <v>631</v>
      </c>
      <c r="B43" s="42"/>
      <c r="C43" s="42"/>
      <c r="D43" t="s">
        <v>993</v>
      </c>
      <c r="E43">
        <f>744*E31/E33</f>
        <v>428.7299999999999</v>
      </c>
      <c r="K43" t="s">
        <v>700</v>
      </c>
      <c r="L43" s="36">
        <v>2270000</v>
      </c>
      <c r="M43" t="s">
        <v>271</v>
      </c>
      <c r="N43" t="s">
        <v>663</v>
      </c>
      <c r="O43" s="45">
        <f>L43*(($B$35/1000)/$L$15)</f>
        <v>3737.3928571428564</v>
      </c>
      <c r="P43" t="s">
        <v>701</v>
      </c>
    </row>
    <row r="44" spans="1:24" x14ac:dyDescent="0.55000000000000004">
      <c r="A44" s="42" t="s">
        <v>632</v>
      </c>
      <c r="B44" s="42"/>
      <c r="C44" s="42"/>
      <c r="D44" t="s">
        <v>995</v>
      </c>
      <c r="E44">
        <f>2189*E31/E33</f>
        <v>1261.4112499999997</v>
      </c>
      <c r="L44" t="s">
        <v>702</v>
      </c>
    </row>
    <row r="45" spans="1:24" x14ac:dyDescent="0.55000000000000004">
      <c r="A45" s="42" t="s">
        <v>1052</v>
      </c>
      <c r="B45" s="1">
        <f>E112+E113</f>
        <v>148.38353005865099</v>
      </c>
      <c r="C45" s="42"/>
      <c r="K45" t="s">
        <v>468</v>
      </c>
      <c r="L45" s="36">
        <v>27000000</v>
      </c>
      <c r="M45" t="s">
        <v>271</v>
      </c>
      <c r="N45" t="s">
        <v>663</v>
      </c>
      <c r="O45" s="45">
        <f>L45*(($B$35/1000)/$L$15)</f>
        <v>44453.57142857142</v>
      </c>
      <c r="P45" t="s">
        <v>703</v>
      </c>
    </row>
    <row r="46" spans="1:24" x14ac:dyDescent="0.55000000000000004">
      <c r="A46" s="42" t="s">
        <v>983</v>
      </c>
      <c r="B46" s="42">
        <f>E42*1000</f>
        <v>1672853.7499999998</v>
      </c>
      <c r="C46" s="42"/>
      <c r="D46" t="s">
        <v>696</v>
      </c>
      <c r="K46" t="s">
        <v>547</v>
      </c>
      <c r="L46">
        <v>200000</v>
      </c>
      <c r="M46" t="s">
        <v>271</v>
      </c>
      <c r="N46" t="s">
        <v>663</v>
      </c>
      <c r="O46" s="45">
        <f>L46*(($B$35/1000)/$L$15)</f>
        <v>329.28571428571422</v>
      </c>
      <c r="P46" t="s">
        <v>703</v>
      </c>
    </row>
    <row r="47" spans="1:24" x14ac:dyDescent="0.55000000000000004">
      <c r="A47" s="42" t="s">
        <v>96</v>
      </c>
      <c r="B47" s="122">
        <f>E66</f>
        <v>28316.924999999996</v>
      </c>
      <c r="D47" t="s">
        <v>999</v>
      </c>
      <c r="E47">
        <f>0.2/E33</f>
        <v>3.7177419354838707E-4</v>
      </c>
      <c r="K47" t="s">
        <v>704</v>
      </c>
      <c r="L47" s="36">
        <v>400000</v>
      </c>
      <c r="M47" t="s">
        <v>271</v>
      </c>
      <c r="N47" t="s">
        <v>663</v>
      </c>
      <c r="O47" s="45">
        <f>L47*(($B$35/1000)/$L$15)</f>
        <v>658.57142857142844</v>
      </c>
      <c r="P47" t="s">
        <v>703</v>
      </c>
    </row>
    <row r="48" spans="1:24" x14ac:dyDescent="0.55000000000000004">
      <c r="A48" s="42" t="s">
        <v>17</v>
      </c>
      <c r="B48" s="42">
        <f>E71</f>
        <v>990781.19999999972</v>
      </c>
      <c r="C48" s="42"/>
      <c r="D48" t="s">
        <v>994</v>
      </c>
      <c r="E48">
        <f>E43</f>
        <v>428.7299999999999</v>
      </c>
      <c r="K48" t="s">
        <v>705</v>
      </c>
      <c r="L48">
        <v>300000</v>
      </c>
      <c r="M48" t="s">
        <v>271</v>
      </c>
      <c r="N48" t="s">
        <v>663</v>
      </c>
      <c r="O48" s="45">
        <f>L48*(($B$35/1000)/$L$15)</f>
        <v>493.92857142857133</v>
      </c>
      <c r="P48" t="s">
        <v>703</v>
      </c>
    </row>
    <row r="49" spans="1:16" x14ac:dyDescent="0.55000000000000004">
      <c r="A49" s="42" t="s">
        <v>27</v>
      </c>
      <c r="B49" s="42"/>
      <c r="C49" t="s">
        <v>1050</v>
      </c>
      <c r="D49" t="s">
        <v>996</v>
      </c>
      <c r="E49">
        <f>114*E31/E33</f>
        <v>65.692499999999981</v>
      </c>
      <c r="K49" t="s">
        <v>575</v>
      </c>
      <c r="L49" s="36">
        <v>300000</v>
      </c>
      <c r="M49" t="s">
        <v>271</v>
      </c>
      <c r="N49" t="s">
        <v>663</v>
      </c>
      <c r="O49" s="45">
        <f>L49*(($B$35/1000)/$L$15)</f>
        <v>493.92857142857133</v>
      </c>
      <c r="P49" t="s">
        <v>703</v>
      </c>
    </row>
    <row r="50" spans="1:16" x14ac:dyDescent="0.55000000000000004">
      <c r="A50" s="42" t="s">
        <v>19</v>
      </c>
      <c r="B50" s="55">
        <f>(50*75000)/E33</f>
        <v>6970.7661290322567</v>
      </c>
      <c r="C50" s="42" t="s">
        <v>1039</v>
      </c>
      <c r="D50" t="s">
        <v>997</v>
      </c>
      <c r="E50">
        <f>3823*E31/E33</f>
        <v>2203.0037499999994</v>
      </c>
      <c r="L50" s="9" t="s">
        <v>706</v>
      </c>
    </row>
    <row r="51" spans="1:16" x14ac:dyDescent="0.55000000000000004">
      <c r="A51" s="42" t="s">
        <v>20</v>
      </c>
      <c r="B51" s="55">
        <f>(439000000-33000000)/E33</f>
        <v>754701.6129032257</v>
      </c>
      <c r="C51" s="42"/>
      <c r="K51" t="s">
        <v>707</v>
      </c>
      <c r="L51">
        <v>3581</v>
      </c>
      <c r="M51" t="s">
        <v>650</v>
      </c>
      <c r="N51" t="s">
        <v>708</v>
      </c>
      <c r="O51" t="s">
        <v>709</v>
      </c>
    </row>
    <row r="52" spans="1:16" x14ac:dyDescent="0.55000000000000004">
      <c r="A52" s="42"/>
      <c r="B52" s="42"/>
      <c r="C52" s="42" t="s">
        <v>1017</v>
      </c>
      <c r="D52" t="s">
        <v>998</v>
      </c>
      <c r="K52" t="s">
        <v>710</v>
      </c>
      <c r="L52">
        <v>1000000</v>
      </c>
      <c r="M52" t="s">
        <v>711</v>
      </c>
      <c r="N52" t="s">
        <v>708</v>
      </c>
    </row>
    <row r="53" spans="1:16" x14ac:dyDescent="0.55000000000000004">
      <c r="A53" s="3" t="s">
        <v>28</v>
      </c>
      <c r="C53" s="42" t="s">
        <v>1018</v>
      </c>
      <c r="D53" t="s">
        <v>999</v>
      </c>
      <c r="E53">
        <f>4.1/E33</f>
        <v>7.6213709677419332E-3</v>
      </c>
      <c r="K53" t="s">
        <v>712</v>
      </c>
      <c r="L53">
        <v>90</v>
      </c>
      <c r="M53" t="s">
        <v>204</v>
      </c>
      <c r="N53" t="s">
        <v>708</v>
      </c>
    </row>
    <row r="54" spans="1:16" x14ac:dyDescent="0.55000000000000004">
      <c r="A54" s="42" t="s">
        <v>43</v>
      </c>
      <c r="C54" s="42"/>
      <c r="D54" t="s">
        <v>1000</v>
      </c>
      <c r="E54">
        <f>550*E31/E33</f>
        <v>316.93749999999994</v>
      </c>
      <c r="K54" t="s">
        <v>713</v>
      </c>
      <c r="L54">
        <v>548</v>
      </c>
      <c r="M54" t="s">
        <v>714</v>
      </c>
      <c r="N54" t="s">
        <v>708</v>
      </c>
      <c r="O54" t="s">
        <v>715</v>
      </c>
    </row>
    <row r="55" spans="1:16" x14ac:dyDescent="0.55000000000000004">
      <c r="A55" s="42" t="s">
        <v>44</v>
      </c>
      <c r="D55" t="s">
        <v>1001</v>
      </c>
      <c r="E55">
        <f>1546*E31/E33</f>
        <v>890.88249999999982</v>
      </c>
      <c r="K55" t="s">
        <v>716</v>
      </c>
      <c r="L55">
        <v>58</v>
      </c>
      <c r="M55" t="s">
        <v>717</v>
      </c>
      <c r="N55" t="s">
        <v>708</v>
      </c>
      <c r="O55" t="s">
        <v>718</v>
      </c>
    </row>
    <row r="56" spans="1:16" x14ac:dyDescent="0.55000000000000004">
      <c r="A56" s="42" t="s">
        <v>45</v>
      </c>
      <c r="D56" t="s">
        <v>1002</v>
      </c>
      <c r="E56">
        <f>1502*E31/E33</f>
        <v>865.5274999999998</v>
      </c>
      <c r="K56" t="s">
        <v>719</v>
      </c>
      <c r="L56">
        <f>32.7</f>
        <v>32.700000000000003</v>
      </c>
      <c r="M56" t="s">
        <v>720</v>
      </c>
      <c r="N56" t="s">
        <v>708</v>
      </c>
    </row>
    <row r="57" spans="1:16" x14ac:dyDescent="0.55000000000000004">
      <c r="A57" s="42" t="s">
        <v>46</v>
      </c>
      <c r="D57" t="s">
        <v>1003</v>
      </c>
      <c r="E57">
        <f>3570*E31/E33</f>
        <v>2057.2124999999996</v>
      </c>
      <c r="K57" t="s">
        <v>721</v>
      </c>
      <c r="L57">
        <v>169</v>
      </c>
      <c r="M57" t="s">
        <v>714</v>
      </c>
      <c r="N57" t="s">
        <v>708</v>
      </c>
      <c r="O57" t="s">
        <v>722</v>
      </c>
    </row>
    <row r="58" spans="1:16" x14ac:dyDescent="0.55000000000000004">
      <c r="A58" s="42" t="s">
        <v>629</v>
      </c>
      <c r="K58" t="s">
        <v>723</v>
      </c>
      <c r="L58">
        <v>109</v>
      </c>
      <c r="M58" t="s">
        <v>714</v>
      </c>
      <c r="N58" t="s">
        <v>708</v>
      </c>
      <c r="O58" t="s">
        <v>724</v>
      </c>
    </row>
    <row r="59" spans="1:16" x14ac:dyDescent="0.55000000000000004">
      <c r="A59" s="42" t="s">
        <v>783</v>
      </c>
      <c r="B59">
        <f>B96</f>
        <v>615434.99999999988</v>
      </c>
      <c r="D59" t="s">
        <v>1004</v>
      </c>
      <c r="K59" t="s">
        <v>725</v>
      </c>
      <c r="L59">
        <v>2543</v>
      </c>
      <c r="M59" t="s">
        <v>726</v>
      </c>
      <c r="N59" t="s">
        <v>708</v>
      </c>
    </row>
    <row r="60" spans="1:16" x14ac:dyDescent="0.55000000000000004">
      <c r="A60" s="42" t="s">
        <v>59</v>
      </c>
      <c r="D60" t="s">
        <v>999</v>
      </c>
      <c r="E60">
        <f>0.5/E33</f>
        <v>9.2943548387096754E-4</v>
      </c>
      <c r="K60" t="s">
        <v>727</v>
      </c>
      <c r="L60" s="109">
        <v>1867</v>
      </c>
      <c r="M60" t="s">
        <v>726</v>
      </c>
      <c r="N60" t="s">
        <v>708</v>
      </c>
    </row>
    <row r="61" spans="1:16" x14ac:dyDescent="0.55000000000000004">
      <c r="A61" s="42" t="s">
        <v>635</v>
      </c>
      <c r="B61" s="15"/>
      <c r="D61" t="s">
        <v>1005</v>
      </c>
      <c r="E61">
        <f>4*E31/E33</f>
        <v>2.3049999999999997</v>
      </c>
      <c r="K61" t="s">
        <v>728</v>
      </c>
      <c r="L61" s="109">
        <v>46.2</v>
      </c>
      <c r="M61" t="s">
        <v>204</v>
      </c>
      <c r="N61" t="s">
        <v>708</v>
      </c>
    </row>
    <row r="62" spans="1:16" x14ac:dyDescent="0.55000000000000004">
      <c r="A62" s="42" t="s">
        <v>58</v>
      </c>
      <c r="B62">
        <f>B103</f>
        <v>2304.9999999999995</v>
      </c>
      <c r="D62" t="s">
        <v>1006</v>
      </c>
      <c r="E62">
        <f>156*E31/E33</f>
        <v>89.894999999999982</v>
      </c>
      <c r="K62" t="s">
        <v>729</v>
      </c>
      <c r="L62">
        <v>34</v>
      </c>
      <c r="M62" t="s">
        <v>730</v>
      </c>
      <c r="N62" t="s">
        <v>708</v>
      </c>
      <c r="O62" t="s">
        <v>731</v>
      </c>
    </row>
    <row r="63" spans="1:16" x14ac:dyDescent="0.55000000000000004">
      <c r="A63" s="42" t="s">
        <v>17</v>
      </c>
      <c r="B63">
        <f>E73</f>
        <v>109533.59999999999</v>
      </c>
      <c r="D63" t="s">
        <v>1036</v>
      </c>
      <c r="E63">
        <f>1068*E31/E33</f>
        <v>615.43499999999983</v>
      </c>
      <c r="K63" t="s">
        <v>732</v>
      </c>
      <c r="L63">
        <v>9.8000000000000007</v>
      </c>
      <c r="M63" t="s">
        <v>204</v>
      </c>
      <c r="N63" t="s">
        <v>708</v>
      </c>
      <c r="O63" t="s">
        <v>733</v>
      </c>
    </row>
    <row r="64" spans="1:16" x14ac:dyDescent="0.55000000000000004">
      <c r="A64" s="42" t="s">
        <v>27</v>
      </c>
      <c r="C64" t="s">
        <v>1041</v>
      </c>
      <c r="K64" t="s">
        <v>734</v>
      </c>
      <c r="L64">
        <v>32.200000000000003</v>
      </c>
      <c r="M64" t="s">
        <v>204</v>
      </c>
      <c r="N64" t="s">
        <v>708</v>
      </c>
      <c r="O64" t="s">
        <v>733</v>
      </c>
    </row>
    <row r="65" spans="1:15" x14ac:dyDescent="0.55000000000000004">
      <c r="A65" s="42" t="s">
        <v>19</v>
      </c>
      <c r="B65" s="55">
        <f>(10*75000)/E33</f>
        <v>1394.1532258064512</v>
      </c>
      <c r="C65" t="s">
        <v>1041</v>
      </c>
      <c r="D65" t="s">
        <v>1007</v>
      </c>
      <c r="K65" t="s">
        <v>735</v>
      </c>
      <c r="L65" s="51">
        <v>57.2</v>
      </c>
      <c r="M65" t="s">
        <v>204</v>
      </c>
      <c r="N65" t="s">
        <v>708</v>
      </c>
      <c r="O65" t="s">
        <v>733</v>
      </c>
    </row>
    <row r="66" spans="1:15" x14ac:dyDescent="0.55000000000000004">
      <c r="A66" s="42" t="s">
        <v>20</v>
      </c>
      <c r="B66" s="52">
        <f>33000000/E33</f>
        <v>61342.741935483857</v>
      </c>
      <c r="D66" t="s">
        <v>1049</v>
      </c>
      <c r="E66" s="122">
        <f>E87</f>
        <v>28316.924999999996</v>
      </c>
      <c r="K66" t="s">
        <v>736</v>
      </c>
      <c r="L66" s="122">
        <v>636000000</v>
      </c>
      <c r="M66" t="s">
        <v>271</v>
      </c>
      <c r="N66" t="s">
        <v>708</v>
      </c>
      <c r="O66" t="s">
        <v>737</v>
      </c>
    </row>
    <row r="67" spans="1:15" x14ac:dyDescent="0.55000000000000004">
      <c r="A67" s="116"/>
      <c r="C67" s="42" t="s">
        <v>1017</v>
      </c>
      <c r="D67" t="s">
        <v>1008</v>
      </c>
      <c r="K67" t="s">
        <v>738</v>
      </c>
      <c r="L67">
        <v>4</v>
      </c>
      <c r="M67" t="s">
        <v>204</v>
      </c>
      <c r="N67" t="s">
        <v>708</v>
      </c>
      <c r="O67" t="s">
        <v>739</v>
      </c>
    </row>
    <row r="68" spans="1:15" x14ac:dyDescent="0.55000000000000004">
      <c r="A68" s="3" t="s">
        <v>49</v>
      </c>
      <c r="D68" t="s">
        <v>1042</v>
      </c>
      <c r="E68">
        <f>35.9/E33</f>
        <v>6.6733467741935462E-2</v>
      </c>
      <c r="K68" t="s">
        <v>740</v>
      </c>
      <c r="L68">
        <v>44</v>
      </c>
      <c r="M68" t="s">
        <v>71</v>
      </c>
      <c r="N68" t="s">
        <v>708</v>
      </c>
    </row>
    <row r="69" spans="1:15" x14ac:dyDescent="0.55000000000000004">
      <c r="A69" t="s">
        <v>50</v>
      </c>
      <c r="D69" t="s">
        <v>1043</v>
      </c>
      <c r="E69">
        <f>E68*60*60*24*E31</f>
        <v>1787389.1999999993</v>
      </c>
      <c r="K69" t="s">
        <v>741</v>
      </c>
      <c r="L69">
        <v>44.3</v>
      </c>
      <c r="M69" t="s">
        <v>71</v>
      </c>
      <c r="N69" t="s">
        <v>708</v>
      </c>
    </row>
    <row r="70" spans="1:15" x14ac:dyDescent="0.55000000000000004">
      <c r="A70" t="s">
        <v>51</v>
      </c>
      <c r="D70" t="s">
        <v>1044</v>
      </c>
      <c r="E70">
        <f>SUM(E60,E53,E47,E41,E36)</f>
        <v>3.6991532258064508E-2</v>
      </c>
      <c r="K70" t="s">
        <v>742</v>
      </c>
      <c r="L70">
        <v>44</v>
      </c>
      <c r="M70" t="s">
        <v>71</v>
      </c>
      <c r="N70" t="s">
        <v>708</v>
      </c>
    </row>
    <row r="71" spans="1:15" x14ac:dyDescent="0.55000000000000004">
      <c r="A71" t="s">
        <v>52</v>
      </c>
      <c r="D71" t="s">
        <v>1045</v>
      </c>
      <c r="E71">
        <f>E70*60*60*24*E31</f>
        <v>990781.19999999972</v>
      </c>
      <c r="F71">
        <f>E71/E69</f>
        <v>0.55431754874651817</v>
      </c>
      <c r="K71" t="s">
        <v>743</v>
      </c>
      <c r="L71">
        <v>66</v>
      </c>
      <c r="M71" t="s">
        <v>730</v>
      </c>
      <c r="N71" t="s">
        <v>708</v>
      </c>
    </row>
    <row r="72" spans="1:15" x14ac:dyDescent="0.55000000000000004">
      <c r="A72" t="s">
        <v>53</v>
      </c>
      <c r="D72" t="s">
        <v>1046</v>
      </c>
      <c r="E72">
        <f>E79</f>
        <v>4.0895161290322576E-3</v>
      </c>
      <c r="K72" t="s">
        <v>744</v>
      </c>
      <c r="L72">
        <v>0.1</v>
      </c>
      <c r="M72" t="s">
        <v>720</v>
      </c>
      <c r="N72" t="s">
        <v>708</v>
      </c>
      <c r="O72" t="s">
        <v>745</v>
      </c>
    </row>
    <row r="73" spans="1:15" x14ac:dyDescent="0.55000000000000004">
      <c r="D73" t="s">
        <v>1047</v>
      </c>
      <c r="E73">
        <f>E72*60*60*24*E31</f>
        <v>109533.59999999999</v>
      </c>
      <c r="F73">
        <f>E73/E69</f>
        <v>6.1281337047353779E-2</v>
      </c>
    </row>
    <row r="74" spans="1:15" x14ac:dyDescent="0.55000000000000004">
      <c r="D74" t="s">
        <v>1009</v>
      </c>
      <c r="E74">
        <f>13.8/E33</f>
        <v>2.5652419354838706E-2</v>
      </c>
      <c r="K74" t="s">
        <v>746</v>
      </c>
      <c r="L74" s="15">
        <f>L56*L53/100*365*24*3600/1000</f>
        <v>928104.4800000001</v>
      </c>
      <c r="M74" t="s">
        <v>747</v>
      </c>
      <c r="N74" t="s">
        <v>748</v>
      </c>
    </row>
    <row r="75" spans="1:15" x14ac:dyDescent="0.55000000000000004">
      <c r="A75" s="3" t="s">
        <v>29</v>
      </c>
      <c r="D75" t="s">
        <v>1010</v>
      </c>
      <c r="E75">
        <f>E74*60*60*24</f>
        <v>2216.3690322580642</v>
      </c>
      <c r="K75" t="s">
        <v>749</v>
      </c>
      <c r="L75">
        <f>L57*24*365*L53/100</f>
        <v>1332396</v>
      </c>
      <c r="M75" t="s">
        <v>750</v>
      </c>
      <c r="N75" t="s">
        <v>748</v>
      </c>
      <c r="O75" t="s">
        <v>751</v>
      </c>
    </row>
    <row r="76" spans="1:15" x14ac:dyDescent="0.55000000000000004">
      <c r="A76" s="3" t="s">
        <v>11</v>
      </c>
      <c r="D76" t="s">
        <v>1011</v>
      </c>
      <c r="E76">
        <f>E75*E31</f>
        <v>687074.39999999991</v>
      </c>
      <c r="F76">
        <f>E76/E69</f>
        <v>0.38440111420612827</v>
      </c>
      <c r="G76">
        <f>F76+F73+F71</f>
        <v>1.0000000000000002</v>
      </c>
      <c r="K76" t="s">
        <v>749</v>
      </c>
      <c r="L76">
        <f>L75*S3/L70</f>
        <v>109014218.18181819</v>
      </c>
      <c r="M76" t="s">
        <v>487</v>
      </c>
      <c r="N76" t="s">
        <v>748</v>
      </c>
      <c r="O76" t="s">
        <v>752</v>
      </c>
    </row>
    <row r="77" spans="1:15" x14ac:dyDescent="0.55000000000000004">
      <c r="A77" s="5" t="s">
        <v>35</v>
      </c>
    </row>
    <row r="78" spans="1:15" x14ac:dyDescent="0.55000000000000004">
      <c r="A78" t="s">
        <v>30</v>
      </c>
      <c r="D78" t="s">
        <v>1012</v>
      </c>
      <c r="K78" t="s">
        <v>753</v>
      </c>
      <c r="L78">
        <v>11.35</v>
      </c>
      <c r="M78" t="s">
        <v>754</v>
      </c>
      <c r="N78" t="s">
        <v>755</v>
      </c>
      <c r="O78" t="s">
        <v>756</v>
      </c>
    </row>
    <row r="79" spans="1:15" x14ac:dyDescent="0.55000000000000004">
      <c r="A79" t="s">
        <v>625</v>
      </c>
      <c r="B79" s="15">
        <f>L124/100*B11</f>
        <v>47.182048966687496</v>
      </c>
      <c r="D79" t="s">
        <v>1048</v>
      </c>
      <c r="E79">
        <f>2.2/E33</f>
        <v>4.0895161290322576E-3</v>
      </c>
      <c r="K79" t="s">
        <v>757</v>
      </c>
      <c r="L79">
        <f>B4*2.2/2000</f>
        <v>1267.7499999999998</v>
      </c>
      <c r="M79" t="s">
        <v>758</v>
      </c>
      <c r="N79" t="s">
        <v>759</v>
      </c>
    </row>
    <row r="80" spans="1:15" x14ac:dyDescent="0.55000000000000004">
      <c r="A80" t="s">
        <v>32</v>
      </c>
      <c r="D80" t="s">
        <v>1013</v>
      </c>
      <c r="E80">
        <f>641*E31/E33</f>
        <v>369.37624999999991</v>
      </c>
      <c r="K80" t="s">
        <v>760</v>
      </c>
      <c r="L80" s="50">
        <v>268597.0406145241</v>
      </c>
      <c r="M80" t="s">
        <v>761</v>
      </c>
      <c r="N80" t="s">
        <v>178</v>
      </c>
      <c r="O80" t="s">
        <v>762</v>
      </c>
    </row>
    <row r="81" spans="1:19" x14ac:dyDescent="0.55000000000000004">
      <c r="A81" t="s">
        <v>36</v>
      </c>
      <c r="D81" t="s">
        <v>1014</v>
      </c>
      <c r="E81">
        <f>378*E31/E33</f>
        <v>217.82249999999996</v>
      </c>
      <c r="K81" t="s">
        <v>190</v>
      </c>
      <c r="L81" s="50">
        <v>1969.5346365468292</v>
      </c>
      <c r="M81" t="s">
        <v>763</v>
      </c>
      <c r="N81" t="s">
        <v>178</v>
      </c>
      <c r="O81" t="s">
        <v>764</v>
      </c>
      <c r="R81">
        <f>L81*1.1/1000</f>
        <v>2.1664881002015122</v>
      </c>
      <c r="S81" t="s">
        <v>941</v>
      </c>
    </row>
    <row r="82" spans="1:19" x14ac:dyDescent="0.55000000000000004">
      <c r="A82" t="s">
        <v>37</v>
      </c>
      <c r="D82" t="s">
        <v>1015</v>
      </c>
      <c r="E82" s="2">
        <f>E81*1000</f>
        <v>217822.49999999997</v>
      </c>
      <c r="K82" t="s">
        <v>194</v>
      </c>
      <c r="L82" s="50">
        <v>590.99640690144076</v>
      </c>
      <c r="M82" t="s">
        <v>763</v>
      </c>
      <c r="N82" t="s">
        <v>178</v>
      </c>
      <c r="O82" t="s">
        <v>764</v>
      </c>
      <c r="R82">
        <f>L82*1.1/1000</f>
        <v>0.6500960475915849</v>
      </c>
      <c r="S82" t="s">
        <v>941</v>
      </c>
    </row>
    <row r="83" spans="1:19" x14ac:dyDescent="0.55000000000000004">
      <c r="A83" t="s">
        <v>38</v>
      </c>
      <c r="D83" t="s">
        <v>52</v>
      </c>
      <c r="E83" s="122">
        <f>E82*0.2</f>
        <v>43564.5</v>
      </c>
      <c r="F83" s="145">
        <f>E83/$E$82</f>
        <v>0.20000000000000004</v>
      </c>
      <c r="K83" t="s">
        <v>198</v>
      </c>
      <c r="L83" s="50">
        <v>522.47496536252322</v>
      </c>
      <c r="M83" t="s">
        <v>763</v>
      </c>
      <c r="N83" t="s">
        <v>178</v>
      </c>
      <c r="O83" t="s">
        <v>764</v>
      </c>
      <c r="R83">
        <f>L83*1.1/1000</f>
        <v>0.57472246189877563</v>
      </c>
      <c r="S83" t="s">
        <v>941</v>
      </c>
    </row>
    <row r="84" spans="1:19" x14ac:dyDescent="0.55000000000000004">
      <c r="A84" t="s">
        <v>41</v>
      </c>
      <c r="D84" t="s">
        <v>98</v>
      </c>
      <c r="E84" s="122">
        <f>E82*0.26</f>
        <v>56633.849999999991</v>
      </c>
      <c r="F84" s="145">
        <f>E84/$E$82</f>
        <v>0.26</v>
      </c>
      <c r="K84" t="s">
        <v>202</v>
      </c>
      <c r="L84" s="50">
        <v>23237.101336174801</v>
      </c>
      <c r="M84" t="s">
        <v>763</v>
      </c>
      <c r="N84" t="s">
        <v>178</v>
      </c>
      <c r="O84" t="s">
        <v>764</v>
      </c>
      <c r="R84">
        <f>L84*1.1/1000</f>
        <v>25.560811469792284</v>
      </c>
      <c r="S84" t="s">
        <v>941</v>
      </c>
    </row>
    <row r="85" spans="1:19" x14ac:dyDescent="0.55000000000000004">
      <c r="A85" t="s">
        <v>39</v>
      </c>
      <c r="D85" t="s">
        <v>18</v>
      </c>
      <c r="E85" s="122">
        <f>E82-E83-E84-E87</f>
        <v>89307.224999999977</v>
      </c>
      <c r="F85" s="145">
        <f>E85/$E$82</f>
        <v>0.41</v>
      </c>
      <c r="K85" t="s">
        <v>765</v>
      </c>
      <c r="L85" s="50">
        <v>61.698561564646532</v>
      </c>
      <c r="M85" t="s">
        <v>763</v>
      </c>
      <c r="N85" t="s">
        <v>178</v>
      </c>
      <c r="O85" t="s">
        <v>764</v>
      </c>
    </row>
    <row r="86" spans="1:19" x14ac:dyDescent="0.55000000000000004">
      <c r="A86" s="1" t="s">
        <v>40</v>
      </c>
      <c r="D86" t="s">
        <v>97</v>
      </c>
      <c r="E86" s="122"/>
      <c r="F86" s="145">
        <f>E86/$E$82</f>
        <v>0</v>
      </c>
      <c r="K86" t="s">
        <v>766</v>
      </c>
      <c r="L86" s="50">
        <v>11.762188840843852</v>
      </c>
      <c r="M86" t="s">
        <v>763</v>
      </c>
      <c r="N86" t="s">
        <v>178</v>
      </c>
      <c r="O86" t="s">
        <v>764</v>
      </c>
    </row>
    <row r="87" spans="1:19" x14ac:dyDescent="0.55000000000000004">
      <c r="A87" t="s">
        <v>42</v>
      </c>
      <c r="B87">
        <f>B4</f>
        <v>1152499.9999999998</v>
      </c>
      <c r="D87" t="s">
        <v>1016</v>
      </c>
      <c r="E87" s="122">
        <f>E82*0.13</f>
        <v>28316.924999999996</v>
      </c>
      <c r="F87" s="145">
        <f>E87/$E$82</f>
        <v>0.13</v>
      </c>
      <c r="K87" t="s">
        <v>767</v>
      </c>
      <c r="L87" s="50">
        <v>0</v>
      </c>
      <c r="M87" t="s">
        <v>768</v>
      </c>
      <c r="N87" t="s">
        <v>769</v>
      </c>
      <c r="O87" t="s">
        <v>770</v>
      </c>
    </row>
    <row r="88" spans="1:19" x14ac:dyDescent="0.55000000000000004">
      <c r="D88" t="s">
        <v>100</v>
      </c>
      <c r="E88" s="122"/>
    </row>
    <row r="89" spans="1:19" x14ac:dyDescent="0.55000000000000004">
      <c r="A89" s="42"/>
      <c r="B89" s="42"/>
      <c r="L89" t="s">
        <v>771</v>
      </c>
    </row>
    <row r="90" spans="1:19" x14ac:dyDescent="0.55000000000000004">
      <c r="A90" s="146" t="s">
        <v>26</v>
      </c>
      <c r="B90" s="42"/>
      <c r="D90" t="s">
        <v>1023</v>
      </c>
      <c r="L90" s="50"/>
    </row>
    <row r="91" spans="1:19" x14ac:dyDescent="0.55000000000000004">
      <c r="A91" s="42" t="s">
        <v>43</v>
      </c>
      <c r="B91" s="42"/>
      <c r="D91" t="s">
        <v>1024</v>
      </c>
      <c r="E91">
        <f>B87*0.49/1000</f>
        <v>564.72499999999991</v>
      </c>
      <c r="K91" t="s">
        <v>453</v>
      </c>
      <c r="L91" s="50">
        <f>17*(3+10+20+25+32)/99</f>
        <v>15.454545454545455</v>
      </c>
      <c r="M91" t="s">
        <v>247</v>
      </c>
      <c r="N91" t="s">
        <v>772</v>
      </c>
      <c r="O91" t="s">
        <v>773</v>
      </c>
    </row>
    <row r="92" spans="1:19" x14ac:dyDescent="0.55000000000000004">
      <c r="A92" s="42" t="s">
        <v>44</v>
      </c>
      <c r="B92" s="42"/>
      <c r="D92" t="s">
        <v>1028</v>
      </c>
      <c r="E92">
        <f>378*(E31/E33)*0.87</f>
        <v>189.50557499999996</v>
      </c>
      <c r="F92" s="148">
        <f>E92/$E$91</f>
        <v>0.33557142857142858</v>
      </c>
      <c r="K92" t="s">
        <v>453</v>
      </c>
      <c r="L92" s="50">
        <f>(20+480)*17/99</f>
        <v>85.858585858585855</v>
      </c>
      <c r="M92" t="s">
        <v>247</v>
      </c>
      <c r="N92" t="s">
        <v>774</v>
      </c>
      <c r="O92" t="s">
        <v>775</v>
      </c>
    </row>
    <row r="93" spans="1:19" x14ac:dyDescent="0.55000000000000004">
      <c r="A93" s="42" t="s">
        <v>45</v>
      </c>
      <c r="B93" s="42"/>
      <c r="D93" t="s">
        <v>1025</v>
      </c>
      <c r="E93">
        <f>114*E31/E33</f>
        <v>65.692499999999981</v>
      </c>
      <c r="F93" s="148">
        <f>E93/$E$91</f>
        <v>0.11632653061224488</v>
      </c>
      <c r="K93" t="s">
        <v>453</v>
      </c>
      <c r="L93" s="50">
        <f>17*(0.96*25+1.92*140)/99</f>
        <v>50.278787878787881</v>
      </c>
      <c r="M93" t="s">
        <v>247</v>
      </c>
      <c r="N93" t="s">
        <v>774</v>
      </c>
      <c r="O93" t="s">
        <v>776</v>
      </c>
    </row>
    <row r="94" spans="1:19" x14ac:dyDescent="0.55000000000000004">
      <c r="A94" s="42" t="s">
        <v>46</v>
      </c>
      <c r="B94" s="42"/>
      <c r="D94" t="s">
        <v>1026</v>
      </c>
      <c r="E94">
        <f>27*(E31/E33)*(12/44)</f>
        <v>4.2432954545454535</v>
      </c>
      <c r="F94" s="148">
        <f>E94/$E$91</f>
        <v>7.5139146567717993E-3</v>
      </c>
      <c r="K94" t="s">
        <v>453</v>
      </c>
      <c r="L94" s="50">
        <f>(48+96+500*1.92+0.96*150)*17/99</f>
        <v>214.30303030303031</v>
      </c>
      <c r="M94" t="s">
        <v>247</v>
      </c>
      <c r="N94" t="s">
        <v>774</v>
      </c>
      <c r="O94" t="s">
        <v>777</v>
      </c>
    </row>
    <row r="95" spans="1:19" x14ac:dyDescent="0.55000000000000004">
      <c r="A95" s="42" t="s">
        <v>629</v>
      </c>
      <c r="B95" s="42"/>
      <c r="D95" t="s">
        <v>1027</v>
      </c>
      <c r="E95">
        <f>E106</f>
        <v>69.638540259740253</v>
      </c>
      <c r="F95" s="148">
        <f>E95/$E$91</f>
        <v>0.12331407368142062</v>
      </c>
      <c r="K95" t="s">
        <v>453</v>
      </c>
      <c r="L95" s="50">
        <f>(3*26+26)*17/99</f>
        <v>17.858585858585858</v>
      </c>
      <c r="M95" t="s">
        <v>247</v>
      </c>
      <c r="N95" t="s">
        <v>774</v>
      </c>
      <c r="O95" t="s">
        <v>778</v>
      </c>
    </row>
    <row r="96" spans="1:19" x14ac:dyDescent="0.55000000000000004">
      <c r="A96" s="42" t="s">
        <v>783</v>
      </c>
      <c r="B96" s="42">
        <f>E63*1000</f>
        <v>615434.99999999988</v>
      </c>
      <c r="D96" t="s">
        <v>1029</v>
      </c>
      <c r="E96">
        <f>SUM(E92:E95)</f>
        <v>329.07991071428563</v>
      </c>
      <c r="K96" t="s">
        <v>453</v>
      </c>
      <c r="L96" s="50">
        <f>(30+8+0.96*100)*17*4/99</f>
        <v>92.040404040404042</v>
      </c>
      <c r="M96" t="s">
        <v>247</v>
      </c>
      <c r="N96" t="s">
        <v>774</v>
      </c>
      <c r="O96" t="s">
        <v>779</v>
      </c>
    </row>
    <row r="97" spans="1:15" x14ac:dyDescent="0.55000000000000004">
      <c r="A97" s="57" t="s">
        <v>33</v>
      </c>
      <c r="B97" s="42"/>
      <c r="K97" t="s">
        <v>453</v>
      </c>
      <c r="L97" s="50">
        <f>(1.92*150+0.96*100)*17*8/99</f>
        <v>527.5151515151515</v>
      </c>
      <c r="M97" t="s">
        <v>247</v>
      </c>
      <c r="N97" t="s">
        <v>774</v>
      </c>
      <c r="O97" t="s">
        <v>780</v>
      </c>
    </row>
    <row r="98" spans="1:15" x14ac:dyDescent="0.55000000000000004">
      <c r="A98" s="42" t="s">
        <v>34</v>
      </c>
      <c r="B98" s="147"/>
      <c r="D98" t="s">
        <v>1038</v>
      </c>
      <c r="E98">
        <f>E91-E96</f>
        <v>235.64508928571428</v>
      </c>
      <c r="F98" s="148">
        <f>E98/$E$91</f>
        <v>0.41727405247813415</v>
      </c>
      <c r="K98" t="s">
        <v>453</v>
      </c>
      <c r="L98" s="50">
        <f>(3*35+175+35)*17*4/99</f>
        <v>216.36363636363637</v>
      </c>
      <c r="M98" t="s">
        <v>247</v>
      </c>
      <c r="N98" t="s">
        <v>774</v>
      </c>
      <c r="O98" t="s">
        <v>781</v>
      </c>
    </row>
    <row r="99" spans="1:15" x14ac:dyDescent="0.55000000000000004">
      <c r="A99" s="42" t="s">
        <v>1019</v>
      </c>
      <c r="B99" s="42">
        <f>E49*1000</f>
        <v>65692.499999999985</v>
      </c>
      <c r="D99" t="s">
        <v>1037</v>
      </c>
      <c r="E99">
        <f>(E98+E95+E94)*(44/12)</f>
        <v>1134.9320583333331</v>
      </c>
      <c r="K99" t="s">
        <v>453</v>
      </c>
      <c r="L99" s="50">
        <f>(36+20)*17/99</f>
        <v>9.6161616161616159</v>
      </c>
      <c r="M99" t="s">
        <v>247</v>
      </c>
      <c r="N99" t="s">
        <v>774</v>
      </c>
      <c r="O99" t="s">
        <v>782</v>
      </c>
    </row>
    <row r="100" spans="1:15" x14ac:dyDescent="0.55000000000000004">
      <c r="A100" s="42" t="s">
        <v>634</v>
      </c>
      <c r="B100" s="42"/>
      <c r="K100" t="s">
        <v>784</v>
      </c>
      <c r="L100" s="50">
        <f>SUM(L91:L99)</f>
        <v>1229.2888888888888</v>
      </c>
      <c r="M100" t="s">
        <v>944</v>
      </c>
      <c r="N100" t="s">
        <v>759</v>
      </c>
    </row>
    <row r="101" spans="1:15" x14ac:dyDescent="0.55000000000000004">
      <c r="A101" s="42" t="s">
        <v>633</v>
      </c>
      <c r="B101" s="147">
        <f>E99*1000</f>
        <v>1134932.0583333331</v>
      </c>
      <c r="D101" t="s">
        <v>1030</v>
      </c>
      <c r="E101">
        <f>((35.9)*60*60*24)/E33</f>
        <v>5765.7716129032251</v>
      </c>
      <c r="K101" t="s">
        <v>784</v>
      </c>
      <c r="L101">
        <f>L100/(L79/247)/14.7</f>
        <v>16.292958656764053</v>
      </c>
      <c r="M101" t="s">
        <v>638</v>
      </c>
      <c r="N101" t="s">
        <v>759</v>
      </c>
    </row>
    <row r="102" spans="1:15" x14ac:dyDescent="0.55000000000000004">
      <c r="A102" s="42" t="s">
        <v>1020</v>
      </c>
      <c r="B102" s="42">
        <f>E44*1000</f>
        <v>1261411.2499999998</v>
      </c>
      <c r="D102" t="s">
        <v>1032</v>
      </c>
      <c r="E102">
        <f>E101/0.35</f>
        <v>16473.6331797235</v>
      </c>
      <c r="K102" t="s">
        <v>785</v>
      </c>
      <c r="L102" s="50">
        <f>145000/99</f>
        <v>1464.6464646464647</v>
      </c>
      <c r="M102" t="s">
        <v>786</v>
      </c>
      <c r="N102" t="s">
        <v>774</v>
      </c>
      <c r="O102" t="s">
        <v>787</v>
      </c>
    </row>
    <row r="103" spans="1:15" x14ac:dyDescent="0.55000000000000004">
      <c r="A103" s="42" t="s">
        <v>1040</v>
      </c>
      <c r="B103" s="42">
        <f>E61*1000</f>
        <v>2304.9999999999995</v>
      </c>
      <c r="D103" t="s">
        <v>1031</v>
      </c>
      <c r="E103">
        <v>55</v>
      </c>
      <c r="L103" s="50"/>
    </row>
    <row r="104" spans="1:15" x14ac:dyDescent="0.55000000000000004">
      <c r="A104" s="42" t="s">
        <v>1021</v>
      </c>
      <c r="B104" s="42">
        <f>E56*1000</f>
        <v>865527.49999999977</v>
      </c>
      <c r="D104" t="s">
        <v>1033</v>
      </c>
      <c r="E104">
        <f>E102/E103</f>
        <v>299.52060326769998</v>
      </c>
      <c r="K104" t="s">
        <v>788</v>
      </c>
      <c r="L104">
        <v>0.27</v>
      </c>
      <c r="M104" t="s">
        <v>789</v>
      </c>
      <c r="N104" t="s">
        <v>774</v>
      </c>
    </row>
    <row r="105" spans="1:15" x14ac:dyDescent="0.55000000000000004">
      <c r="A105" s="42" t="s">
        <v>1022</v>
      </c>
      <c r="B105" s="42">
        <f>E69</f>
        <v>1787389.1999999993</v>
      </c>
      <c r="D105" t="s">
        <v>1034</v>
      </c>
      <c r="E105">
        <f>E104*(12/16)</f>
        <v>224.640452450775</v>
      </c>
      <c r="L105" s="51" t="s">
        <v>790</v>
      </c>
      <c r="N105" t="s">
        <v>791</v>
      </c>
    </row>
    <row r="106" spans="1:15" x14ac:dyDescent="0.55000000000000004">
      <c r="A106" s="42" t="s">
        <v>32</v>
      </c>
      <c r="B106" s="42"/>
      <c r="D106" t="s">
        <v>1035</v>
      </c>
      <c r="E106">
        <f>E105*E31/1000</f>
        <v>69.638540259740253</v>
      </c>
    </row>
    <row r="107" spans="1:15" x14ac:dyDescent="0.55000000000000004">
      <c r="A107" s="42"/>
      <c r="B107" s="42"/>
      <c r="K107" t="s">
        <v>792</v>
      </c>
      <c r="L107">
        <v>397000</v>
      </c>
      <c r="M107" t="s">
        <v>271</v>
      </c>
      <c r="N107" t="s">
        <v>793</v>
      </c>
      <c r="O107" t="s">
        <v>794</v>
      </c>
    </row>
    <row r="108" spans="1:15" x14ac:dyDescent="0.55000000000000004">
      <c r="A108" s="146" t="s">
        <v>28</v>
      </c>
      <c r="B108" s="42"/>
      <c r="D108" t="s">
        <v>1096</v>
      </c>
      <c r="K108" t="s">
        <v>795</v>
      </c>
      <c r="L108">
        <v>40319</v>
      </c>
      <c r="M108" t="s">
        <v>271</v>
      </c>
      <c r="N108" t="s">
        <v>796</v>
      </c>
      <c r="O108" t="s">
        <v>797</v>
      </c>
    </row>
    <row r="109" spans="1:15" x14ac:dyDescent="0.55000000000000004">
      <c r="A109" s="42" t="s">
        <v>50</v>
      </c>
      <c r="D109" t="s">
        <v>1095</v>
      </c>
      <c r="E109">
        <f>E84*0.82</f>
        <v>46439.756999999991</v>
      </c>
      <c r="K109" t="s">
        <v>798</v>
      </c>
      <c r="L109" s="122">
        <v>508000</v>
      </c>
      <c r="M109" t="s">
        <v>271</v>
      </c>
      <c r="N109" t="s">
        <v>793</v>
      </c>
      <c r="O109" t="s">
        <v>799</v>
      </c>
    </row>
    <row r="110" spans="1:15" x14ac:dyDescent="0.55000000000000004">
      <c r="A110" s="42" t="s">
        <v>51</v>
      </c>
      <c r="K110" t="s">
        <v>800</v>
      </c>
      <c r="L110" s="122">
        <v>362000</v>
      </c>
      <c r="M110" t="s">
        <v>271</v>
      </c>
      <c r="N110" t="s">
        <v>793</v>
      </c>
      <c r="O110" t="s">
        <v>801</v>
      </c>
    </row>
    <row r="111" spans="1:15" x14ac:dyDescent="0.55000000000000004">
      <c r="A111" s="42" t="s">
        <v>52</v>
      </c>
      <c r="B111" s="122">
        <f>E83</f>
        <v>43564.5</v>
      </c>
      <c r="D111" s="172" t="s">
        <v>1150</v>
      </c>
      <c r="K111" t="s">
        <v>802</v>
      </c>
      <c r="L111" s="122">
        <v>54000</v>
      </c>
      <c r="M111" t="s">
        <v>271</v>
      </c>
      <c r="N111" t="s">
        <v>793</v>
      </c>
      <c r="O111" t="s">
        <v>803</v>
      </c>
    </row>
    <row r="112" spans="1:15" x14ac:dyDescent="0.55000000000000004">
      <c r="A112" s="42" t="s">
        <v>53</v>
      </c>
      <c r="B112" s="15"/>
      <c r="D112" s="173" t="s">
        <v>1151</v>
      </c>
      <c r="E112">
        <f>((14375/2.2)/3)/$E$33</f>
        <v>4.0486772971651996</v>
      </c>
      <c r="F112" t="s">
        <v>185</v>
      </c>
      <c r="K112" t="s">
        <v>804</v>
      </c>
      <c r="L112" s="122">
        <v>165716</v>
      </c>
      <c r="M112" t="s">
        <v>271</v>
      </c>
      <c r="N112" t="s">
        <v>796</v>
      </c>
      <c r="O112" t="s">
        <v>805</v>
      </c>
    </row>
    <row r="113" spans="1:15" x14ac:dyDescent="0.55000000000000004">
      <c r="A113" s="42" t="s">
        <v>59</v>
      </c>
      <c r="B113">
        <f>E80*1000</f>
        <v>369376.24999999994</v>
      </c>
      <c r="D113" s="173" t="s">
        <v>1152</v>
      </c>
      <c r="E113">
        <f>((512467/2.2)/3)/$E$33</f>
        <v>144.33485276148579</v>
      </c>
      <c r="F113" t="s">
        <v>185</v>
      </c>
      <c r="K113" t="s">
        <v>806</v>
      </c>
      <c r="L113" s="122">
        <v>31000</v>
      </c>
      <c r="M113" t="s">
        <v>271</v>
      </c>
      <c r="N113" t="s">
        <v>793</v>
      </c>
      <c r="O113" t="s">
        <v>807</v>
      </c>
    </row>
    <row r="114" spans="1:15" x14ac:dyDescent="0.55000000000000004">
      <c r="A114" s="42" t="s">
        <v>95</v>
      </c>
      <c r="K114" t="s">
        <v>808</v>
      </c>
      <c r="L114" s="122">
        <v>34000</v>
      </c>
      <c r="M114" t="s">
        <v>271</v>
      </c>
      <c r="N114" t="s">
        <v>796</v>
      </c>
      <c r="O114" t="s">
        <v>809</v>
      </c>
    </row>
    <row r="115" spans="1:15" x14ac:dyDescent="0.55000000000000004">
      <c r="A115" s="42" t="s">
        <v>636</v>
      </c>
      <c r="D115" s="173" t="s">
        <v>1153</v>
      </c>
      <c r="E115">
        <f>((13125/2.2)/3)/$E$33</f>
        <v>3.6966184017595296</v>
      </c>
      <c r="F115" t="s">
        <v>185</v>
      </c>
      <c r="K115" t="s">
        <v>810</v>
      </c>
      <c r="L115" s="122">
        <v>135000</v>
      </c>
      <c r="M115" t="s">
        <v>271</v>
      </c>
      <c r="N115" t="s">
        <v>796</v>
      </c>
      <c r="O115" t="s">
        <v>811</v>
      </c>
    </row>
    <row r="116" spans="1:15" x14ac:dyDescent="0.55000000000000004">
      <c r="A116" s="42" t="s">
        <v>637</v>
      </c>
      <c r="B116" s="141"/>
      <c r="D116" s="173" t="s">
        <v>1154</v>
      </c>
      <c r="E116">
        <f>((408533/2.2)/3)/$E$33</f>
        <v>115.06214137341151</v>
      </c>
      <c r="F116" t="s">
        <v>185</v>
      </c>
      <c r="K116" t="s">
        <v>812</v>
      </c>
      <c r="L116">
        <v>47000</v>
      </c>
      <c r="M116" t="s">
        <v>271</v>
      </c>
      <c r="N116" t="s">
        <v>793</v>
      </c>
      <c r="O116" t="s">
        <v>813</v>
      </c>
    </row>
    <row r="117" spans="1:15" x14ac:dyDescent="0.55000000000000004">
      <c r="A117" s="42" t="s">
        <v>96</v>
      </c>
      <c r="B117" s="122">
        <f>E87</f>
        <v>28316.924999999996</v>
      </c>
      <c r="D117" s="173" t="s">
        <v>1155</v>
      </c>
      <c r="E117">
        <f>((6867/2.2)/3)/$E$33</f>
        <v>1.9340707478005859</v>
      </c>
      <c r="F117" t="s">
        <v>185</v>
      </c>
      <c r="K117" t="s">
        <v>814</v>
      </c>
      <c r="L117">
        <f>SUM(L107:L116)</f>
        <v>1774035</v>
      </c>
    </row>
    <row r="118" spans="1:15" x14ac:dyDescent="0.55000000000000004">
      <c r="A118" s="42" t="s">
        <v>97</v>
      </c>
      <c r="L118" t="s">
        <v>815</v>
      </c>
    </row>
    <row r="119" spans="1:15" x14ac:dyDescent="0.55000000000000004">
      <c r="A119" s="42" t="s">
        <v>98</v>
      </c>
      <c r="B119" s="122"/>
      <c r="C119" t="s">
        <v>1097</v>
      </c>
      <c r="K119" t="s">
        <v>937</v>
      </c>
      <c r="L119">
        <v>50.88</v>
      </c>
      <c r="M119" t="s">
        <v>816</v>
      </c>
      <c r="N119" t="s">
        <v>817</v>
      </c>
      <c r="O119" t="s">
        <v>818</v>
      </c>
    </row>
    <row r="120" spans="1:15" x14ac:dyDescent="0.55000000000000004">
      <c r="A120" s="42" t="s">
        <v>18</v>
      </c>
      <c r="B120" s="122">
        <f>E85</f>
        <v>89307.224999999977</v>
      </c>
      <c r="K120" t="s">
        <v>935</v>
      </c>
      <c r="L120">
        <f>L119/100*B4*S13/S5</f>
        <v>2150103.9999999995</v>
      </c>
      <c r="M120" t="s">
        <v>185</v>
      </c>
      <c r="N120" t="s">
        <v>759</v>
      </c>
    </row>
    <row r="121" spans="1:15" x14ac:dyDescent="0.55000000000000004">
      <c r="A121" s="42" t="s">
        <v>100</v>
      </c>
      <c r="B121" s="2">
        <f>E109</f>
        <v>46439.756999999991</v>
      </c>
      <c r="K121" t="s">
        <v>938</v>
      </c>
      <c r="L121">
        <v>48.6</v>
      </c>
      <c r="N121" t="s">
        <v>934</v>
      </c>
    </row>
    <row r="122" spans="1:15" x14ac:dyDescent="0.55000000000000004">
      <c r="A122" s="42" t="s">
        <v>32</v>
      </c>
      <c r="K122" t="s">
        <v>936</v>
      </c>
      <c r="L122" s="51">
        <f>2084940</f>
        <v>2084940</v>
      </c>
      <c r="N122" t="s">
        <v>939</v>
      </c>
    </row>
    <row r="123" spans="1:15" x14ac:dyDescent="0.55000000000000004">
      <c r="L123" t="s">
        <v>419</v>
      </c>
    </row>
    <row r="124" spans="1:15" x14ac:dyDescent="0.55000000000000004">
      <c r="K124" s="115" t="s">
        <v>210</v>
      </c>
      <c r="L124" s="1">
        <v>1.325</v>
      </c>
      <c r="M124" s="1" t="s">
        <v>204</v>
      </c>
      <c r="N124" s="1" t="s">
        <v>211</v>
      </c>
    </row>
    <row r="128" spans="1:15" x14ac:dyDescent="0.55000000000000004">
      <c r="A128" s="3" t="s">
        <v>49</v>
      </c>
    </row>
    <row r="129" spans="1:1" x14ac:dyDescent="0.55000000000000004">
      <c r="A129" t="s">
        <v>54</v>
      </c>
    </row>
    <row r="130" spans="1:1" x14ac:dyDescent="0.55000000000000004">
      <c r="A130" s="123" t="s">
        <v>819</v>
      </c>
    </row>
    <row r="131" spans="1:1" x14ac:dyDescent="0.55000000000000004">
      <c r="A131" s="123" t="s">
        <v>820</v>
      </c>
    </row>
    <row r="132" spans="1:1" x14ac:dyDescent="0.55000000000000004">
      <c r="A132" s="123" t="s">
        <v>821</v>
      </c>
    </row>
    <row r="133" spans="1:1" x14ac:dyDescent="0.55000000000000004">
      <c r="A133" s="123" t="s">
        <v>822</v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33"/>
  <sheetViews>
    <sheetView topLeftCell="A148" zoomScale="46" workbookViewId="0">
      <selection sqref="A1:V199"/>
    </sheetView>
  </sheetViews>
  <sheetFormatPr defaultColWidth="10.89453125" defaultRowHeight="14.4" x14ac:dyDescent="0.55000000000000004"/>
  <cols>
    <col min="1" max="1" width="32.62890625" customWidth="1"/>
    <col min="2" max="2" width="14.15625" bestFit="1" customWidth="1"/>
    <col min="3" max="3" width="15.47265625" bestFit="1" customWidth="1"/>
    <col min="5" max="5" width="13.7890625" bestFit="1" customWidth="1"/>
    <col min="9" max="9" width="13.7890625" bestFit="1" customWidth="1"/>
    <col min="13" max="13" width="13.7890625" bestFit="1" customWidth="1"/>
    <col min="17" max="17" width="13.7890625" bestFit="1" customWidth="1"/>
  </cols>
  <sheetData>
    <row r="1" spans="1:19" x14ac:dyDescent="0.55000000000000004">
      <c r="B1" t="s">
        <v>1065</v>
      </c>
      <c r="C1" t="s">
        <v>5</v>
      </c>
    </row>
    <row r="2" spans="1:19" x14ac:dyDescent="0.55000000000000004">
      <c r="A2" t="s">
        <v>12</v>
      </c>
      <c r="B2">
        <v>100</v>
      </c>
    </row>
    <row r="3" spans="1:19" x14ac:dyDescent="0.55000000000000004">
      <c r="A3" s="3" t="s">
        <v>10</v>
      </c>
      <c r="E3" t="s">
        <v>1074</v>
      </c>
      <c r="J3" t="s">
        <v>1068</v>
      </c>
      <c r="M3" t="s">
        <v>1078</v>
      </c>
      <c r="Q3" t="s">
        <v>178</v>
      </c>
    </row>
    <row r="4" spans="1:19" x14ac:dyDescent="0.55000000000000004">
      <c r="A4" s="5" t="s">
        <v>171</v>
      </c>
      <c r="B4" s="51">
        <f>8.96*1000*B2</f>
        <v>896000</v>
      </c>
      <c r="C4" t="s">
        <v>1067</v>
      </c>
      <c r="E4" t="s">
        <v>176</v>
      </c>
      <c r="F4">
        <f>AVERAGE(10,18,19,14)</f>
        <v>15.25</v>
      </c>
      <c r="G4" t="s">
        <v>1079</v>
      </c>
      <c r="I4" t="str">
        <f>E4</f>
        <v>Yield</v>
      </c>
      <c r="J4">
        <v>10.4</v>
      </c>
      <c r="K4" t="str">
        <f>G4</f>
        <v>t/ha-yr</v>
      </c>
      <c r="M4" t="str">
        <f>E4</f>
        <v>Yield</v>
      </c>
      <c r="N4">
        <v>9</v>
      </c>
      <c r="O4" t="str">
        <f>K4</f>
        <v>t/ha-yr</v>
      </c>
      <c r="Q4" t="str">
        <f>E4</f>
        <v>Yield</v>
      </c>
      <c r="R4">
        <v>10</v>
      </c>
      <c r="S4" t="str">
        <f>O4</f>
        <v>t/ha-yr</v>
      </c>
    </row>
    <row r="5" spans="1:19" x14ac:dyDescent="0.55000000000000004">
      <c r="A5" t="s">
        <v>175</v>
      </c>
      <c r="B5">
        <v>100</v>
      </c>
    </row>
    <row r="6" spans="1:19" x14ac:dyDescent="0.55000000000000004">
      <c r="A6" t="s">
        <v>183</v>
      </c>
      <c r="B6">
        <v>0</v>
      </c>
    </row>
    <row r="7" spans="1:19" x14ac:dyDescent="0.55000000000000004">
      <c r="A7" t="s">
        <v>13</v>
      </c>
      <c r="B7" s="2">
        <f>0.635*10000*B5</f>
        <v>635000</v>
      </c>
      <c r="C7" t="s">
        <v>1069</v>
      </c>
      <c r="E7" t="s">
        <v>1070</v>
      </c>
      <c r="F7">
        <v>800</v>
      </c>
      <c r="G7" t="s">
        <v>1071</v>
      </c>
      <c r="H7" t="s">
        <v>1072</v>
      </c>
      <c r="I7" t="str">
        <f>E7</f>
        <v>Rain</v>
      </c>
      <c r="J7">
        <v>907</v>
      </c>
      <c r="K7" t="str">
        <f>G7</f>
        <v>mm/yr</v>
      </c>
      <c r="L7" t="s">
        <v>1075</v>
      </c>
      <c r="M7" t="str">
        <f>E7</f>
        <v>Rain</v>
      </c>
    </row>
    <row r="8" spans="1:19" x14ac:dyDescent="0.55000000000000004">
      <c r="A8" t="s">
        <v>14</v>
      </c>
      <c r="B8">
        <v>0</v>
      </c>
    </row>
    <row r="9" spans="1:19" x14ac:dyDescent="0.55000000000000004">
      <c r="A9" t="s">
        <v>655</v>
      </c>
      <c r="B9" s="122">
        <f>0.5*B4*(44/12)</f>
        <v>1642666.6666666665</v>
      </c>
      <c r="C9">
        <f>B9/B2</f>
        <v>16426.666666666664</v>
      </c>
    </row>
    <row r="10" spans="1:19" x14ac:dyDescent="0.55000000000000004">
      <c r="A10" t="s">
        <v>24</v>
      </c>
      <c r="B10">
        <v>0</v>
      </c>
    </row>
    <row r="11" spans="1:19" x14ac:dyDescent="0.55000000000000004">
      <c r="A11" t="s">
        <v>23</v>
      </c>
      <c r="B11" s="159">
        <f>AVERAGE(F11,J11,N11)*$B$2</f>
        <v>11800</v>
      </c>
      <c r="C11">
        <f>B11/100</f>
        <v>118</v>
      </c>
      <c r="E11" t="s">
        <v>1073</v>
      </c>
      <c r="F11">
        <v>134</v>
      </c>
      <c r="G11" t="s">
        <v>972</v>
      </c>
      <c r="I11" t="str">
        <f>E11</f>
        <v>N in Fertilizer</v>
      </c>
      <c r="J11">
        <v>112</v>
      </c>
      <c r="K11" t="str">
        <f>G11</f>
        <v>kg/ha</v>
      </c>
      <c r="M11" t="str">
        <f>E11</f>
        <v>N in Fertilizer</v>
      </c>
      <c r="N11">
        <f>N4*12</f>
        <v>108</v>
      </c>
      <c r="O11" t="str">
        <f>K11</f>
        <v>kg/ha</v>
      </c>
      <c r="Q11" t="str">
        <f t="shared" ref="Q11:Q16" si="0">E11</f>
        <v>N in Fertilizer</v>
      </c>
      <c r="R11">
        <f>R4*4.3</f>
        <v>43</v>
      </c>
    </row>
    <row r="12" spans="1:19" x14ac:dyDescent="0.55000000000000004">
      <c r="A12" t="s">
        <v>22</v>
      </c>
      <c r="B12" s="159">
        <f>AVERAGE(F12,J12,N12)*$B$2</f>
        <v>2225</v>
      </c>
      <c r="C12">
        <f t="shared" ref="C12:C13" si="1">B12/100</f>
        <v>22.25</v>
      </c>
      <c r="E12" t="s">
        <v>1076</v>
      </c>
      <c r="F12">
        <f>SUM(40,39,10)/4</f>
        <v>22.25</v>
      </c>
      <c r="G12" t="s">
        <v>972</v>
      </c>
      <c r="I12" t="str">
        <f t="shared" ref="I12:I16" si="2">E12</f>
        <v>P in Fert</v>
      </c>
      <c r="M12" t="str">
        <f t="shared" ref="M12:M16" si="3">E12</f>
        <v>P in Fert</v>
      </c>
      <c r="Q12" t="str">
        <f t="shared" si="0"/>
        <v>P in Fert</v>
      </c>
      <c r="R12">
        <f>2.03*R4*(64/124)</f>
        <v>10.477419354838707</v>
      </c>
    </row>
    <row r="13" spans="1:19" x14ac:dyDescent="0.55000000000000004">
      <c r="A13" t="s">
        <v>21</v>
      </c>
      <c r="B13" s="159">
        <f>AVERAGE(F13,J13,N13)*$B$2</f>
        <v>1000</v>
      </c>
      <c r="C13">
        <f t="shared" si="1"/>
        <v>10</v>
      </c>
      <c r="E13" t="s">
        <v>1077</v>
      </c>
      <c r="F13">
        <f>40/4</f>
        <v>10</v>
      </c>
      <c r="G13" t="s">
        <v>972</v>
      </c>
      <c r="I13" t="str">
        <f t="shared" si="2"/>
        <v>K in Fert</v>
      </c>
      <c r="M13" t="str">
        <f t="shared" si="3"/>
        <v>K in Fert</v>
      </c>
      <c r="Q13" t="str">
        <f t="shared" si="0"/>
        <v>K in Fert</v>
      </c>
      <c r="R13">
        <f>2.8*R4*(78/94)</f>
        <v>23.23404255319149</v>
      </c>
    </row>
    <row r="14" spans="1:19" x14ac:dyDescent="0.55000000000000004">
      <c r="A14" s="176" t="s">
        <v>222</v>
      </c>
      <c r="B14" s="122">
        <f>AVERAGE(F14,J14,N14)*$B$2</f>
        <v>0</v>
      </c>
      <c r="E14" t="s">
        <v>1080</v>
      </c>
      <c r="F14">
        <v>0</v>
      </c>
      <c r="G14" t="s">
        <v>972</v>
      </c>
      <c r="I14" t="str">
        <f t="shared" si="2"/>
        <v>Lime</v>
      </c>
      <c r="M14" t="str">
        <f t="shared" si="3"/>
        <v>Lime</v>
      </c>
      <c r="Q14" t="str">
        <f t="shared" si="0"/>
        <v>Lime</v>
      </c>
    </row>
    <row r="15" spans="1:19" x14ac:dyDescent="0.55000000000000004">
      <c r="A15" t="s">
        <v>15</v>
      </c>
      <c r="B15" s="2" t="e">
        <f>#REF!</f>
        <v>#REF!</v>
      </c>
      <c r="C15" t="s">
        <v>1081</v>
      </c>
      <c r="D15" t="e">
        <f>B15/100</f>
        <v>#REF!</v>
      </c>
      <c r="E15" t="s">
        <v>15</v>
      </c>
      <c r="G15" t="s">
        <v>972</v>
      </c>
      <c r="I15" t="str">
        <f t="shared" si="2"/>
        <v>Herbicide (kg/yr)</v>
      </c>
      <c r="M15" t="str">
        <f t="shared" si="3"/>
        <v>Herbicide (kg/yr)</v>
      </c>
      <c r="Q15" t="str">
        <f t="shared" si="0"/>
        <v>Herbicide (kg/yr)</v>
      </c>
    </row>
    <row r="16" spans="1:19" x14ac:dyDescent="0.55000000000000004">
      <c r="A16" s="176" t="s">
        <v>16</v>
      </c>
      <c r="B16" s="2" t="e">
        <f>#REF!</f>
        <v>#REF!</v>
      </c>
      <c r="C16" t="s">
        <v>1081</v>
      </c>
      <c r="D16" t="e">
        <f t="shared" ref="D16:D25" si="4">B16/100</f>
        <v>#REF!</v>
      </c>
      <c r="E16" t="s">
        <v>16</v>
      </c>
      <c r="F16">
        <v>0</v>
      </c>
      <c r="I16" t="str">
        <f t="shared" si="2"/>
        <v>Pesticide (kg/yr)</v>
      </c>
      <c r="J16">
        <v>0</v>
      </c>
      <c r="M16" t="str">
        <f t="shared" si="3"/>
        <v>Pesticide (kg/yr)</v>
      </c>
      <c r="N16">
        <v>0</v>
      </c>
      <c r="Q16" t="str">
        <f t="shared" si="0"/>
        <v>Pesticide (kg/yr)</v>
      </c>
    </row>
    <row r="17" spans="1:18" x14ac:dyDescent="0.55000000000000004">
      <c r="A17" t="s">
        <v>307</v>
      </c>
      <c r="B17" s="15">
        <f>((5/2.2)*B2*2.47)/5</f>
        <v>112.27272727272728</v>
      </c>
      <c r="C17" t="s">
        <v>1082</v>
      </c>
      <c r="D17">
        <f t="shared" si="4"/>
        <v>1.1227272727272728</v>
      </c>
    </row>
    <row r="18" spans="1:18" x14ac:dyDescent="0.55000000000000004">
      <c r="A18" t="s">
        <v>17</v>
      </c>
      <c r="B18">
        <v>0</v>
      </c>
      <c r="D18">
        <f t="shared" si="4"/>
        <v>0</v>
      </c>
    </row>
    <row r="19" spans="1:18" x14ac:dyDescent="0.55000000000000004">
      <c r="A19" t="s">
        <v>18</v>
      </c>
      <c r="B19">
        <f>R19</f>
        <v>1565.6463749999998</v>
      </c>
      <c r="D19">
        <f t="shared" si="4"/>
        <v>15.656463749999999</v>
      </c>
      <c r="Q19" t="str">
        <f>A19</f>
        <v>Diesel (kg/yr)</v>
      </c>
      <c r="R19">
        <f>((59361*1055)*10^-6)/40*R4*B2</f>
        <v>1565.6463749999998</v>
      </c>
    </row>
    <row r="20" spans="1:18" x14ac:dyDescent="0.55000000000000004">
      <c r="A20" t="s">
        <v>100</v>
      </c>
      <c r="D20">
        <f t="shared" si="4"/>
        <v>0</v>
      </c>
      <c r="E20">
        <f>2.34*2.47</f>
        <v>5.7797999999999998</v>
      </c>
    </row>
    <row r="21" spans="1:18" x14ac:dyDescent="0.55000000000000004">
      <c r="A21" t="s">
        <v>262</v>
      </c>
      <c r="D21">
        <f t="shared" si="4"/>
        <v>0</v>
      </c>
      <c r="E21">
        <f>9/2.47</f>
        <v>3.6437246963562751</v>
      </c>
    </row>
    <row r="22" spans="1:18" x14ac:dyDescent="0.55000000000000004">
      <c r="A22" t="s">
        <v>269</v>
      </c>
      <c r="D22">
        <f t="shared" si="4"/>
        <v>0</v>
      </c>
    </row>
    <row r="23" spans="1:18" x14ac:dyDescent="0.55000000000000004">
      <c r="A23" t="s">
        <v>19</v>
      </c>
      <c r="B23" s="15">
        <f>40000/12</f>
        <v>3333.3333333333335</v>
      </c>
      <c r="D23">
        <f t="shared" si="4"/>
        <v>33.333333333333336</v>
      </c>
    </row>
    <row r="24" spans="1:18" x14ac:dyDescent="0.55000000000000004">
      <c r="A24" t="s">
        <v>154</v>
      </c>
      <c r="B24">
        <f>6700*B5*2.47</f>
        <v>1654900.0000000002</v>
      </c>
      <c r="D24">
        <f t="shared" si="4"/>
        <v>16549.000000000004</v>
      </c>
    </row>
    <row r="25" spans="1:18" x14ac:dyDescent="0.55000000000000004">
      <c r="A25" t="s">
        <v>679</v>
      </c>
      <c r="B25" s="1">
        <f>150000+60000+10000+10000</f>
        <v>230000</v>
      </c>
      <c r="D25">
        <f t="shared" si="4"/>
        <v>2300</v>
      </c>
    </row>
    <row r="27" spans="1:18" x14ac:dyDescent="0.55000000000000004">
      <c r="A27" s="42"/>
      <c r="B27" s="42"/>
    </row>
    <row r="28" spans="1:18" x14ac:dyDescent="0.55000000000000004">
      <c r="A28" s="146" t="s">
        <v>26</v>
      </c>
      <c r="B28" s="42"/>
    </row>
    <row r="29" spans="1:18" x14ac:dyDescent="0.55000000000000004">
      <c r="A29" s="42" t="s">
        <v>36</v>
      </c>
      <c r="B29" s="42"/>
    </row>
    <row r="30" spans="1:18" x14ac:dyDescent="0.55000000000000004">
      <c r="A30" s="42" t="s">
        <v>37</v>
      </c>
      <c r="B30" s="42"/>
    </row>
    <row r="31" spans="1:18" x14ac:dyDescent="0.55000000000000004">
      <c r="A31" s="42" t="s">
        <v>38</v>
      </c>
      <c r="B31" s="42"/>
    </row>
    <row r="32" spans="1:18" x14ac:dyDescent="0.55000000000000004">
      <c r="A32" s="42" t="s">
        <v>41</v>
      </c>
      <c r="B32" s="42"/>
    </row>
    <row r="33" spans="1:2" x14ac:dyDescent="0.55000000000000004">
      <c r="A33" s="42" t="s">
        <v>39</v>
      </c>
      <c r="B33" s="42"/>
    </row>
    <row r="34" spans="1:2" x14ac:dyDescent="0.55000000000000004">
      <c r="A34" s="42" t="s">
        <v>40</v>
      </c>
      <c r="B34" s="42"/>
    </row>
    <row r="35" spans="1:2" x14ac:dyDescent="0.55000000000000004">
      <c r="A35" s="42" t="s">
        <v>42</v>
      </c>
      <c r="B35" s="42">
        <f>B87</f>
        <v>896000</v>
      </c>
    </row>
    <row r="36" spans="1:2" x14ac:dyDescent="0.55000000000000004">
      <c r="A36" s="42" t="s">
        <v>90</v>
      </c>
      <c r="B36" s="42"/>
    </row>
    <row r="37" spans="1:2" x14ac:dyDescent="0.55000000000000004">
      <c r="A37" s="42" t="s">
        <v>59</v>
      </c>
      <c r="B37" s="42">
        <f>(Forestry!B37/Forestry!$B$35)*Grass!$B$35</f>
        <v>493696.00000000006</v>
      </c>
    </row>
    <row r="38" spans="1:2" x14ac:dyDescent="0.55000000000000004">
      <c r="A38" s="42" t="s">
        <v>626</v>
      </c>
      <c r="B38" s="42"/>
    </row>
    <row r="39" spans="1:2" x14ac:dyDescent="0.55000000000000004">
      <c r="A39" s="42" t="s">
        <v>627</v>
      </c>
      <c r="B39" s="42"/>
    </row>
    <row r="40" spans="1:2" x14ac:dyDescent="0.55000000000000004">
      <c r="A40" s="42" t="s">
        <v>429</v>
      </c>
      <c r="B40" s="147"/>
    </row>
    <row r="41" spans="1:2" x14ac:dyDescent="0.55000000000000004">
      <c r="A41" s="42" t="s">
        <v>628</v>
      </c>
      <c r="B41" s="42">
        <f>(Forestry!B41/Forestry!$B$35)*Grass!$B$35</f>
        <v>246400.00000000003</v>
      </c>
    </row>
    <row r="42" spans="1:2" x14ac:dyDescent="0.55000000000000004">
      <c r="A42" s="42" t="s">
        <v>630</v>
      </c>
      <c r="B42" s="42"/>
    </row>
    <row r="43" spans="1:2" x14ac:dyDescent="0.55000000000000004">
      <c r="A43" s="42" t="s">
        <v>631</v>
      </c>
      <c r="B43" s="42"/>
    </row>
    <row r="44" spans="1:2" x14ac:dyDescent="0.55000000000000004">
      <c r="A44" s="42" t="s">
        <v>632</v>
      </c>
      <c r="B44" s="42"/>
    </row>
    <row r="45" spans="1:2" x14ac:dyDescent="0.55000000000000004">
      <c r="A45" s="42" t="s">
        <v>1052</v>
      </c>
      <c r="B45" s="42">
        <f>(Forestry!B45/Forestry!$B$35)*Grass!$B$35</f>
        <v>115.35934310850439</v>
      </c>
    </row>
    <row r="46" spans="1:2" x14ac:dyDescent="0.55000000000000004">
      <c r="A46" s="42" t="s">
        <v>983</v>
      </c>
      <c r="B46" s="42">
        <f>(Forestry!B46/Forestry!$B$35)*Grass!$B$35</f>
        <v>1300544</v>
      </c>
    </row>
    <row r="47" spans="1:2" x14ac:dyDescent="0.55000000000000004">
      <c r="A47" s="42" t="s">
        <v>96</v>
      </c>
      <c r="B47" s="42">
        <f>(Forestry!B47/Forestry!$B$35)*Grass!$B$35</f>
        <v>22014.720000000001</v>
      </c>
    </row>
    <row r="48" spans="1:2" x14ac:dyDescent="0.55000000000000004">
      <c r="A48" s="42" t="s">
        <v>17</v>
      </c>
      <c r="B48" s="42">
        <f>(Forestry!B48/Forestry!$B$35)*Grass!$B$35</f>
        <v>770273.27999999991</v>
      </c>
    </row>
    <row r="49" spans="1:2" x14ac:dyDescent="0.55000000000000004">
      <c r="A49" s="42" t="s">
        <v>27</v>
      </c>
      <c r="B49" s="42"/>
    </row>
    <row r="50" spans="1:2" x14ac:dyDescent="0.55000000000000004">
      <c r="A50" s="42" t="s">
        <v>19</v>
      </c>
      <c r="B50" s="42">
        <f>(Forestry!B50/Forestry!$B$35)*Grass!$B$35</f>
        <v>5419.3548387096771</v>
      </c>
    </row>
    <row r="51" spans="1:2" x14ac:dyDescent="0.55000000000000004">
      <c r="A51" s="42" t="s">
        <v>20</v>
      </c>
      <c r="B51" s="42">
        <f>(Forestry!B51/Forestry!$B$35)*Grass!$B$35</f>
        <v>586735.48387096776</v>
      </c>
    </row>
    <row r="52" spans="1:2" x14ac:dyDescent="0.55000000000000004">
      <c r="A52" s="42"/>
      <c r="B52" s="42"/>
    </row>
    <row r="53" spans="1:2" x14ac:dyDescent="0.55000000000000004">
      <c r="A53" s="3" t="s">
        <v>28</v>
      </c>
    </row>
    <row r="54" spans="1:2" x14ac:dyDescent="0.55000000000000004">
      <c r="A54" s="42" t="s">
        <v>43</v>
      </c>
    </row>
    <row r="55" spans="1:2" x14ac:dyDescent="0.55000000000000004">
      <c r="A55" s="42" t="s">
        <v>44</v>
      </c>
    </row>
    <row r="56" spans="1:2" x14ac:dyDescent="0.55000000000000004">
      <c r="A56" s="42" t="s">
        <v>45</v>
      </c>
    </row>
    <row r="57" spans="1:2" x14ac:dyDescent="0.55000000000000004">
      <c r="A57" s="42" t="s">
        <v>46</v>
      </c>
    </row>
    <row r="58" spans="1:2" x14ac:dyDescent="0.55000000000000004">
      <c r="A58" s="42" t="s">
        <v>629</v>
      </c>
    </row>
    <row r="59" spans="1:2" x14ac:dyDescent="0.55000000000000004">
      <c r="A59" s="42" t="s">
        <v>783</v>
      </c>
      <c r="B59" s="42">
        <f>(Forestry!B59/Forestry!$B$35)*Grass!$B$35</f>
        <v>478464</v>
      </c>
    </row>
    <row r="60" spans="1:2" x14ac:dyDescent="0.55000000000000004">
      <c r="A60" s="42" t="s">
        <v>59</v>
      </c>
    </row>
    <row r="61" spans="1:2" x14ac:dyDescent="0.55000000000000004">
      <c r="A61" s="42" t="s">
        <v>635</v>
      </c>
      <c r="B61" s="15"/>
    </row>
    <row r="62" spans="1:2" x14ac:dyDescent="0.55000000000000004">
      <c r="A62" s="42" t="s">
        <v>58</v>
      </c>
      <c r="B62" s="42">
        <f>(Forestry!B62/Forestry!$B$35)*Grass!$B$35</f>
        <v>1792</v>
      </c>
    </row>
    <row r="63" spans="1:2" x14ac:dyDescent="0.55000000000000004">
      <c r="A63" s="42" t="s">
        <v>17</v>
      </c>
      <c r="B63" s="42">
        <f>(Forestry!B63/Forestry!$B$35)*Grass!$B$35</f>
        <v>85155.840000000011</v>
      </c>
    </row>
    <row r="64" spans="1:2" x14ac:dyDescent="0.55000000000000004">
      <c r="A64" s="42" t="s">
        <v>27</v>
      </c>
    </row>
    <row r="65" spans="1:2" x14ac:dyDescent="0.55000000000000004">
      <c r="A65" s="42" t="s">
        <v>19</v>
      </c>
      <c r="B65" s="42">
        <f>(Forestry!B65/Forestry!$B$35)*Grass!$B$35</f>
        <v>1083.8709677419354</v>
      </c>
    </row>
    <row r="66" spans="1:2" x14ac:dyDescent="0.55000000000000004">
      <c r="A66" s="42" t="s">
        <v>20</v>
      </c>
      <c r="B66" s="42">
        <f>(Forestry!B66/Forestry!$B$35)*Grass!$B$35</f>
        <v>47690.322580645159</v>
      </c>
    </row>
    <row r="67" spans="1:2" x14ac:dyDescent="0.55000000000000004">
      <c r="A67" s="116"/>
    </row>
    <row r="68" spans="1:2" x14ac:dyDescent="0.55000000000000004">
      <c r="A68" s="3" t="s">
        <v>49</v>
      </c>
    </row>
    <row r="69" spans="1:2" x14ac:dyDescent="0.55000000000000004">
      <c r="A69" t="s">
        <v>50</v>
      </c>
    </row>
    <row r="70" spans="1:2" x14ac:dyDescent="0.55000000000000004">
      <c r="A70" t="s">
        <v>51</v>
      </c>
    </row>
    <row r="71" spans="1:2" x14ac:dyDescent="0.55000000000000004">
      <c r="A71" t="s">
        <v>52</v>
      </c>
    </row>
    <row r="72" spans="1:2" x14ac:dyDescent="0.55000000000000004">
      <c r="A72" t="s">
        <v>53</v>
      </c>
    </row>
    <row r="75" spans="1:2" x14ac:dyDescent="0.55000000000000004">
      <c r="A75" s="3" t="s">
        <v>29</v>
      </c>
    </row>
    <row r="76" spans="1:2" x14ac:dyDescent="0.55000000000000004">
      <c r="A76" s="3" t="s">
        <v>11</v>
      </c>
    </row>
    <row r="77" spans="1:2" x14ac:dyDescent="0.55000000000000004">
      <c r="A77" s="5" t="s">
        <v>35</v>
      </c>
    </row>
    <row r="78" spans="1:2" x14ac:dyDescent="0.55000000000000004">
      <c r="A78" t="s">
        <v>30</v>
      </c>
    </row>
    <row r="79" spans="1:2" x14ac:dyDescent="0.55000000000000004">
      <c r="A79" t="s">
        <v>625</v>
      </c>
      <c r="B79" s="15">
        <f>Forestry!L124/100*B11</f>
        <v>156.35</v>
      </c>
    </row>
    <row r="80" spans="1:2" x14ac:dyDescent="0.55000000000000004">
      <c r="A80" t="s">
        <v>32</v>
      </c>
    </row>
    <row r="81" spans="1:2" x14ac:dyDescent="0.55000000000000004">
      <c r="A81" t="s">
        <v>36</v>
      </c>
    </row>
    <row r="82" spans="1:2" x14ac:dyDescent="0.55000000000000004">
      <c r="A82" t="s">
        <v>37</v>
      </c>
    </row>
    <row r="83" spans="1:2" x14ac:dyDescent="0.55000000000000004">
      <c r="A83" t="s">
        <v>38</v>
      </c>
    </row>
    <row r="84" spans="1:2" x14ac:dyDescent="0.55000000000000004">
      <c r="A84" t="s">
        <v>41</v>
      </c>
    </row>
    <row r="85" spans="1:2" x14ac:dyDescent="0.55000000000000004">
      <c r="A85" t="s">
        <v>39</v>
      </c>
    </row>
    <row r="86" spans="1:2" x14ac:dyDescent="0.55000000000000004">
      <c r="A86" s="1" t="s">
        <v>40</v>
      </c>
    </row>
    <row r="87" spans="1:2" x14ac:dyDescent="0.55000000000000004">
      <c r="A87" t="s">
        <v>42</v>
      </c>
      <c r="B87">
        <f>B4</f>
        <v>896000</v>
      </c>
    </row>
    <row r="89" spans="1:2" x14ac:dyDescent="0.55000000000000004">
      <c r="A89" s="42"/>
      <c r="B89" s="42"/>
    </row>
    <row r="90" spans="1:2" x14ac:dyDescent="0.55000000000000004">
      <c r="A90" s="146" t="s">
        <v>26</v>
      </c>
      <c r="B90" s="42"/>
    </row>
    <row r="91" spans="1:2" x14ac:dyDescent="0.55000000000000004">
      <c r="A91" s="42" t="s">
        <v>43</v>
      </c>
      <c r="B91" s="42"/>
    </row>
    <row r="92" spans="1:2" x14ac:dyDescent="0.55000000000000004">
      <c r="A92" s="42" t="s">
        <v>44</v>
      </c>
      <c r="B92" s="42"/>
    </row>
    <row r="93" spans="1:2" x14ac:dyDescent="0.55000000000000004">
      <c r="A93" s="42" t="s">
        <v>45</v>
      </c>
      <c r="B93" s="42"/>
    </row>
    <row r="94" spans="1:2" x14ac:dyDescent="0.55000000000000004">
      <c r="A94" s="42" t="s">
        <v>46</v>
      </c>
      <c r="B94" s="42"/>
    </row>
    <row r="95" spans="1:2" x14ac:dyDescent="0.55000000000000004">
      <c r="A95" s="42" t="s">
        <v>629</v>
      </c>
      <c r="B95" s="42"/>
    </row>
    <row r="96" spans="1:2" x14ac:dyDescent="0.55000000000000004">
      <c r="A96" s="42" t="s">
        <v>783</v>
      </c>
      <c r="B96" s="42">
        <f>(Forestry!B96/Forestry!$B$35)*Grass!$B$35</f>
        <v>478464</v>
      </c>
    </row>
    <row r="97" spans="1:2" x14ac:dyDescent="0.55000000000000004">
      <c r="A97" s="57" t="s">
        <v>33</v>
      </c>
      <c r="B97" s="42"/>
    </row>
    <row r="98" spans="1:2" x14ac:dyDescent="0.55000000000000004">
      <c r="A98" s="42" t="s">
        <v>34</v>
      </c>
      <c r="B98" s="147"/>
    </row>
    <row r="99" spans="1:2" x14ac:dyDescent="0.55000000000000004">
      <c r="A99" s="42" t="s">
        <v>1019</v>
      </c>
      <c r="B99" s="42">
        <f>(Forestry!B99/Forestry!$B$35)*Grass!$B$35</f>
        <v>51072</v>
      </c>
    </row>
    <row r="100" spans="1:2" x14ac:dyDescent="0.55000000000000004">
      <c r="A100" s="42" t="s">
        <v>634</v>
      </c>
      <c r="B100" s="42"/>
    </row>
    <row r="101" spans="1:2" x14ac:dyDescent="0.55000000000000004">
      <c r="A101" s="42" t="s">
        <v>633</v>
      </c>
      <c r="B101" s="42">
        <f>(Forestry!B101/Forestry!$B$35)*Grass!$B$35</f>
        <v>882341.97333333339</v>
      </c>
    </row>
    <row r="102" spans="1:2" x14ac:dyDescent="0.55000000000000004">
      <c r="A102" s="42" t="s">
        <v>1020</v>
      </c>
      <c r="B102" s="42">
        <f>(Forestry!B102/Forestry!$B$35)*Grass!$B$35</f>
        <v>980672</v>
      </c>
    </row>
    <row r="103" spans="1:2" x14ac:dyDescent="0.55000000000000004">
      <c r="A103" s="42" t="s">
        <v>1040</v>
      </c>
      <c r="B103" s="42">
        <f>(Forestry!B103/Forestry!$B$35)*Grass!$B$35</f>
        <v>1792</v>
      </c>
    </row>
    <row r="104" spans="1:2" x14ac:dyDescent="0.55000000000000004">
      <c r="A104" s="42" t="s">
        <v>1021</v>
      </c>
      <c r="B104" s="42">
        <f>(Forestry!B104/Forestry!$B$35)*Grass!$B$35</f>
        <v>672896</v>
      </c>
    </row>
    <row r="105" spans="1:2" x14ac:dyDescent="0.55000000000000004">
      <c r="A105" s="42" t="s">
        <v>1022</v>
      </c>
      <c r="B105" s="42">
        <f>(Forestry!B105/Forestry!$B$35)*Grass!$B$35</f>
        <v>1389588.4799999997</v>
      </c>
    </row>
    <row r="106" spans="1:2" x14ac:dyDescent="0.55000000000000004">
      <c r="A106" s="42" t="s">
        <v>32</v>
      </c>
      <c r="B106" s="42"/>
    </row>
    <row r="107" spans="1:2" x14ac:dyDescent="0.55000000000000004">
      <c r="A107" s="42"/>
      <c r="B107" s="42"/>
    </row>
    <row r="108" spans="1:2" x14ac:dyDescent="0.55000000000000004">
      <c r="A108" s="146" t="s">
        <v>28</v>
      </c>
      <c r="B108" s="42"/>
    </row>
    <row r="109" spans="1:2" x14ac:dyDescent="0.55000000000000004">
      <c r="A109" s="42" t="s">
        <v>50</v>
      </c>
    </row>
    <row r="110" spans="1:2" x14ac:dyDescent="0.55000000000000004">
      <c r="A110" s="42" t="s">
        <v>51</v>
      </c>
    </row>
    <row r="111" spans="1:2" x14ac:dyDescent="0.55000000000000004">
      <c r="A111" s="42" t="s">
        <v>52</v>
      </c>
      <c r="B111" s="42">
        <f>(Forestry!B111/Forestry!$B$35)*Grass!$B$35</f>
        <v>33868.800000000003</v>
      </c>
    </row>
    <row r="112" spans="1:2" x14ac:dyDescent="0.55000000000000004">
      <c r="A112" s="42" t="s">
        <v>53</v>
      </c>
      <c r="B112" s="15"/>
    </row>
    <row r="113" spans="1:2" x14ac:dyDescent="0.55000000000000004">
      <c r="A113" s="42" t="s">
        <v>59</v>
      </c>
      <c r="B113" s="42">
        <f>(Forestry!B113/Forestry!$B$35)*Grass!$B$35</f>
        <v>287168</v>
      </c>
    </row>
    <row r="114" spans="1:2" x14ac:dyDescent="0.55000000000000004">
      <c r="A114" s="42" t="s">
        <v>95</v>
      </c>
    </row>
    <row r="115" spans="1:2" x14ac:dyDescent="0.55000000000000004">
      <c r="A115" s="42" t="s">
        <v>636</v>
      </c>
    </row>
    <row r="116" spans="1:2" x14ac:dyDescent="0.55000000000000004">
      <c r="A116" s="42" t="s">
        <v>637</v>
      </c>
      <c r="B116" s="141"/>
    </row>
    <row r="117" spans="1:2" x14ac:dyDescent="0.55000000000000004">
      <c r="A117" s="42" t="s">
        <v>96</v>
      </c>
      <c r="B117" s="42">
        <f>(Forestry!B117/Forestry!$B$35)*Grass!$B$35</f>
        <v>22014.720000000001</v>
      </c>
    </row>
    <row r="118" spans="1:2" x14ac:dyDescent="0.55000000000000004">
      <c r="A118" s="42" t="s">
        <v>97</v>
      </c>
    </row>
    <row r="119" spans="1:2" x14ac:dyDescent="0.55000000000000004">
      <c r="A119" s="42" t="s">
        <v>98</v>
      </c>
      <c r="B119" s="42">
        <f>(Forestry!B119/Forestry!$B$35)*Grass!$B$35</f>
        <v>0</v>
      </c>
    </row>
    <row r="120" spans="1:2" x14ac:dyDescent="0.55000000000000004">
      <c r="A120" s="42" t="s">
        <v>18</v>
      </c>
      <c r="B120" s="42">
        <f>(Forestry!B120/Forestry!$B$35)*Grass!$B$35</f>
        <v>69431.039999999994</v>
      </c>
    </row>
    <row r="121" spans="1:2" x14ac:dyDescent="0.55000000000000004">
      <c r="A121" s="42" t="s">
        <v>100</v>
      </c>
      <c r="B121" s="42">
        <f>(Forestry!B121/Forestry!$B$35)*Grass!$B$35</f>
        <v>36104.140800000001</v>
      </c>
    </row>
    <row r="122" spans="1:2" x14ac:dyDescent="0.55000000000000004">
      <c r="A122" s="42" t="s">
        <v>32</v>
      </c>
    </row>
    <row r="128" spans="1:2" x14ac:dyDescent="0.55000000000000004">
      <c r="A128" s="3" t="s">
        <v>49</v>
      </c>
    </row>
    <row r="129" spans="1:1" x14ac:dyDescent="0.55000000000000004">
      <c r="A129" t="s">
        <v>54</v>
      </c>
    </row>
    <row r="130" spans="1:1" x14ac:dyDescent="0.55000000000000004">
      <c r="A130" s="123" t="s">
        <v>819</v>
      </c>
    </row>
    <row r="131" spans="1:1" x14ac:dyDescent="0.55000000000000004">
      <c r="A131" s="123" t="s">
        <v>820</v>
      </c>
    </row>
    <row r="132" spans="1:1" x14ac:dyDescent="0.55000000000000004">
      <c r="A132" s="123" t="s">
        <v>821</v>
      </c>
    </row>
    <row r="133" spans="1:1" x14ac:dyDescent="0.55000000000000004">
      <c r="A133" s="123" t="s">
        <v>822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ColWidth="10.89453125" defaultRowHeight="14.4" x14ac:dyDescent="0.55000000000000004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33"/>
  <sheetViews>
    <sheetView workbookViewId="0">
      <selection activeCell="H24" sqref="H24"/>
    </sheetView>
  </sheetViews>
  <sheetFormatPr defaultColWidth="10.89453125" defaultRowHeight="14.4" x14ac:dyDescent="0.55000000000000004"/>
  <cols>
    <col min="1" max="1" width="30.47265625" bestFit="1" customWidth="1"/>
    <col min="2" max="2" width="20" customWidth="1"/>
  </cols>
  <sheetData>
    <row r="1" spans="1:4" x14ac:dyDescent="0.55000000000000004">
      <c r="B1" t="s">
        <v>1084</v>
      </c>
    </row>
    <row r="2" spans="1:4" x14ac:dyDescent="0.55000000000000004">
      <c r="A2" t="s">
        <v>12</v>
      </c>
      <c r="B2" t="s">
        <v>1085</v>
      </c>
    </row>
    <row r="3" spans="1:4" x14ac:dyDescent="0.55000000000000004">
      <c r="A3" s="3" t="s">
        <v>10</v>
      </c>
    </row>
    <row r="4" spans="1:4" x14ac:dyDescent="0.55000000000000004">
      <c r="A4" s="3" t="s">
        <v>171</v>
      </c>
      <c r="B4">
        <f>1000*1000</f>
        <v>1000000</v>
      </c>
    </row>
    <row r="5" spans="1:4" x14ac:dyDescent="0.55000000000000004">
      <c r="A5" t="s">
        <v>175</v>
      </c>
      <c r="B5">
        <v>0</v>
      </c>
    </row>
    <row r="6" spans="1:4" x14ac:dyDescent="0.55000000000000004">
      <c r="A6" t="s">
        <v>183</v>
      </c>
      <c r="B6">
        <v>0</v>
      </c>
    </row>
    <row r="7" spans="1:4" x14ac:dyDescent="0.55000000000000004">
      <c r="A7" t="s">
        <v>13</v>
      </c>
      <c r="B7" s="2">
        <v>0</v>
      </c>
    </row>
    <row r="8" spans="1:4" x14ac:dyDescent="0.55000000000000004">
      <c r="A8" t="s">
        <v>14</v>
      </c>
      <c r="B8">
        <v>0</v>
      </c>
    </row>
    <row r="9" spans="1:4" x14ac:dyDescent="0.55000000000000004">
      <c r="A9" t="s">
        <v>655</v>
      </c>
      <c r="B9">
        <f>B4*0.5*(44/12)</f>
        <v>1833333.3333333333</v>
      </c>
      <c r="D9">
        <f>B9/1000</f>
        <v>1833.3333333333333</v>
      </c>
    </row>
    <row r="10" spans="1:4" x14ac:dyDescent="0.55000000000000004">
      <c r="A10" t="s">
        <v>24</v>
      </c>
      <c r="B10">
        <v>0</v>
      </c>
    </row>
    <row r="11" spans="1:4" x14ac:dyDescent="0.55000000000000004">
      <c r="A11" t="s">
        <v>23</v>
      </c>
      <c r="B11" s="15">
        <v>0</v>
      </c>
    </row>
    <row r="12" spans="1:4" x14ac:dyDescent="0.55000000000000004">
      <c r="A12" t="s">
        <v>22</v>
      </c>
      <c r="B12" s="15">
        <v>0</v>
      </c>
    </row>
    <row r="13" spans="1:4" x14ac:dyDescent="0.55000000000000004">
      <c r="A13" t="s">
        <v>21</v>
      </c>
      <c r="B13" s="15">
        <v>0</v>
      </c>
    </row>
    <row r="14" spans="1:4" x14ac:dyDescent="0.55000000000000004">
      <c r="A14" t="s">
        <v>222</v>
      </c>
      <c r="B14">
        <v>0</v>
      </c>
    </row>
    <row r="15" spans="1:4" x14ac:dyDescent="0.55000000000000004">
      <c r="A15" t="s">
        <v>15</v>
      </c>
      <c r="B15">
        <v>0</v>
      </c>
    </row>
    <row r="16" spans="1:4" x14ac:dyDescent="0.55000000000000004">
      <c r="A16" t="s">
        <v>16</v>
      </c>
      <c r="B16">
        <v>0</v>
      </c>
    </row>
    <row r="17" spans="1:12" x14ac:dyDescent="0.55000000000000004">
      <c r="A17" t="s">
        <v>942</v>
      </c>
      <c r="B17" s="15">
        <v>0</v>
      </c>
    </row>
    <row r="18" spans="1:12" x14ac:dyDescent="0.55000000000000004">
      <c r="A18" t="s">
        <v>17</v>
      </c>
      <c r="B18">
        <v>0</v>
      </c>
      <c r="E18" t="s">
        <v>1098</v>
      </c>
      <c r="H18" t="s">
        <v>1099</v>
      </c>
      <c r="K18" t="s">
        <v>1165</v>
      </c>
    </row>
    <row r="19" spans="1:12" x14ac:dyDescent="0.55000000000000004">
      <c r="A19" t="s">
        <v>18</v>
      </c>
      <c r="B19" s="2">
        <f>(E24+H24+K24)*B4</f>
        <v>9464.125</v>
      </c>
      <c r="C19" t="s">
        <v>1166</v>
      </c>
      <c r="E19">
        <v>6</v>
      </c>
      <c r="F19" t="s">
        <v>1086</v>
      </c>
    </row>
    <row r="20" spans="1:12" x14ac:dyDescent="0.55000000000000004">
      <c r="A20" t="s">
        <v>100</v>
      </c>
      <c r="B20">
        <v>0</v>
      </c>
      <c r="E20">
        <v>150</v>
      </c>
      <c r="F20" t="s">
        <v>1087</v>
      </c>
    </row>
    <row r="21" spans="1:12" x14ac:dyDescent="0.55000000000000004">
      <c r="A21" t="s">
        <v>262</v>
      </c>
      <c r="B21">
        <v>0</v>
      </c>
      <c r="E21">
        <v>30000</v>
      </c>
      <c r="F21" t="s">
        <v>1088</v>
      </c>
    </row>
    <row r="22" spans="1:12" x14ac:dyDescent="0.55000000000000004">
      <c r="A22" t="s">
        <v>269</v>
      </c>
      <c r="B22">
        <v>0</v>
      </c>
      <c r="E22">
        <f>E20/E19</f>
        <v>25</v>
      </c>
      <c r="F22" t="s">
        <v>1089</v>
      </c>
    </row>
    <row r="23" spans="1:12" x14ac:dyDescent="0.55000000000000004">
      <c r="A23" t="s">
        <v>19</v>
      </c>
      <c r="B23" s="15">
        <f>80000/250</f>
        <v>320</v>
      </c>
      <c r="C23" t="s">
        <v>1101</v>
      </c>
      <c r="E23">
        <f>E22/E21</f>
        <v>8.3333333333333339E-4</v>
      </c>
      <c r="F23" t="s">
        <v>65</v>
      </c>
    </row>
    <row r="24" spans="1:12" x14ac:dyDescent="0.55000000000000004">
      <c r="A24" t="s">
        <v>154</v>
      </c>
      <c r="B24">
        <v>0</v>
      </c>
      <c r="E24">
        <f>E23*3.785*0.87</f>
        <v>2.7441250000000005E-3</v>
      </c>
      <c r="F24" t="s">
        <v>1090</v>
      </c>
      <c r="H24">
        <f>0.1*Forestry!E5</f>
        <v>3.6200000000000004E-3</v>
      </c>
      <c r="I24" t="s">
        <v>1090</v>
      </c>
      <c r="K24">
        <v>3.0999999999999999E-3</v>
      </c>
      <c r="L24" t="s">
        <v>1090</v>
      </c>
    </row>
    <row r="25" spans="1:12" x14ac:dyDescent="0.55000000000000004">
      <c r="A25" t="s">
        <v>679</v>
      </c>
      <c r="B25" s="1">
        <f>135000/10</f>
        <v>13500</v>
      </c>
      <c r="E25">
        <f>E24*45*1000</f>
        <v>123.48562500000001</v>
      </c>
      <c r="F25" t="s">
        <v>1163</v>
      </c>
      <c r="H25">
        <f>H24*45*1000</f>
        <v>162.9</v>
      </c>
      <c r="I25" t="s">
        <v>1163</v>
      </c>
      <c r="K25">
        <f>K24*45*1000</f>
        <v>139.49999999999997</v>
      </c>
      <c r="L25" t="s">
        <v>1163</v>
      </c>
    </row>
    <row r="26" spans="1:12" x14ac:dyDescent="0.55000000000000004">
      <c r="E26">
        <f>E25*947</f>
        <v>116940.88687500001</v>
      </c>
      <c r="F26" t="s">
        <v>1164</v>
      </c>
      <c r="H26">
        <f>H25*947</f>
        <v>154266.30000000002</v>
      </c>
      <c r="I26" t="s">
        <v>1164</v>
      </c>
      <c r="K26">
        <f>K25*947</f>
        <v>132106.49999999997</v>
      </c>
      <c r="L26" t="s">
        <v>1164</v>
      </c>
    </row>
    <row r="27" spans="1:12" x14ac:dyDescent="0.55000000000000004">
      <c r="A27" s="42"/>
      <c r="B27" s="42"/>
    </row>
    <row r="28" spans="1:12" x14ac:dyDescent="0.55000000000000004">
      <c r="A28" s="146" t="s">
        <v>26</v>
      </c>
      <c r="B28" s="42"/>
      <c r="E28" t="s">
        <v>6</v>
      </c>
      <c r="F28">
        <f>E26+H26+K26</f>
        <v>403313.68687500001</v>
      </c>
    </row>
    <row r="29" spans="1:12" x14ac:dyDescent="0.55000000000000004">
      <c r="A29" s="42" t="s">
        <v>36</v>
      </c>
      <c r="B29" s="42"/>
      <c r="H29">
        <f>H24*1000</f>
        <v>3.6200000000000006</v>
      </c>
      <c r="I29" t="s">
        <v>1100</v>
      </c>
    </row>
    <row r="30" spans="1:12" x14ac:dyDescent="0.55000000000000004">
      <c r="A30" s="42" t="s">
        <v>37</v>
      </c>
      <c r="B30" s="42"/>
      <c r="H30">
        <f>H29*2.5</f>
        <v>9.0500000000000007</v>
      </c>
      <c r="I30" t="s">
        <v>638</v>
      </c>
    </row>
    <row r="31" spans="1:12" x14ac:dyDescent="0.55000000000000004">
      <c r="A31" s="42" t="s">
        <v>38</v>
      </c>
      <c r="B31" s="42"/>
    </row>
    <row r="32" spans="1:12" x14ac:dyDescent="0.55000000000000004">
      <c r="A32" s="42" t="s">
        <v>41</v>
      </c>
      <c r="B32" s="42"/>
    </row>
    <row r="33" spans="1:2" x14ac:dyDescent="0.55000000000000004">
      <c r="A33" s="42" t="s">
        <v>39</v>
      </c>
      <c r="B33" s="42"/>
    </row>
    <row r="34" spans="1:2" x14ac:dyDescent="0.55000000000000004">
      <c r="A34" s="42" t="s">
        <v>40</v>
      </c>
      <c r="B34" s="42"/>
    </row>
    <row r="35" spans="1:2" x14ac:dyDescent="0.55000000000000004">
      <c r="A35" s="42" t="s">
        <v>42</v>
      </c>
      <c r="B35" s="42">
        <f>B87</f>
        <v>1000000</v>
      </c>
    </row>
    <row r="36" spans="1:2" x14ac:dyDescent="0.55000000000000004">
      <c r="A36" s="42" t="s">
        <v>90</v>
      </c>
      <c r="B36" s="42"/>
    </row>
    <row r="37" spans="1:2" x14ac:dyDescent="0.55000000000000004">
      <c r="A37" s="42" t="s">
        <v>59</v>
      </c>
      <c r="B37" s="42">
        <f>(Forestry!B37/Forestry!$B$35)*$B$35</f>
        <v>551000</v>
      </c>
    </row>
    <row r="38" spans="1:2" x14ac:dyDescent="0.55000000000000004">
      <c r="A38" s="42" t="s">
        <v>626</v>
      </c>
      <c r="B38" s="42"/>
    </row>
    <row r="39" spans="1:2" x14ac:dyDescent="0.55000000000000004">
      <c r="A39" s="42" t="s">
        <v>627</v>
      </c>
      <c r="B39" s="42"/>
    </row>
    <row r="40" spans="1:2" x14ac:dyDescent="0.55000000000000004">
      <c r="A40" s="42" t="s">
        <v>429</v>
      </c>
      <c r="B40" s="147"/>
    </row>
    <row r="41" spans="1:2" x14ac:dyDescent="0.55000000000000004">
      <c r="A41" s="42" t="s">
        <v>628</v>
      </c>
      <c r="B41" s="42">
        <f>(Forestry!B41/Forestry!$B$35)*$B$35</f>
        <v>275000</v>
      </c>
    </row>
    <row r="42" spans="1:2" x14ac:dyDescent="0.55000000000000004">
      <c r="A42" s="42" t="s">
        <v>630</v>
      </c>
      <c r="B42" s="42"/>
    </row>
    <row r="43" spans="1:2" x14ac:dyDescent="0.55000000000000004">
      <c r="A43" s="42" t="s">
        <v>631</v>
      </c>
      <c r="B43" s="42"/>
    </row>
    <row r="44" spans="1:2" x14ac:dyDescent="0.55000000000000004">
      <c r="A44" s="42" t="s">
        <v>632</v>
      </c>
      <c r="B44" s="42"/>
    </row>
    <row r="45" spans="1:2" x14ac:dyDescent="0.55000000000000004">
      <c r="A45" s="42" t="s">
        <v>1052</v>
      </c>
      <c r="B45" s="42">
        <f>(Forestry!B45/Forestry!$B$35)*$B$35</f>
        <v>128.74926686217009</v>
      </c>
    </row>
    <row r="46" spans="1:2" x14ac:dyDescent="0.55000000000000004">
      <c r="A46" s="42" t="s">
        <v>983</v>
      </c>
      <c r="B46" s="42">
        <f>(Forestry!B46/Forestry!$B$35)*$B$35</f>
        <v>1451500</v>
      </c>
    </row>
    <row r="47" spans="1:2" x14ac:dyDescent="0.55000000000000004">
      <c r="A47" s="42" t="s">
        <v>96</v>
      </c>
      <c r="B47" s="42">
        <f>(Forestry!B47/Forestry!$B$35)*$B$35</f>
        <v>24570</v>
      </c>
    </row>
    <row r="48" spans="1:2" x14ac:dyDescent="0.55000000000000004">
      <c r="A48" s="42" t="s">
        <v>17</v>
      </c>
      <c r="B48" s="42">
        <f>(Forestry!B48/Forestry!$B$35)*$B$35</f>
        <v>859679.99999999988</v>
      </c>
    </row>
    <row r="49" spans="1:2" x14ac:dyDescent="0.55000000000000004">
      <c r="A49" s="42" t="s">
        <v>27</v>
      </c>
      <c r="B49" s="42"/>
    </row>
    <row r="50" spans="1:2" x14ac:dyDescent="0.55000000000000004">
      <c r="A50" s="42" t="s">
        <v>19</v>
      </c>
      <c r="B50" s="42">
        <f>(Forestry!B50/Forestry!$B$35)*$B$35</f>
        <v>6048.3870967741932</v>
      </c>
    </row>
    <row r="51" spans="1:2" x14ac:dyDescent="0.55000000000000004">
      <c r="A51" s="42" t="s">
        <v>20</v>
      </c>
      <c r="B51" s="42">
        <f>(Forestry!B51/Forestry!$B$35)*$B$35</f>
        <v>654838.70967741939</v>
      </c>
    </row>
    <row r="52" spans="1:2" x14ac:dyDescent="0.55000000000000004">
      <c r="A52" s="42"/>
      <c r="B52" s="42"/>
    </row>
    <row r="53" spans="1:2" x14ac:dyDescent="0.55000000000000004">
      <c r="A53" s="3" t="s">
        <v>28</v>
      </c>
    </row>
    <row r="54" spans="1:2" x14ac:dyDescent="0.55000000000000004">
      <c r="A54" s="42" t="s">
        <v>43</v>
      </c>
    </row>
    <row r="55" spans="1:2" x14ac:dyDescent="0.55000000000000004">
      <c r="A55" s="42" t="s">
        <v>44</v>
      </c>
    </row>
    <row r="56" spans="1:2" x14ac:dyDescent="0.55000000000000004">
      <c r="A56" s="42" t="s">
        <v>45</v>
      </c>
    </row>
    <row r="57" spans="1:2" x14ac:dyDescent="0.55000000000000004">
      <c r="A57" s="42" t="s">
        <v>46</v>
      </c>
    </row>
    <row r="58" spans="1:2" x14ac:dyDescent="0.55000000000000004">
      <c r="A58" s="42" t="s">
        <v>629</v>
      </c>
    </row>
    <row r="59" spans="1:2" x14ac:dyDescent="0.55000000000000004">
      <c r="A59" s="42" t="s">
        <v>783</v>
      </c>
      <c r="B59" s="42">
        <f>(Forestry!B59/Forestry!$B$35)*$B$35</f>
        <v>534000</v>
      </c>
    </row>
    <row r="60" spans="1:2" x14ac:dyDescent="0.55000000000000004">
      <c r="A60" s="42" t="s">
        <v>59</v>
      </c>
    </row>
    <row r="61" spans="1:2" x14ac:dyDescent="0.55000000000000004">
      <c r="A61" s="42" t="s">
        <v>635</v>
      </c>
      <c r="B61" s="15"/>
    </row>
    <row r="62" spans="1:2" x14ac:dyDescent="0.55000000000000004">
      <c r="A62" s="42" t="s">
        <v>58</v>
      </c>
      <c r="B62" s="42">
        <f>(Forestry!B62/Forestry!$B$35)*$B$35</f>
        <v>2000</v>
      </c>
    </row>
    <row r="63" spans="1:2" x14ac:dyDescent="0.55000000000000004">
      <c r="A63" s="42" t="s">
        <v>17</v>
      </c>
      <c r="B63" s="42">
        <f>(Forestry!B63/Forestry!$B$35)*$B$35</f>
        <v>95040.000000000015</v>
      </c>
    </row>
    <row r="64" spans="1:2" x14ac:dyDescent="0.55000000000000004">
      <c r="A64" s="42" t="s">
        <v>27</v>
      </c>
    </row>
    <row r="65" spans="1:2" x14ac:dyDescent="0.55000000000000004">
      <c r="A65" s="42" t="s">
        <v>19</v>
      </c>
      <c r="B65" s="42">
        <f>(Forestry!B65/Forestry!$B$35)*$B$35</f>
        <v>1209.6774193548385</v>
      </c>
    </row>
    <row r="66" spans="1:2" x14ac:dyDescent="0.55000000000000004">
      <c r="A66" s="42" t="s">
        <v>20</v>
      </c>
      <c r="B66" s="42">
        <f>(Forestry!B66/Forestry!$B$35)*$B$35</f>
        <v>53225.806451612902</v>
      </c>
    </row>
    <row r="67" spans="1:2" x14ac:dyDescent="0.55000000000000004">
      <c r="A67" s="116"/>
    </row>
    <row r="68" spans="1:2" x14ac:dyDescent="0.55000000000000004">
      <c r="A68" s="3" t="s">
        <v>49</v>
      </c>
    </row>
    <row r="69" spans="1:2" x14ac:dyDescent="0.55000000000000004">
      <c r="A69" t="s">
        <v>50</v>
      </c>
    </row>
    <row r="70" spans="1:2" x14ac:dyDescent="0.55000000000000004">
      <c r="A70" t="s">
        <v>51</v>
      </c>
    </row>
    <row r="71" spans="1:2" x14ac:dyDescent="0.55000000000000004">
      <c r="A71" t="s">
        <v>52</v>
      </c>
    </row>
    <row r="72" spans="1:2" x14ac:dyDescent="0.55000000000000004">
      <c r="A72" t="s">
        <v>53</v>
      </c>
    </row>
    <row r="75" spans="1:2" x14ac:dyDescent="0.55000000000000004">
      <c r="A75" s="3" t="s">
        <v>29</v>
      </c>
    </row>
    <row r="76" spans="1:2" x14ac:dyDescent="0.55000000000000004">
      <c r="A76" s="3" t="s">
        <v>11</v>
      </c>
    </row>
    <row r="77" spans="1:2" x14ac:dyDescent="0.55000000000000004">
      <c r="A77" s="5" t="s">
        <v>35</v>
      </c>
    </row>
    <row r="78" spans="1:2" x14ac:dyDescent="0.55000000000000004">
      <c r="A78" t="s">
        <v>30</v>
      </c>
    </row>
    <row r="79" spans="1:2" x14ac:dyDescent="0.55000000000000004">
      <c r="A79" t="s">
        <v>625</v>
      </c>
      <c r="B79" s="42">
        <v>0</v>
      </c>
    </row>
    <row r="80" spans="1:2" x14ac:dyDescent="0.55000000000000004">
      <c r="A80" t="s">
        <v>32</v>
      </c>
    </row>
    <row r="81" spans="1:2" x14ac:dyDescent="0.55000000000000004">
      <c r="A81" t="s">
        <v>36</v>
      </c>
    </row>
    <row r="82" spans="1:2" x14ac:dyDescent="0.55000000000000004">
      <c r="A82" t="s">
        <v>37</v>
      </c>
    </row>
    <row r="83" spans="1:2" x14ac:dyDescent="0.55000000000000004">
      <c r="A83" t="s">
        <v>38</v>
      </c>
    </row>
    <row r="84" spans="1:2" x14ac:dyDescent="0.55000000000000004">
      <c r="A84" t="s">
        <v>41</v>
      </c>
    </row>
    <row r="85" spans="1:2" x14ac:dyDescent="0.55000000000000004">
      <c r="A85" t="s">
        <v>39</v>
      </c>
    </row>
    <row r="86" spans="1:2" x14ac:dyDescent="0.55000000000000004">
      <c r="A86" s="1" t="s">
        <v>40</v>
      </c>
    </row>
    <row r="87" spans="1:2" x14ac:dyDescent="0.55000000000000004">
      <c r="A87" t="s">
        <v>42</v>
      </c>
      <c r="B87">
        <f>B4</f>
        <v>1000000</v>
      </c>
    </row>
    <row r="89" spans="1:2" x14ac:dyDescent="0.55000000000000004">
      <c r="A89" s="42"/>
      <c r="B89" s="42"/>
    </row>
    <row r="90" spans="1:2" x14ac:dyDescent="0.55000000000000004">
      <c r="A90" s="146" t="s">
        <v>26</v>
      </c>
      <c r="B90" s="42"/>
    </row>
    <row r="91" spans="1:2" x14ac:dyDescent="0.55000000000000004">
      <c r="A91" s="42" t="s">
        <v>43</v>
      </c>
      <c r="B91" s="42"/>
    </row>
    <row r="92" spans="1:2" x14ac:dyDescent="0.55000000000000004">
      <c r="A92" s="42" t="s">
        <v>44</v>
      </c>
      <c r="B92" s="42"/>
    </row>
    <row r="93" spans="1:2" x14ac:dyDescent="0.55000000000000004">
      <c r="A93" s="42" t="s">
        <v>45</v>
      </c>
      <c r="B93" s="42"/>
    </row>
    <row r="94" spans="1:2" x14ac:dyDescent="0.55000000000000004">
      <c r="A94" s="42" t="s">
        <v>46</v>
      </c>
      <c r="B94" s="42"/>
    </row>
    <row r="95" spans="1:2" x14ac:dyDescent="0.55000000000000004">
      <c r="A95" s="42" t="s">
        <v>629</v>
      </c>
      <c r="B95" s="42"/>
    </row>
    <row r="96" spans="1:2" x14ac:dyDescent="0.55000000000000004">
      <c r="A96" s="42" t="s">
        <v>783</v>
      </c>
      <c r="B96" s="42">
        <f>(Forestry!B96/Forestry!$B$35)*$B$35</f>
        <v>534000</v>
      </c>
    </row>
    <row r="97" spans="1:2" x14ac:dyDescent="0.55000000000000004">
      <c r="A97" s="57" t="s">
        <v>33</v>
      </c>
      <c r="B97" s="42"/>
    </row>
    <row r="98" spans="1:2" x14ac:dyDescent="0.55000000000000004">
      <c r="A98" s="42" t="s">
        <v>34</v>
      </c>
      <c r="B98" s="147"/>
    </row>
    <row r="99" spans="1:2" x14ac:dyDescent="0.55000000000000004">
      <c r="A99" s="42" t="s">
        <v>1019</v>
      </c>
      <c r="B99" s="42">
        <f>(Forestry!B99/Forestry!$B$35)*$B$35</f>
        <v>57000</v>
      </c>
    </row>
    <row r="100" spans="1:2" x14ac:dyDescent="0.55000000000000004">
      <c r="A100" s="42" t="s">
        <v>634</v>
      </c>
      <c r="B100" s="42"/>
    </row>
    <row r="101" spans="1:2" x14ac:dyDescent="0.55000000000000004">
      <c r="A101" s="42" t="s">
        <v>633</v>
      </c>
      <c r="B101" s="42">
        <f>(Forestry!B101/Forestry!$B$35)*$B$35</f>
        <v>984756.66666666674</v>
      </c>
    </row>
    <row r="102" spans="1:2" x14ac:dyDescent="0.55000000000000004">
      <c r="A102" s="42" t="s">
        <v>1020</v>
      </c>
      <c r="B102" s="42">
        <f>(Forestry!B102/Forestry!$B$35)*$B$35</f>
        <v>1094500</v>
      </c>
    </row>
    <row r="103" spans="1:2" x14ac:dyDescent="0.55000000000000004">
      <c r="A103" s="42" t="s">
        <v>1040</v>
      </c>
      <c r="B103" s="42">
        <f>(Forestry!B103/Forestry!$B$35)*$B$35</f>
        <v>2000</v>
      </c>
    </row>
    <row r="104" spans="1:2" x14ac:dyDescent="0.55000000000000004">
      <c r="A104" s="42" t="s">
        <v>1021</v>
      </c>
      <c r="B104" s="42">
        <f>(Forestry!B104/Forestry!$B$35)*$B$35</f>
        <v>751000</v>
      </c>
    </row>
    <row r="105" spans="1:2" x14ac:dyDescent="0.55000000000000004">
      <c r="A105" s="42" t="s">
        <v>1022</v>
      </c>
      <c r="B105" s="42">
        <f>(Forestry!B105/Forestry!$B$35)*$B$35</f>
        <v>1550879.9999999995</v>
      </c>
    </row>
    <row r="106" spans="1:2" x14ac:dyDescent="0.55000000000000004">
      <c r="A106" s="42" t="s">
        <v>32</v>
      </c>
      <c r="B106" s="42"/>
    </row>
    <row r="107" spans="1:2" x14ac:dyDescent="0.55000000000000004">
      <c r="A107" s="42"/>
      <c r="B107" s="42"/>
    </row>
    <row r="108" spans="1:2" x14ac:dyDescent="0.55000000000000004">
      <c r="A108" s="146" t="s">
        <v>28</v>
      </c>
      <c r="B108" s="42"/>
    </row>
    <row r="109" spans="1:2" x14ac:dyDescent="0.55000000000000004">
      <c r="A109" s="42" t="s">
        <v>50</v>
      </c>
    </row>
    <row r="110" spans="1:2" x14ac:dyDescent="0.55000000000000004">
      <c r="A110" s="42" t="s">
        <v>51</v>
      </c>
    </row>
    <row r="111" spans="1:2" x14ac:dyDescent="0.55000000000000004">
      <c r="A111" s="42" t="s">
        <v>52</v>
      </c>
      <c r="B111" s="42">
        <f>(Forestry!B111/Forestry!$B$35)*$B$35</f>
        <v>37800.000000000007</v>
      </c>
    </row>
    <row r="112" spans="1:2" x14ac:dyDescent="0.55000000000000004">
      <c r="A112" s="42" t="s">
        <v>53</v>
      </c>
      <c r="B112" s="15"/>
    </row>
    <row r="113" spans="1:2" x14ac:dyDescent="0.55000000000000004">
      <c r="A113" s="42" t="s">
        <v>59</v>
      </c>
      <c r="B113" s="42">
        <f>(Forestry!B113/Forestry!$B$35)*$B$35</f>
        <v>320500</v>
      </c>
    </row>
    <row r="114" spans="1:2" x14ac:dyDescent="0.55000000000000004">
      <c r="A114" s="42" t="s">
        <v>95</v>
      </c>
    </row>
    <row r="115" spans="1:2" x14ac:dyDescent="0.55000000000000004">
      <c r="A115" s="42" t="s">
        <v>636</v>
      </c>
    </row>
    <row r="116" spans="1:2" x14ac:dyDescent="0.55000000000000004">
      <c r="A116" s="42" t="s">
        <v>637</v>
      </c>
      <c r="B116" s="141"/>
    </row>
    <row r="117" spans="1:2" x14ac:dyDescent="0.55000000000000004">
      <c r="A117" s="42" t="s">
        <v>96</v>
      </c>
      <c r="B117" s="42">
        <f>(Forestry!B117/Forestry!$B$35)*$B$35</f>
        <v>24570</v>
      </c>
    </row>
    <row r="118" spans="1:2" x14ac:dyDescent="0.55000000000000004">
      <c r="A118" s="42" t="s">
        <v>97</v>
      </c>
    </row>
    <row r="119" spans="1:2" x14ac:dyDescent="0.55000000000000004">
      <c r="A119" s="42" t="s">
        <v>98</v>
      </c>
      <c r="B119" s="42">
        <f>(Forestry!B119/Forestry!$B$35)*$B$35</f>
        <v>0</v>
      </c>
    </row>
    <row r="120" spans="1:2" x14ac:dyDescent="0.55000000000000004">
      <c r="A120" s="42" t="s">
        <v>18</v>
      </c>
      <c r="B120" s="42">
        <f>(Forestry!B120/Forestry!$B$35)*$B$35</f>
        <v>77489.999999999985</v>
      </c>
    </row>
    <row r="121" spans="1:2" x14ac:dyDescent="0.55000000000000004">
      <c r="A121" s="42" t="s">
        <v>100</v>
      </c>
      <c r="B121" s="42">
        <f>(Forestry!B121/Forestry!$B$35)*$B$35</f>
        <v>40294.799999999996</v>
      </c>
    </row>
    <row r="122" spans="1:2" x14ac:dyDescent="0.55000000000000004">
      <c r="A122" s="42" t="s">
        <v>32</v>
      </c>
    </row>
    <row r="128" spans="1:2" x14ac:dyDescent="0.55000000000000004">
      <c r="A128" s="3" t="s">
        <v>49</v>
      </c>
    </row>
    <row r="129" spans="1:1" x14ac:dyDescent="0.55000000000000004">
      <c r="A129" t="s">
        <v>54</v>
      </c>
    </row>
    <row r="130" spans="1:1" x14ac:dyDescent="0.55000000000000004">
      <c r="A130" s="123" t="s">
        <v>819</v>
      </c>
    </row>
    <row r="131" spans="1:1" x14ac:dyDescent="0.55000000000000004">
      <c r="A131" s="123" t="s">
        <v>820</v>
      </c>
    </row>
    <row r="132" spans="1:1" x14ac:dyDescent="0.55000000000000004">
      <c r="A132" s="123" t="s">
        <v>821</v>
      </c>
    </row>
    <row r="133" spans="1:1" x14ac:dyDescent="0.55000000000000004">
      <c r="A133" s="123" t="s">
        <v>822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34"/>
  <sheetViews>
    <sheetView topLeftCell="A79" workbookViewId="0">
      <selection activeCell="B85" sqref="B85"/>
    </sheetView>
  </sheetViews>
  <sheetFormatPr defaultColWidth="8.7890625" defaultRowHeight="14.4" x14ac:dyDescent="0.55000000000000004"/>
  <cols>
    <col min="1" max="1" width="32.62890625" customWidth="1"/>
    <col min="2" max="2" width="14.15625" bestFit="1" customWidth="1"/>
    <col min="3" max="3" width="12.15625" bestFit="1" customWidth="1"/>
    <col min="4" max="4" width="19.7890625" bestFit="1" customWidth="1"/>
    <col min="5" max="5" width="11.7890625" bestFit="1" customWidth="1"/>
    <col min="8" max="8" width="34.47265625" customWidth="1"/>
    <col min="9" max="9" width="11.62890625" customWidth="1"/>
    <col min="10" max="10" width="21.7890625" bestFit="1" customWidth="1"/>
    <col min="11" max="11" width="12.7890625" customWidth="1"/>
    <col min="15" max="15" width="11.7890625" bestFit="1" customWidth="1"/>
  </cols>
  <sheetData>
    <row r="1" spans="1:20" x14ac:dyDescent="0.55000000000000004">
      <c r="B1" t="s">
        <v>1</v>
      </c>
      <c r="F1" t="s">
        <v>173</v>
      </c>
      <c r="H1" t="s">
        <v>1</v>
      </c>
    </row>
    <row r="2" spans="1:20" x14ac:dyDescent="0.55000000000000004">
      <c r="A2" t="s">
        <v>12</v>
      </c>
      <c r="B2" t="s">
        <v>1093</v>
      </c>
      <c r="D2" t="s">
        <v>1</v>
      </c>
      <c r="E2" s="36">
        <f>(E3*(1+I59/100)*(1+I60/100))*R3</f>
        <v>1819587748867.0801</v>
      </c>
      <c r="F2" t="s">
        <v>185</v>
      </c>
      <c r="I2" t="s">
        <v>172</v>
      </c>
      <c r="J2" t="s">
        <v>173</v>
      </c>
      <c r="K2" t="s">
        <v>5</v>
      </c>
      <c r="L2" t="s">
        <v>0</v>
      </c>
      <c r="Q2" t="s">
        <v>174</v>
      </c>
    </row>
    <row r="3" spans="1:20" x14ac:dyDescent="0.55000000000000004">
      <c r="A3" s="3" t="s">
        <v>10</v>
      </c>
      <c r="D3" t="s">
        <v>823</v>
      </c>
      <c r="E3" s="36">
        <f>I42*I58*24*R3</f>
        <v>1305806261.76</v>
      </c>
      <c r="F3" t="s">
        <v>185</v>
      </c>
      <c r="H3" t="s">
        <v>824</v>
      </c>
      <c r="Q3" t="s">
        <v>825</v>
      </c>
      <c r="R3">
        <v>907.2</v>
      </c>
      <c r="S3" t="s">
        <v>196</v>
      </c>
    </row>
    <row r="4" spans="1:20" x14ac:dyDescent="0.55000000000000004">
      <c r="A4" s="3" t="s">
        <v>171</v>
      </c>
      <c r="B4">
        <f>2000*1000</f>
        <v>2000000</v>
      </c>
      <c r="D4" t="s">
        <v>3</v>
      </c>
      <c r="E4" s="15">
        <f>I43*I58*R4*R5/R6</f>
        <v>59113.226699999992</v>
      </c>
      <c r="F4" t="s">
        <v>185</v>
      </c>
      <c r="H4" t="s">
        <v>826</v>
      </c>
      <c r="I4">
        <f>AVERAGE(19.99, 21.79)</f>
        <v>20.89</v>
      </c>
      <c r="J4" t="s">
        <v>827</v>
      </c>
      <c r="K4" t="s">
        <v>828</v>
      </c>
      <c r="L4" t="s">
        <v>829</v>
      </c>
      <c r="Q4" t="s">
        <v>830</v>
      </c>
      <c r="R4">
        <v>159</v>
      </c>
      <c r="S4" t="s">
        <v>831</v>
      </c>
    </row>
    <row r="5" spans="1:20" x14ac:dyDescent="0.55000000000000004">
      <c r="A5" t="s">
        <v>175</v>
      </c>
      <c r="B5">
        <v>0</v>
      </c>
      <c r="D5" t="s">
        <v>398</v>
      </c>
      <c r="E5">
        <f>I55*I58*24</f>
        <v>-205920</v>
      </c>
      <c r="F5" t="s">
        <v>832</v>
      </c>
      <c r="H5" t="s">
        <v>833</v>
      </c>
      <c r="I5">
        <f>AVERAGE(0.48, 0.54)</f>
        <v>0.51</v>
      </c>
      <c r="J5" t="s">
        <v>834</v>
      </c>
      <c r="K5" t="s">
        <v>828</v>
      </c>
      <c r="L5" t="s">
        <v>835</v>
      </c>
      <c r="Q5" t="s">
        <v>836</v>
      </c>
      <c r="R5">
        <v>997</v>
      </c>
      <c r="S5" t="s">
        <v>837</v>
      </c>
    </row>
    <row r="6" spans="1:20" x14ac:dyDescent="0.55000000000000004">
      <c r="A6" t="s">
        <v>183</v>
      </c>
      <c r="B6">
        <v>0</v>
      </c>
      <c r="D6" t="s">
        <v>56</v>
      </c>
      <c r="E6" s="36">
        <f>I45*1000*R11*R8*R12/1000000</f>
        <v>38873761.185000002</v>
      </c>
      <c r="F6" t="s">
        <v>570</v>
      </c>
      <c r="H6" t="s">
        <v>838</v>
      </c>
      <c r="I6">
        <f>AVERAGE(0.37, 0.48)</f>
        <v>0.42499999999999999</v>
      </c>
      <c r="J6" t="s">
        <v>839</v>
      </c>
      <c r="K6" t="s">
        <v>828</v>
      </c>
      <c r="L6" t="s">
        <v>840</v>
      </c>
      <c r="Q6" t="s">
        <v>841</v>
      </c>
      <c r="R6">
        <v>1000</v>
      </c>
      <c r="S6" t="s">
        <v>842</v>
      </c>
    </row>
    <row r="7" spans="1:20" x14ac:dyDescent="0.55000000000000004">
      <c r="A7" t="s">
        <v>13</v>
      </c>
      <c r="B7" s="2">
        <v>0</v>
      </c>
      <c r="D7" t="s">
        <v>843</v>
      </c>
      <c r="E7" s="36">
        <f>I44*1000*R11*R8*R12/1000000</f>
        <v>6374613.8399999999</v>
      </c>
      <c r="F7" t="s">
        <v>570</v>
      </c>
      <c r="H7" t="s">
        <v>844</v>
      </c>
      <c r="I7">
        <f>AVERAGE(1.5, 3.4)</f>
        <v>2.4500000000000002</v>
      </c>
      <c r="J7" t="s">
        <v>845</v>
      </c>
      <c r="K7" t="s">
        <v>828</v>
      </c>
      <c r="L7" t="s">
        <v>846</v>
      </c>
      <c r="Q7" s="117" t="s">
        <v>159</v>
      </c>
      <c r="R7">
        <v>112194</v>
      </c>
      <c r="S7" t="s">
        <v>324</v>
      </c>
      <c r="T7" t="s">
        <v>178</v>
      </c>
    </row>
    <row r="8" spans="1:20" x14ac:dyDescent="0.55000000000000004">
      <c r="A8" t="s">
        <v>14</v>
      </c>
      <c r="B8">
        <v>0</v>
      </c>
      <c r="D8" t="s">
        <v>847</v>
      </c>
      <c r="E8" s="36">
        <f>(I46*1000*R11*R8*R12/1000000)/R14</f>
        <v>151864.55742459395</v>
      </c>
      <c r="F8" t="s">
        <v>185</v>
      </c>
      <c r="H8" t="s">
        <v>848</v>
      </c>
      <c r="I8">
        <f>AVERAGE(0.07, 0.14)</f>
        <v>0.10500000000000001</v>
      </c>
      <c r="J8" t="s">
        <v>834</v>
      </c>
      <c r="K8" t="s">
        <v>828</v>
      </c>
      <c r="L8" t="s">
        <v>849</v>
      </c>
      <c r="Q8" s="117" t="s">
        <v>323</v>
      </c>
      <c r="R8">
        <v>128450</v>
      </c>
      <c r="S8" t="s">
        <v>324</v>
      </c>
      <c r="T8" t="s">
        <v>178</v>
      </c>
    </row>
    <row r="9" spans="1:20" x14ac:dyDescent="0.55000000000000004">
      <c r="A9" t="s">
        <v>655</v>
      </c>
      <c r="B9" s="159">
        <f>B84*0.5*0.675*(44/12)</f>
        <v>990000</v>
      </c>
      <c r="D9" t="s">
        <v>850</v>
      </c>
      <c r="E9" s="36">
        <f>I47*I58*24*2000/2.2</f>
        <v>1359072000</v>
      </c>
      <c r="F9" t="s">
        <v>185</v>
      </c>
      <c r="H9" t="s">
        <v>851</v>
      </c>
      <c r="I9">
        <v>0.13</v>
      </c>
      <c r="J9" t="s">
        <v>852</v>
      </c>
      <c r="K9" t="s">
        <v>828</v>
      </c>
      <c r="L9" t="s">
        <v>853</v>
      </c>
      <c r="Q9" s="117" t="s">
        <v>336</v>
      </c>
      <c r="R9">
        <v>2836</v>
      </c>
      <c r="S9" t="s">
        <v>337</v>
      </c>
      <c r="T9" t="s">
        <v>178</v>
      </c>
    </row>
    <row r="10" spans="1:20" x14ac:dyDescent="0.55000000000000004">
      <c r="A10" t="s">
        <v>24</v>
      </c>
      <c r="B10">
        <v>0</v>
      </c>
      <c r="D10" t="s">
        <v>294</v>
      </c>
      <c r="E10">
        <f>SUM(I34:I40)*1000000</f>
        <v>933000000</v>
      </c>
      <c r="F10" t="s">
        <v>271</v>
      </c>
      <c r="H10" t="s">
        <v>854</v>
      </c>
      <c r="I10">
        <v>6</v>
      </c>
      <c r="J10" t="s">
        <v>845</v>
      </c>
      <c r="K10" t="s">
        <v>828</v>
      </c>
      <c r="L10" t="s">
        <v>855</v>
      </c>
      <c r="Q10" t="s">
        <v>342</v>
      </c>
      <c r="R10">
        <v>3167</v>
      </c>
      <c r="S10" t="s">
        <v>337</v>
      </c>
      <c r="T10" t="s">
        <v>178</v>
      </c>
    </row>
    <row r="11" spans="1:20" x14ac:dyDescent="0.55000000000000004">
      <c r="A11" t="s">
        <v>23</v>
      </c>
      <c r="B11" s="15">
        <v>0</v>
      </c>
      <c r="D11" t="s">
        <v>700</v>
      </c>
      <c r="E11" s="36">
        <f>I62*I64/I63</f>
        <v>11506871.618782049</v>
      </c>
      <c r="F11" t="s">
        <v>303</v>
      </c>
      <c r="H11" t="s">
        <v>856</v>
      </c>
      <c r="I11">
        <v>50</v>
      </c>
      <c r="J11" t="s">
        <v>845</v>
      </c>
      <c r="K11" t="s">
        <v>828</v>
      </c>
      <c r="L11" t="s">
        <v>857</v>
      </c>
      <c r="Q11" t="s">
        <v>830</v>
      </c>
      <c r="R11">
        <v>42</v>
      </c>
      <c r="S11" t="s">
        <v>858</v>
      </c>
    </row>
    <row r="12" spans="1:20" x14ac:dyDescent="0.55000000000000004">
      <c r="A12" t="s">
        <v>22</v>
      </c>
      <c r="B12" s="15">
        <v>0</v>
      </c>
      <c r="H12" t="s">
        <v>704</v>
      </c>
      <c r="I12">
        <v>2.0699999999999998</v>
      </c>
      <c r="J12" t="s">
        <v>845</v>
      </c>
      <c r="K12" t="s">
        <v>828</v>
      </c>
      <c r="L12" t="s">
        <v>859</v>
      </c>
      <c r="Q12" t="s">
        <v>199</v>
      </c>
      <c r="R12">
        <v>1055</v>
      </c>
      <c r="S12" t="s">
        <v>200</v>
      </c>
    </row>
    <row r="13" spans="1:20" x14ac:dyDescent="0.55000000000000004">
      <c r="A13" t="s">
        <v>21</v>
      </c>
      <c r="B13" s="15">
        <v>0</v>
      </c>
      <c r="H13" t="s">
        <v>860</v>
      </c>
      <c r="I13">
        <v>6.0000000000000001E-3</v>
      </c>
      <c r="J13" t="s">
        <v>845</v>
      </c>
      <c r="K13" t="s">
        <v>828</v>
      </c>
      <c r="L13" t="s">
        <v>861</v>
      </c>
      <c r="Q13" t="s">
        <v>374</v>
      </c>
      <c r="R13">
        <v>18960</v>
      </c>
      <c r="S13" t="s">
        <v>375</v>
      </c>
      <c r="T13" t="s">
        <v>178</v>
      </c>
    </row>
    <row r="14" spans="1:20" x14ac:dyDescent="0.55000000000000004">
      <c r="A14" t="s">
        <v>222</v>
      </c>
      <c r="B14">
        <v>0</v>
      </c>
      <c r="D14" s="142" t="s">
        <v>929</v>
      </c>
      <c r="H14" t="s">
        <v>862</v>
      </c>
      <c r="I14">
        <v>53.54</v>
      </c>
      <c r="J14" t="s">
        <v>863</v>
      </c>
      <c r="K14" t="s">
        <v>828</v>
      </c>
      <c r="L14" t="s">
        <v>864</v>
      </c>
      <c r="Q14" t="s">
        <v>865</v>
      </c>
      <c r="R14">
        <v>43.1</v>
      </c>
      <c r="S14" t="s">
        <v>71</v>
      </c>
    </row>
    <row r="15" spans="1:20" x14ac:dyDescent="0.55000000000000004">
      <c r="A15" t="s">
        <v>15</v>
      </c>
      <c r="B15">
        <v>0</v>
      </c>
      <c r="D15" t="s">
        <v>1</v>
      </c>
      <c r="H15" t="s">
        <v>860</v>
      </c>
      <c r="I15">
        <v>254</v>
      </c>
      <c r="J15" t="s">
        <v>866</v>
      </c>
      <c r="K15" t="s">
        <v>828</v>
      </c>
      <c r="L15" t="s">
        <v>867</v>
      </c>
    </row>
    <row r="16" spans="1:20" x14ac:dyDescent="0.55000000000000004">
      <c r="A16" t="s">
        <v>16</v>
      </c>
      <c r="B16">
        <v>0</v>
      </c>
      <c r="D16" t="s">
        <v>923</v>
      </c>
      <c r="H16" t="s">
        <v>704</v>
      </c>
      <c r="I16">
        <v>15112</v>
      </c>
      <c r="J16" t="s">
        <v>866</v>
      </c>
      <c r="K16" t="s">
        <v>828</v>
      </c>
      <c r="L16" t="s">
        <v>868</v>
      </c>
    </row>
    <row r="17" spans="1:21" x14ac:dyDescent="0.55000000000000004">
      <c r="A17" t="s">
        <v>942</v>
      </c>
      <c r="B17" s="15">
        <v>0</v>
      </c>
      <c r="D17" t="s">
        <v>924</v>
      </c>
      <c r="H17" t="s">
        <v>561</v>
      </c>
      <c r="I17">
        <v>598</v>
      </c>
      <c r="J17" t="s">
        <v>869</v>
      </c>
      <c r="K17" t="s">
        <v>828</v>
      </c>
      <c r="L17" t="s">
        <v>870</v>
      </c>
    </row>
    <row r="18" spans="1:21" x14ac:dyDescent="0.55000000000000004">
      <c r="A18" t="s">
        <v>17</v>
      </c>
      <c r="B18" s="156">
        <f>(R30/2)*(B4/1000)</f>
        <v>44782.24917309812</v>
      </c>
      <c r="C18">
        <f>B18/B4</f>
        <v>2.2391124586549061E-2</v>
      </c>
      <c r="D18" t="s">
        <v>925</v>
      </c>
      <c r="I18" t="s">
        <v>871</v>
      </c>
    </row>
    <row r="19" spans="1:21" x14ac:dyDescent="0.55000000000000004">
      <c r="A19" t="s">
        <v>18</v>
      </c>
      <c r="B19" s="156">
        <f>(R32/2)*(B4/1000)</f>
        <v>995.16109273551376</v>
      </c>
      <c r="C19">
        <f>(B19*1000)/B4</f>
        <v>0.49758054636775689</v>
      </c>
      <c r="D19" t="s">
        <v>926</v>
      </c>
      <c r="H19" t="s">
        <v>872</v>
      </c>
      <c r="I19" t="s">
        <v>873</v>
      </c>
      <c r="J19" t="s">
        <v>71</v>
      </c>
      <c r="K19" t="s">
        <v>871</v>
      </c>
    </row>
    <row r="20" spans="1:21" x14ac:dyDescent="0.55000000000000004">
      <c r="A20" t="s">
        <v>100</v>
      </c>
      <c r="B20">
        <v>0</v>
      </c>
      <c r="D20" t="s">
        <v>927</v>
      </c>
      <c r="H20" t="s">
        <v>874</v>
      </c>
      <c r="I20">
        <v>44</v>
      </c>
      <c r="J20" t="s">
        <v>875</v>
      </c>
      <c r="K20" t="s">
        <v>871</v>
      </c>
    </row>
    <row r="21" spans="1:21" x14ac:dyDescent="0.55000000000000004">
      <c r="A21" t="s">
        <v>262</v>
      </c>
      <c r="B21">
        <v>0</v>
      </c>
      <c r="D21" t="s">
        <v>928</v>
      </c>
      <c r="H21" t="s">
        <v>876</v>
      </c>
      <c r="I21">
        <v>86</v>
      </c>
      <c r="J21" t="s">
        <v>875</v>
      </c>
      <c r="K21" t="s">
        <v>871</v>
      </c>
    </row>
    <row r="22" spans="1:21" x14ac:dyDescent="0.55000000000000004">
      <c r="A22" t="s">
        <v>269</v>
      </c>
      <c r="B22">
        <v>0</v>
      </c>
      <c r="D22" t="s">
        <v>930</v>
      </c>
      <c r="H22" t="s">
        <v>877</v>
      </c>
      <c r="I22">
        <v>8.3000000000000007</v>
      </c>
      <c r="J22" t="s">
        <v>878</v>
      </c>
      <c r="K22" t="s">
        <v>871</v>
      </c>
      <c r="L22" t="s">
        <v>879</v>
      </c>
    </row>
    <row r="23" spans="1:21" x14ac:dyDescent="0.55000000000000004">
      <c r="A23" t="s">
        <v>19</v>
      </c>
      <c r="B23" s="15">
        <f>R37*(B4/1000)</f>
        <v>35590.909090909096</v>
      </c>
      <c r="C23">
        <f>B23/B4</f>
        <v>1.7795454545454548E-2</v>
      </c>
      <c r="D23" t="s">
        <v>931</v>
      </c>
      <c r="H23" t="s">
        <v>880</v>
      </c>
      <c r="I23">
        <v>16.600000000000001</v>
      </c>
      <c r="J23" t="s">
        <v>878</v>
      </c>
      <c r="K23" t="s">
        <v>871</v>
      </c>
      <c r="L23" t="s">
        <v>881</v>
      </c>
    </row>
    <row r="24" spans="1:21" x14ac:dyDescent="0.55000000000000004">
      <c r="A24" t="s">
        <v>154</v>
      </c>
      <c r="B24">
        <v>0</v>
      </c>
      <c r="H24" t="s">
        <v>617</v>
      </c>
      <c r="I24">
        <v>9.3000000000000007</v>
      </c>
      <c r="J24" t="s">
        <v>878</v>
      </c>
      <c r="K24" t="s">
        <v>871</v>
      </c>
      <c r="L24" t="s">
        <v>881</v>
      </c>
    </row>
    <row r="25" spans="1:21" x14ac:dyDescent="0.55000000000000004">
      <c r="A25" t="s">
        <v>679</v>
      </c>
      <c r="B25" s="151">
        <f>R40*(B4/1000)</f>
        <v>318181.81818181818</v>
      </c>
      <c r="C25" s="52">
        <f>B25/B4</f>
        <v>0.15909090909090909</v>
      </c>
      <c r="D25" t="s">
        <v>932</v>
      </c>
      <c r="H25" t="s">
        <v>882</v>
      </c>
      <c r="I25">
        <v>0</v>
      </c>
      <c r="J25" t="s">
        <v>878</v>
      </c>
      <c r="K25" t="s">
        <v>871</v>
      </c>
      <c r="L25" t="s">
        <v>881</v>
      </c>
    </row>
    <row r="26" spans="1:21" x14ac:dyDescent="0.55000000000000004">
      <c r="D26" s="51" t="s">
        <v>979</v>
      </c>
      <c r="E26" t="s">
        <v>980</v>
      </c>
      <c r="H26" t="s">
        <v>883</v>
      </c>
      <c r="I26">
        <v>48</v>
      </c>
      <c r="J26" t="s">
        <v>884</v>
      </c>
      <c r="K26" t="s">
        <v>871</v>
      </c>
      <c r="Q26" s="160" t="s">
        <v>1104</v>
      </c>
      <c r="R26" s="160" t="s">
        <v>1105</v>
      </c>
      <c r="S26" s="160" t="s">
        <v>1106</v>
      </c>
      <c r="T26" s="160" t="s">
        <v>1107</v>
      </c>
      <c r="U26" s="160"/>
    </row>
    <row r="27" spans="1:21" x14ac:dyDescent="0.55000000000000004">
      <c r="A27" s="42"/>
      <c r="B27" s="42"/>
      <c r="H27" t="s">
        <v>885</v>
      </c>
      <c r="I27">
        <v>20</v>
      </c>
      <c r="J27" t="s">
        <v>884</v>
      </c>
      <c r="K27" t="s">
        <v>871</v>
      </c>
      <c r="Q27" s="160"/>
      <c r="R27" s="160">
        <f>0.0385*10^6</f>
        <v>38500</v>
      </c>
      <c r="S27" s="160" t="s">
        <v>213</v>
      </c>
      <c r="T27" s="160"/>
      <c r="U27" s="160"/>
    </row>
    <row r="28" spans="1:21" x14ac:dyDescent="0.55000000000000004">
      <c r="A28" s="146" t="s">
        <v>26</v>
      </c>
      <c r="B28" s="42"/>
      <c r="H28" t="s">
        <v>361</v>
      </c>
      <c r="I28">
        <v>0.03</v>
      </c>
      <c r="J28" t="s">
        <v>886</v>
      </c>
      <c r="K28" t="s">
        <v>871</v>
      </c>
      <c r="Q28" s="160"/>
      <c r="R28" s="160">
        <f>R27*1055</f>
        <v>40617500</v>
      </c>
      <c r="S28" s="160" t="s">
        <v>1108</v>
      </c>
      <c r="T28" s="160"/>
      <c r="U28" s="160"/>
    </row>
    <row r="29" spans="1:21" x14ac:dyDescent="0.55000000000000004">
      <c r="A29" s="42" t="s">
        <v>36</v>
      </c>
      <c r="B29" s="42"/>
      <c r="H29" t="s">
        <v>887</v>
      </c>
      <c r="I29">
        <v>223</v>
      </c>
      <c r="J29" t="s">
        <v>888</v>
      </c>
      <c r="K29" t="s">
        <v>871</v>
      </c>
      <c r="Q29" s="160"/>
      <c r="R29" s="160">
        <f>R28/0.907</f>
        <v>44782249.173098125</v>
      </c>
      <c r="S29" s="160" t="s">
        <v>1109</v>
      </c>
      <c r="T29" s="160"/>
      <c r="U29" s="160"/>
    </row>
    <row r="30" spans="1:21" x14ac:dyDescent="0.55000000000000004">
      <c r="A30" s="42" t="s">
        <v>37</v>
      </c>
      <c r="B30" s="42"/>
      <c r="I30" t="s">
        <v>889</v>
      </c>
      <c r="Q30" s="160"/>
      <c r="R30" s="160">
        <f>R29/10^6</f>
        <v>44.782249173098123</v>
      </c>
      <c r="S30" s="160" t="s">
        <v>1110</v>
      </c>
      <c r="T30" s="160"/>
      <c r="U30" s="160"/>
    </row>
    <row r="31" spans="1:21" x14ac:dyDescent="0.55000000000000004">
      <c r="A31" s="42" t="s">
        <v>38</v>
      </c>
      <c r="B31" s="42"/>
      <c r="H31" t="s">
        <v>890</v>
      </c>
      <c r="I31">
        <v>16.8</v>
      </c>
      <c r="J31" t="s">
        <v>891</v>
      </c>
      <c r="K31" t="s">
        <v>892</v>
      </c>
      <c r="L31" t="s">
        <v>893</v>
      </c>
    </row>
    <row r="32" spans="1:21" x14ac:dyDescent="0.55000000000000004">
      <c r="A32" s="42" t="s">
        <v>1116</v>
      </c>
      <c r="B32" s="42">
        <f>B84</f>
        <v>800000</v>
      </c>
      <c r="H32" t="s">
        <v>894</v>
      </c>
      <c r="I32">
        <v>10000</v>
      </c>
      <c r="J32" t="s">
        <v>895</v>
      </c>
      <c r="K32" t="s">
        <v>892</v>
      </c>
      <c r="L32" t="s">
        <v>896</v>
      </c>
      <c r="R32" s="161">
        <f>R30/45</f>
        <v>0.99516109273551379</v>
      </c>
      <c r="S32" s="160" t="s">
        <v>1100</v>
      </c>
    </row>
    <row r="33" spans="1:21" x14ac:dyDescent="0.55000000000000004">
      <c r="A33" s="42" t="s">
        <v>39</v>
      </c>
      <c r="B33" s="42"/>
      <c r="I33" t="s">
        <v>897</v>
      </c>
    </row>
    <row r="34" spans="1:21" x14ac:dyDescent="0.55000000000000004">
      <c r="A34" s="42" t="s">
        <v>40</v>
      </c>
      <c r="B34" s="42"/>
      <c r="H34" t="s">
        <v>898</v>
      </c>
      <c r="I34">
        <v>452</v>
      </c>
      <c r="J34" t="s">
        <v>589</v>
      </c>
      <c r="K34" t="s">
        <v>892</v>
      </c>
      <c r="L34" t="s">
        <v>899</v>
      </c>
    </row>
    <row r="35" spans="1:21" x14ac:dyDescent="0.55000000000000004">
      <c r="A35" s="42" t="s">
        <v>42</v>
      </c>
      <c r="B35" s="42"/>
      <c r="H35" t="s">
        <v>900</v>
      </c>
      <c r="I35">
        <v>157</v>
      </c>
      <c r="J35" t="s">
        <v>589</v>
      </c>
      <c r="K35" t="s">
        <v>892</v>
      </c>
      <c r="Q35" s="160" t="s">
        <v>1111</v>
      </c>
      <c r="R35" s="160">
        <f>0.87*27000000</f>
        <v>23490000</v>
      </c>
      <c r="S35" s="160" t="s">
        <v>341</v>
      </c>
      <c r="T35" s="160" t="s">
        <v>1112</v>
      </c>
      <c r="U35" s="160" t="s">
        <v>1113</v>
      </c>
    </row>
    <row r="36" spans="1:21" x14ac:dyDescent="0.55000000000000004">
      <c r="A36" s="42" t="s">
        <v>90</v>
      </c>
      <c r="B36" s="42"/>
      <c r="H36" t="s">
        <v>901</v>
      </c>
      <c r="I36">
        <v>73</v>
      </c>
      <c r="J36" t="s">
        <v>589</v>
      </c>
      <c r="K36" t="s">
        <v>892</v>
      </c>
      <c r="Q36" s="160"/>
      <c r="R36" s="160">
        <f>R35/(2000*330)</f>
        <v>35.590909090909093</v>
      </c>
      <c r="S36" s="160" t="s">
        <v>638</v>
      </c>
      <c r="T36" s="160"/>
      <c r="U36" s="160"/>
    </row>
    <row r="37" spans="1:21" x14ac:dyDescent="0.55000000000000004">
      <c r="A37" s="42" t="s">
        <v>59</v>
      </c>
      <c r="B37" s="42">
        <f>(Forestry!B37/Forestry!$B$35)*$B$32</f>
        <v>440800.00000000006</v>
      </c>
      <c r="H37" t="s">
        <v>902</v>
      </c>
      <c r="I37">
        <v>118</v>
      </c>
      <c r="J37" t="s">
        <v>589</v>
      </c>
      <c r="K37" t="s">
        <v>892</v>
      </c>
      <c r="Q37" s="160"/>
      <c r="R37" s="160">
        <f>R36/2</f>
        <v>17.795454545454547</v>
      </c>
      <c r="S37" s="160" t="s">
        <v>638</v>
      </c>
      <c r="T37" s="160"/>
      <c r="U37" s="160"/>
    </row>
    <row r="38" spans="1:21" x14ac:dyDescent="0.55000000000000004">
      <c r="A38" s="42" t="s">
        <v>626</v>
      </c>
      <c r="B38" s="42"/>
      <c r="H38" t="s">
        <v>903</v>
      </c>
      <c r="I38">
        <v>35</v>
      </c>
      <c r="J38" t="s">
        <v>589</v>
      </c>
      <c r="K38" t="s">
        <v>892</v>
      </c>
    </row>
    <row r="39" spans="1:21" x14ac:dyDescent="0.55000000000000004">
      <c r="A39" s="42" t="s">
        <v>627</v>
      </c>
      <c r="B39" s="42"/>
      <c r="H39" t="s">
        <v>904</v>
      </c>
      <c r="I39">
        <v>69</v>
      </c>
      <c r="J39" t="s">
        <v>589</v>
      </c>
      <c r="K39" t="s">
        <v>892</v>
      </c>
      <c r="Q39" s="160" t="s">
        <v>1114</v>
      </c>
      <c r="R39" s="160">
        <v>105</v>
      </c>
      <c r="S39" s="160" t="s">
        <v>378</v>
      </c>
      <c r="T39" s="160" t="s">
        <v>1112</v>
      </c>
      <c r="U39" s="160" t="s">
        <v>1115</v>
      </c>
    </row>
    <row r="40" spans="1:21" x14ac:dyDescent="0.55000000000000004">
      <c r="A40" s="42" t="s">
        <v>429</v>
      </c>
      <c r="B40" s="147"/>
      <c r="H40" t="s">
        <v>905</v>
      </c>
      <c r="I40">
        <v>29</v>
      </c>
      <c r="J40" t="s">
        <v>589</v>
      </c>
      <c r="K40" t="s">
        <v>892</v>
      </c>
      <c r="Q40" s="160"/>
      <c r="R40" s="160">
        <f>(R39*10^6)/(2000*330)</f>
        <v>159.09090909090909</v>
      </c>
      <c r="S40" s="160" t="s">
        <v>638</v>
      </c>
      <c r="T40" s="160"/>
      <c r="U40" s="160"/>
    </row>
    <row r="41" spans="1:21" x14ac:dyDescent="0.55000000000000004">
      <c r="A41" s="42" t="s">
        <v>628</v>
      </c>
      <c r="B41" s="42">
        <f>(Forestry!B41/Forestry!$B$35)*$B$32</f>
        <v>220000.00000000003</v>
      </c>
      <c r="I41" t="s">
        <v>906</v>
      </c>
    </row>
    <row r="42" spans="1:21" x14ac:dyDescent="0.55000000000000004">
      <c r="A42" s="42" t="s">
        <v>630</v>
      </c>
      <c r="B42" s="42"/>
      <c r="H42" t="s">
        <v>907</v>
      </c>
      <c r="I42">
        <v>181.74</v>
      </c>
      <c r="J42" t="s">
        <v>908</v>
      </c>
    </row>
    <row r="43" spans="1:21" x14ac:dyDescent="0.55000000000000004">
      <c r="A43" s="42" t="s">
        <v>631</v>
      </c>
      <c r="B43" s="42"/>
      <c r="H43" t="s">
        <v>72</v>
      </c>
      <c r="I43">
        <v>1.1299999999999999</v>
      </c>
      <c r="J43" t="s">
        <v>909</v>
      </c>
    </row>
    <row r="44" spans="1:21" x14ac:dyDescent="0.55000000000000004">
      <c r="A44" s="42" t="s">
        <v>632</v>
      </c>
      <c r="B44" s="42"/>
      <c r="H44" t="s">
        <v>843</v>
      </c>
      <c r="I44">
        <v>1.1200000000000001</v>
      </c>
      <c r="J44" t="s">
        <v>909</v>
      </c>
    </row>
    <row r="45" spans="1:21" x14ac:dyDescent="0.55000000000000004">
      <c r="A45" s="42" t="s">
        <v>1052</v>
      </c>
      <c r="B45" s="42">
        <f>(Forestry!B45/Forestry!$B$35)*$B$32</f>
        <v>102.99941348973607</v>
      </c>
      <c r="H45" t="s">
        <v>56</v>
      </c>
      <c r="I45">
        <v>6.83</v>
      </c>
      <c r="J45" t="s">
        <v>909</v>
      </c>
    </row>
    <row r="46" spans="1:21" x14ac:dyDescent="0.55000000000000004">
      <c r="A46" s="42" t="s">
        <v>983</v>
      </c>
      <c r="B46" s="42">
        <f>(Forestry!B46/Forestry!$B$35)*$B$32</f>
        <v>1161200</v>
      </c>
      <c r="H46" t="s">
        <v>910</v>
      </c>
      <c r="I46">
        <v>1.1499999999999999</v>
      </c>
      <c r="J46" t="s">
        <v>909</v>
      </c>
    </row>
    <row r="47" spans="1:21" x14ac:dyDescent="0.55000000000000004">
      <c r="A47" s="42" t="s">
        <v>96</v>
      </c>
      <c r="B47" s="42">
        <f>(Forestry!B47/Forestry!$B$35)*$B$32</f>
        <v>19656</v>
      </c>
      <c r="H47" t="s">
        <v>850</v>
      </c>
      <c r="I47">
        <v>188.76</v>
      </c>
      <c r="J47" t="s">
        <v>911</v>
      </c>
    </row>
    <row r="48" spans="1:21" x14ac:dyDescent="0.55000000000000004">
      <c r="A48" s="42" t="s">
        <v>17</v>
      </c>
      <c r="B48" s="42">
        <f>(Forestry!B48/Forestry!$B$35)*$B$32</f>
        <v>687743.99999999988</v>
      </c>
      <c r="I48" t="s">
        <v>912</v>
      </c>
    </row>
    <row r="49" spans="1:12" x14ac:dyDescent="0.55000000000000004">
      <c r="A49" s="42" t="s">
        <v>27</v>
      </c>
      <c r="B49" s="42">
        <f>(Forestry!B49/Forestry!$B$35)*$B$32</f>
        <v>0</v>
      </c>
      <c r="H49" t="s">
        <v>907</v>
      </c>
      <c r="I49">
        <v>1075.5899999999999</v>
      </c>
      <c r="J49" t="s">
        <v>730</v>
      </c>
      <c r="K49" t="s">
        <v>892</v>
      </c>
    </row>
    <row r="50" spans="1:12" x14ac:dyDescent="0.55000000000000004">
      <c r="A50" s="42" t="s">
        <v>19</v>
      </c>
      <c r="B50" s="42">
        <f>(Forestry!B50/Forestry!$B$35)*$B$32</f>
        <v>4838.7096774193551</v>
      </c>
      <c r="H50" t="s">
        <v>913</v>
      </c>
      <c r="I50">
        <v>0</v>
      </c>
      <c r="J50" t="s">
        <v>730</v>
      </c>
      <c r="K50" t="s">
        <v>892</v>
      </c>
    </row>
    <row r="51" spans="1:12" x14ac:dyDescent="0.55000000000000004">
      <c r="A51" s="42" t="s">
        <v>20</v>
      </c>
      <c r="B51" s="42">
        <f>(Forestry!B51/Forestry!$B$35)*$B$32</f>
        <v>523870.96774193551</v>
      </c>
      <c r="H51" t="s">
        <v>159</v>
      </c>
      <c r="I51">
        <v>71.489999999999995</v>
      </c>
      <c r="J51" t="s">
        <v>730</v>
      </c>
      <c r="K51" t="s">
        <v>892</v>
      </c>
    </row>
    <row r="52" spans="1:12" x14ac:dyDescent="0.55000000000000004">
      <c r="A52" s="42"/>
      <c r="B52" s="42"/>
      <c r="H52" t="s">
        <v>56</v>
      </c>
      <c r="I52">
        <v>485.76</v>
      </c>
      <c r="J52" t="s">
        <v>730</v>
      </c>
      <c r="K52" t="s">
        <v>892</v>
      </c>
    </row>
    <row r="53" spans="1:12" x14ac:dyDescent="0.55000000000000004">
      <c r="A53" s="3" t="s">
        <v>28</v>
      </c>
      <c r="H53" t="s">
        <v>910</v>
      </c>
      <c r="I53">
        <v>79.930000000000007</v>
      </c>
      <c r="J53" t="s">
        <v>730</v>
      </c>
      <c r="K53" t="s">
        <v>892</v>
      </c>
    </row>
    <row r="54" spans="1:12" x14ac:dyDescent="0.55000000000000004">
      <c r="A54" s="42" t="s">
        <v>43</v>
      </c>
      <c r="H54" t="s">
        <v>55</v>
      </c>
      <c r="I54">
        <v>0</v>
      </c>
      <c r="J54" t="s">
        <v>730</v>
      </c>
      <c r="K54" t="s">
        <v>892</v>
      </c>
    </row>
    <row r="55" spans="1:12" x14ac:dyDescent="0.55000000000000004">
      <c r="A55" s="42" t="s">
        <v>44</v>
      </c>
      <c r="H55" t="s">
        <v>398</v>
      </c>
      <c r="I55">
        <v>-26</v>
      </c>
      <c r="J55" t="s">
        <v>730</v>
      </c>
      <c r="K55" t="s">
        <v>892</v>
      </c>
      <c r="L55" t="s">
        <v>914</v>
      </c>
    </row>
    <row r="56" spans="1:12" x14ac:dyDescent="0.55000000000000004">
      <c r="A56" s="42" t="s">
        <v>45</v>
      </c>
    </row>
    <row r="57" spans="1:12" x14ac:dyDescent="0.55000000000000004">
      <c r="A57" s="42" t="s">
        <v>46</v>
      </c>
      <c r="H57" t="s">
        <v>915</v>
      </c>
      <c r="I57">
        <v>2.09</v>
      </c>
      <c r="J57" t="s">
        <v>916</v>
      </c>
      <c r="K57" t="s">
        <v>892</v>
      </c>
    </row>
    <row r="58" spans="1:12" x14ac:dyDescent="0.55000000000000004">
      <c r="A58" s="42" t="s">
        <v>629</v>
      </c>
      <c r="H58" t="s">
        <v>658</v>
      </c>
      <c r="I58">
        <v>330</v>
      </c>
      <c r="J58" t="s">
        <v>917</v>
      </c>
      <c r="K58" t="s">
        <v>892</v>
      </c>
      <c r="L58" t="s">
        <v>918</v>
      </c>
    </row>
    <row r="59" spans="1:12" x14ac:dyDescent="0.55000000000000004">
      <c r="A59" s="42" t="s">
        <v>783</v>
      </c>
      <c r="B59" s="42">
        <f>(Forestry!B59/Forestry!$B$35)*$B$32</f>
        <v>427200</v>
      </c>
      <c r="H59" t="s">
        <v>919</v>
      </c>
      <c r="I59">
        <v>28</v>
      </c>
      <c r="J59" t="s">
        <v>204</v>
      </c>
    </row>
    <row r="60" spans="1:12" x14ac:dyDescent="0.55000000000000004">
      <c r="A60" s="42" t="s">
        <v>59</v>
      </c>
      <c r="H60" t="s">
        <v>920</v>
      </c>
      <c r="I60">
        <v>20</v>
      </c>
      <c r="J60" t="s">
        <v>204</v>
      </c>
    </row>
    <row r="61" spans="1:12" x14ac:dyDescent="0.55000000000000004">
      <c r="A61" s="42" t="s">
        <v>635</v>
      </c>
      <c r="B61" s="15"/>
    </row>
    <row r="62" spans="1:12" x14ac:dyDescent="0.55000000000000004">
      <c r="A62" s="42" t="s">
        <v>58</v>
      </c>
      <c r="B62" s="42">
        <f>(Forestry!B62/Forestry!$B$35)*$B$32</f>
        <v>1600</v>
      </c>
      <c r="H62" t="s">
        <v>700</v>
      </c>
      <c r="I62" s="36">
        <v>2270000</v>
      </c>
      <c r="J62" t="s">
        <v>271</v>
      </c>
      <c r="K62" t="s">
        <v>663</v>
      </c>
    </row>
    <row r="63" spans="1:12" x14ac:dyDescent="0.55000000000000004">
      <c r="A63" s="42" t="s">
        <v>17</v>
      </c>
      <c r="B63" s="42">
        <f>(Forestry!B63/Forestry!$B$35)*$B$32</f>
        <v>76032.000000000015</v>
      </c>
      <c r="H63" t="s">
        <v>921</v>
      </c>
      <c r="I63" s="36">
        <f>'[4]Woody biomass'!B181+'[4]Woody biomass'!B177*MSW!R13*MSW!R12*2.2/(1000000)</f>
        <v>8956260.855807839</v>
      </c>
      <c r="J63" t="s">
        <v>570</v>
      </c>
      <c r="K63" t="s">
        <v>663</v>
      </c>
    </row>
    <row r="64" spans="1:12" x14ac:dyDescent="0.55000000000000004">
      <c r="A64" s="42" t="s">
        <v>27</v>
      </c>
      <c r="H64" t="s">
        <v>922</v>
      </c>
      <c r="I64" s="36">
        <f>SUM(E6:E8)</f>
        <v>45400239.582424603</v>
      </c>
      <c r="J64" t="s">
        <v>570</v>
      </c>
      <c r="K64" t="s">
        <v>892</v>
      </c>
    </row>
    <row r="65" spans="1:2" x14ac:dyDescent="0.55000000000000004">
      <c r="A65" s="42" t="s">
        <v>19</v>
      </c>
      <c r="B65" s="42">
        <f>(Forestry!B65/Forestry!$B$35)*$B$32</f>
        <v>967.74193548387086</v>
      </c>
    </row>
    <row r="66" spans="1:2" x14ac:dyDescent="0.55000000000000004">
      <c r="A66" s="42" t="s">
        <v>20</v>
      </c>
      <c r="B66" s="42">
        <f>(Forestry!B66/Forestry!$B$35)*$B$32</f>
        <v>42580.645161290318</v>
      </c>
    </row>
    <row r="67" spans="1:2" x14ac:dyDescent="0.55000000000000004">
      <c r="A67" s="116"/>
    </row>
    <row r="68" spans="1:2" x14ac:dyDescent="0.55000000000000004">
      <c r="A68" s="3" t="s">
        <v>49</v>
      </c>
    </row>
    <row r="69" spans="1:2" x14ac:dyDescent="0.55000000000000004">
      <c r="A69" t="s">
        <v>50</v>
      </c>
    </row>
    <row r="70" spans="1:2" x14ac:dyDescent="0.55000000000000004">
      <c r="A70" t="s">
        <v>51</v>
      </c>
    </row>
    <row r="71" spans="1:2" x14ac:dyDescent="0.55000000000000004">
      <c r="A71" t="s">
        <v>52</v>
      </c>
    </row>
    <row r="72" spans="1:2" x14ac:dyDescent="0.55000000000000004">
      <c r="A72" t="s">
        <v>53</v>
      </c>
    </row>
    <row r="75" spans="1:2" x14ac:dyDescent="0.55000000000000004">
      <c r="A75" s="3" t="s">
        <v>29</v>
      </c>
    </row>
    <row r="76" spans="1:2" x14ac:dyDescent="0.55000000000000004">
      <c r="A76" s="3" t="s">
        <v>11</v>
      </c>
    </row>
    <row r="77" spans="1:2" x14ac:dyDescent="0.55000000000000004">
      <c r="A77" s="5" t="s">
        <v>35</v>
      </c>
    </row>
    <row r="78" spans="1:2" x14ac:dyDescent="0.55000000000000004">
      <c r="A78" t="s">
        <v>30</v>
      </c>
    </row>
    <row r="79" spans="1:2" x14ac:dyDescent="0.55000000000000004">
      <c r="A79" t="s">
        <v>625</v>
      </c>
      <c r="B79" s="42">
        <v>0</v>
      </c>
    </row>
    <row r="80" spans="1:2" x14ac:dyDescent="0.55000000000000004">
      <c r="A80" t="s">
        <v>32</v>
      </c>
    </row>
    <row r="81" spans="1:2" x14ac:dyDescent="0.55000000000000004">
      <c r="A81" t="s">
        <v>36</v>
      </c>
    </row>
    <row r="82" spans="1:2" x14ac:dyDescent="0.55000000000000004">
      <c r="A82" t="s">
        <v>37</v>
      </c>
    </row>
    <row r="83" spans="1:2" x14ac:dyDescent="0.55000000000000004">
      <c r="A83" t="s">
        <v>38</v>
      </c>
    </row>
    <row r="84" spans="1:2" x14ac:dyDescent="0.55000000000000004">
      <c r="A84" t="s">
        <v>1117</v>
      </c>
      <c r="B84" s="1">
        <f>B4*0.8*0.5</f>
        <v>800000</v>
      </c>
    </row>
    <row r="85" spans="1:2" x14ac:dyDescent="0.55000000000000004">
      <c r="A85" t="s">
        <v>1056</v>
      </c>
      <c r="B85" s="1">
        <f>B4*0.05</f>
        <v>100000</v>
      </c>
    </row>
    <row r="86" spans="1:2" x14ac:dyDescent="0.55000000000000004">
      <c r="A86" t="s">
        <v>39</v>
      </c>
    </row>
    <row r="87" spans="1:2" x14ac:dyDescent="0.55000000000000004">
      <c r="A87" s="1" t="s">
        <v>40</v>
      </c>
    </row>
    <row r="88" spans="1:2" x14ac:dyDescent="0.55000000000000004">
      <c r="A88" t="s">
        <v>42</v>
      </c>
    </row>
    <row r="90" spans="1:2" x14ac:dyDescent="0.55000000000000004">
      <c r="A90" s="42"/>
      <c r="B90" s="42"/>
    </row>
    <row r="91" spans="1:2" x14ac:dyDescent="0.55000000000000004">
      <c r="A91" s="146" t="s">
        <v>26</v>
      </c>
      <c r="B91" s="42"/>
    </row>
    <row r="92" spans="1:2" x14ac:dyDescent="0.55000000000000004">
      <c r="A92" s="42" t="s">
        <v>43</v>
      </c>
      <c r="B92" s="42"/>
    </row>
    <row r="93" spans="1:2" x14ac:dyDescent="0.55000000000000004">
      <c r="A93" s="42" t="s">
        <v>44</v>
      </c>
      <c r="B93" s="42"/>
    </row>
    <row r="94" spans="1:2" x14ac:dyDescent="0.55000000000000004">
      <c r="A94" s="42" t="s">
        <v>45</v>
      </c>
      <c r="B94" s="42"/>
    </row>
    <row r="95" spans="1:2" x14ac:dyDescent="0.55000000000000004">
      <c r="A95" s="42" t="s">
        <v>46</v>
      </c>
      <c r="B95" s="42"/>
    </row>
    <row r="96" spans="1:2" x14ac:dyDescent="0.55000000000000004">
      <c r="A96" s="42" t="s">
        <v>629</v>
      </c>
      <c r="B96" s="42"/>
    </row>
    <row r="97" spans="1:2" x14ac:dyDescent="0.55000000000000004">
      <c r="A97" s="42" t="s">
        <v>783</v>
      </c>
      <c r="B97" s="42">
        <f>(Forestry!B96/Forestry!$B$35)*$B$32</f>
        <v>427200</v>
      </c>
    </row>
    <row r="98" spans="1:2" x14ac:dyDescent="0.55000000000000004">
      <c r="A98" s="57" t="s">
        <v>33</v>
      </c>
      <c r="B98" s="42"/>
    </row>
    <row r="99" spans="1:2" x14ac:dyDescent="0.55000000000000004">
      <c r="A99" s="42" t="s">
        <v>34</v>
      </c>
      <c r="B99" s="147"/>
    </row>
    <row r="100" spans="1:2" x14ac:dyDescent="0.55000000000000004">
      <c r="A100" s="42" t="s">
        <v>1019</v>
      </c>
      <c r="B100" s="42">
        <f>(Forestry!B99/Forestry!$B$35)*$B$32</f>
        <v>45600</v>
      </c>
    </row>
    <row r="101" spans="1:2" x14ac:dyDescent="0.55000000000000004">
      <c r="A101" s="42" t="s">
        <v>634</v>
      </c>
      <c r="B101" s="42"/>
    </row>
    <row r="102" spans="1:2" x14ac:dyDescent="0.55000000000000004">
      <c r="A102" s="42" t="s">
        <v>633</v>
      </c>
      <c r="B102" s="42">
        <f>(Forestry!B101/Forestry!$B$35)*$B$32</f>
        <v>787805.33333333337</v>
      </c>
    </row>
    <row r="103" spans="1:2" x14ac:dyDescent="0.55000000000000004">
      <c r="A103" s="42" t="s">
        <v>1020</v>
      </c>
      <c r="B103" s="42">
        <f>(Forestry!B102/Forestry!$B$35)*$B$32</f>
        <v>875600</v>
      </c>
    </row>
    <row r="104" spans="1:2" x14ac:dyDescent="0.55000000000000004">
      <c r="A104" s="42" t="s">
        <v>1040</v>
      </c>
      <c r="B104" s="42">
        <f>(Forestry!B103/Forestry!$B$35)*$B$32</f>
        <v>1600</v>
      </c>
    </row>
    <row r="105" spans="1:2" x14ac:dyDescent="0.55000000000000004">
      <c r="A105" s="42" t="s">
        <v>1021</v>
      </c>
      <c r="B105" s="42">
        <f>(Forestry!B104/Forestry!$B$35)*$B$32</f>
        <v>600800</v>
      </c>
    </row>
    <row r="106" spans="1:2" x14ac:dyDescent="0.55000000000000004">
      <c r="A106" s="42" t="s">
        <v>1022</v>
      </c>
      <c r="B106" s="42">
        <f>(Forestry!B105/Forestry!$B$35)*$B$32</f>
        <v>1240703.9999999998</v>
      </c>
    </row>
    <row r="107" spans="1:2" x14ac:dyDescent="0.55000000000000004">
      <c r="A107" s="42" t="s">
        <v>32</v>
      </c>
      <c r="B107" s="42"/>
    </row>
    <row r="108" spans="1:2" x14ac:dyDescent="0.55000000000000004">
      <c r="A108" s="42"/>
      <c r="B108" s="42"/>
    </row>
    <row r="109" spans="1:2" x14ac:dyDescent="0.55000000000000004">
      <c r="A109" s="146" t="s">
        <v>28</v>
      </c>
      <c r="B109" s="42"/>
    </row>
    <row r="110" spans="1:2" x14ac:dyDescent="0.55000000000000004">
      <c r="A110" s="42" t="s">
        <v>50</v>
      </c>
    </row>
    <row r="111" spans="1:2" x14ac:dyDescent="0.55000000000000004">
      <c r="A111" s="42" t="s">
        <v>51</v>
      </c>
    </row>
    <row r="112" spans="1:2" x14ac:dyDescent="0.55000000000000004">
      <c r="A112" s="42" t="s">
        <v>52</v>
      </c>
      <c r="B112" s="42">
        <f>(Forestry!B111/Forestry!$B$35)*$B$32</f>
        <v>30240.000000000007</v>
      </c>
    </row>
    <row r="113" spans="1:2" x14ac:dyDescent="0.55000000000000004">
      <c r="A113" s="42" t="s">
        <v>53</v>
      </c>
      <c r="B113" s="15"/>
    </row>
    <row r="114" spans="1:2" x14ac:dyDescent="0.55000000000000004">
      <c r="A114" s="42" t="s">
        <v>59</v>
      </c>
      <c r="B114" s="42">
        <f>(Forestry!B113/Forestry!$B$35)*$B$32</f>
        <v>256400</v>
      </c>
    </row>
    <row r="115" spans="1:2" x14ac:dyDescent="0.55000000000000004">
      <c r="A115" s="42" t="s">
        <v>95</v>
      </c>
    </row>
    <row r="116" spans="1:2" x14ac:dyDescent="0.55000000000000004">
      <c r="A116" s="42" t="s">
        <v>636</v>
      </c>
    </row>
    <row r="117" spans="1:2" x14ac:dyDescent="0.55000000000000004">
      <c r="A117" s="42" t="s">
        <v>637</v>
      </c>
      <c r="B117" s="141"/>
    </row>
    <row r="118" spans="1:2" x14ac:dyDescent="0.55000000000000004">
      <c r="A118" s="42" t="s">
        <v>96</v>
      </c>
      <c r="B118" s="42">
        <f>(Forestry!B117/Forestry!$B$35)*$B$32</f>
        <v>19656</v>
      </c>
    </row>
    <row r="119" spans="1:2" x14ac:dyDescent="0.55000000000000004">
      <c r="A119" s="42" t="s">
        <v>97</v>
      </c>
    </row>
    <row r="120" spans="1:2" x14ac:dyDescent="0.55000000000000004">
      <c r="A120" s="42" t="s">
        <v>98</v>
      </c>
      <c r="B120" s="42">
        <f>(Forestry!B119/Forestry!$B$35)*$B$32</f>
        <v>0</v>
      </c>
    </row>
    <row r="121" spans="1:2" x14ac:dyDescent="0.55000000000000004">
      <c r="A121" s="42" t="s">
        <v>18</v>
      </c>
      <c r="B121" s="42">
        <f>(Forestry!B120/Forestry!$B$35)*$B$32</f>
        <v>61991.999999999993</v>
      </c>
    </row>
    <row r="122" spans="1:2" x14ac:dyDescent="0.55000000000000004">
      <c r="A122" s="42" t="s">
        <v>100</v>
      </c>
      <c r="B122" s="42">
        <f>(Forestry!B121/Forestry!$B$35)*$B$32</f>
        <v>32235.84</v>
      </c>
    </row>
    <row r="123" spans="1:2" x14ac:dyDescent="0.55000000000000004">
      <c r="A123" s="42" t="s">
        <v>32</v>
      </c>
    </row>
    <row r="129" spans="1:1" x14ac:dyDescent="0.55000000000000004">
      <c r="A129" s="3" t="s">
        <v>49</v>
      </c>
    </row>
    <row r="130" spans="1:1" x14ac:dyDescent="0.55000000000000004">
      <c r="A130" t="s">
        <v>54</v>
      </c>
    </row>
    <row r="131" spans="1:1" x14ac:dyDescent="0.55000000000000004">
      <c r="A131" s="123" t="s">
        <v>819</v>
      </c>
    </row>
    <row r="132" spans="1:1" x14ac:dyDescent="0.55000000000000004">
      <c r="A132" s="123" t="s">
        <v>820</v>
      </c>
    </row>
    <row r="133" spans="1:1" x14ac:dyDescent="0.55000000000000004">
      <c r="A133" s="123" t="s">
        <v>821</v>
      </c>
    </row>
    <row r="134" spans="1:1" x14ac:dyDescent="0.55000000000000004">
      <c r="A134" s="123" t="s">
        <v>822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3"/>
  <sheetViews>
    <sheetView workbookViewId="0">
      <selection activeCell="B25" sqref="B25"/>
    </sheetView>
  </sheetViews>
  <sheetFormatPr defaultColWidth="10.89453125" defaultRowHeight="14.4" x14ac:dyDescent="0.55000000000000004"/>
  <cols>
    <col min="1" max="1" width="30.47265625" bestFit="1" customWidth="1"/>
    <col min="2" max="2" width="20" customWidth="1"/>
  </cols>
  <sheetData>
    <row r="1" spans="1:2" x14ac:dyDescent="0.55000000000000004">
      <c r="B1" t="s">
        <v>1066</v>
      </c>
    </row>
    <row r="2" spans="1:2" x14ac:dyDescent="0.55000000000000004">
      <c r="A2" t="s">
        <v>12</v>
      </c>
      <c r="B2" t="s">
        <v>1091</v>
      </c>
    </row>
    <row r="3" spans="1:2" x14ac:dyDescent="0.55000000000000004">
      <c r="A3" s="3" t="s">
        <v>10</v>
      </c>
    </row>
    <row r="4" spans="1:2" x14ac:dyDescent="0.55000000000000004">
      <c r="A4" s="3" t="s">
        <v>171</v>
      </c>
      <c r="B4">
        <v>50000</v>
      </c>
    </row>
    <row r="5" spans="1:2" x14ac:dyDescent="0.55000000000000004">
      <c r="A5" t="s">
        <v>175</v>
      </c>
      <c r="B5">
        <v>0</v>
      </c>
    </row>
    <row r="6" spans="1:2" x14ac:dyDescent="0.55000000000000004">
      <c r="A6" t="s">
        <v>183</v>
      </c>
      <c r="B6">
        <v>0</v>
      </c>
    </row>
    <row r="7" spans="1:2" x14ac:dyDescent="0.55000000000000004">
      <c r="A7" t="s">
        <v>13</v>
      </c>
      <c r="B7" s="2">
        <v>0</v>
      </c>
    </row>
    <row r="8" spans="1:2" x14ac:dyDescent="0.55000000000000004">
      <c r="A8" t="s">
        <v>14</v>
      </c>
      <c r="B8">
        <v>0</v>
      </c>
    </row>
    <row r="9" spans="1:2" x14ac:dyDescent="0.55000000000000004">
      <c r="A9" t="s">
        <v>655</v>
      </c>
      <c r="B9">
        <f>B4*0.78*(44/12)</f>
        <v>143000</v>
      </c>
    </row>
    <row r="10" spans="1:2" x14ac:dyDescent="0.55000000000000004">
      <c r="A10" t="s">
        <v>24</v>
      </c>
      <c r="B10">
        <v>0</v>
      </c>
    </row>
    <row r="11" spans="1:2" x14ac:dyDescent="0.55000000000000004">
      <c r="A11" t="s">
        <v>23</v>
      </c>
      <c r="B11" s="15">
        <v>0</v>
      </c>
    </row>
    <row r="12" spans="1:2" x14ac:dyDescent="0.55000000000000004">
      <c r="A12" t="s">
        <v>22</v>
      </c>
      <c r="B12" s="15">
        <v>0</v>
      </c>
    </row>
    <row r="13" spans="1:2" x14ac:dyDescent="0.55000000000000004">
      <c r="A13" t="s">
        <v>21</v>
      </c>
      <c r="B13" s="15">
        <v>0</v>
      </c>
    </row>
    <row r="14" spans="1:2" x14ac:dyDescent="0.55000000000000004">
      <c r="A14" t="s">
        <v>222</v>
      </c>
      <c r="B14">
        <v>0</v>
      </c>
    </row>
    <row r="15" spans="1:2" x14ac:dyDescent="0.55000000000000004">
      <c r="A15" t="s">
        <v>15</v>
      </c>
      <c r="B15">
        <v>0</v>
      </c>
    </row>
    <row r="16" spans="1:2" x14ac:dyDescent="0.55000000000000004">
      <c r="A16" t="s">
        <v>16</v>
      </c>
      <c r="B16">
        <v>0</v>
      </c>
    </row>
    <row r="17" spans="1:6" x14ac:dyDescent="0.55000000000000004">
      <c r="A17" t="s">
        <v>942</v>
      </c>
      <c r="B17" s="15">
        <v>0</v>
      </c>
    </row>
    <row r="18" spans="1:6" x14ac:dyDescent="0.55000000000000004">
      <c r="A18" t="s">
        <v>17</v>
      </c>
      <c r="B18">
        <v>0</v>
      </c>
    </row>
    <row r="19" spans="1:6" x14ac:dyDescent="0.55000000000000004">
      <c r="A19" t="s">
        <v>18</v>
      </c>
      <c r="B19" s="50">
        <f>E24*B4</f>
        <v>45.735416666666673</v>
      </c>
      <c r="E19">
        <v>6</v>
      </c>
      <c r="F19" t="s">
        <v>1086</v>
      </c>
    </row>
    <row r="20" spans="1:6" x14ac:dyDescent="0.55000000000000004">
      <c r="A20" t="s">
        <v>100</v>
      </c>
      <c r="B20">
        <v>0</v>
      </c>
      <c r="E20">
        <v>50</v>
      </c>
      <c r="F20" t="s">
        <v>1087</v>
      </c>
    </row>
    <row r="21" spans="1:6" x14ac:dyDescent="0.55000000000000004">
      <c r="A21" t="s">
        <v>262</v>
      </c>
      <c r="B21">
        <v>0</v>
      </c>
      <c r="E21">
        <v>30000</v>
      </c>
      <c r="F21" t="s">
        <v>1088</v>
      </c>
    </row>
    <row r="22" spans="1:6" x14ac:dyDescent="0.55000000000000004">
      <c r="A22" t="s">
        <v>269</v>
      </c>
      <c r="B22">
        <v>0</v>
      </c>
      <c r="E22">
        <f>E20/E19</f>
        <v>8.3333333333333339</v>
      </c>
      <c r="F22" t="s">
        <v>1089</v>
      </c>
    </row>
    <row r="23" spans="1:6" x14ac:dyDescent="0.55000000000000004">
      <c r="A23" t="s">
        <v>19</v>
      </c>
      <c r="B23" s="15">
        <f>40000/250</f>
        <v>160</v>
      </c>
      <c r="E23">
        <f>E22/E21</f>
        <v>2.7777777777777778E-4</v>
      </c>
      <c r="F23" t="s">
        <v>65</v>
      </c>
    </row>
    <row r="24" spans="1:6" x14ac:dyDescent="0.55000000000000004">
      <c r="A24" t="s">
        <v>154</v>
      </c>
      <c r="B24">
        <v>0</v>
      </c>
      <c r="E24">
        <f>E23*3.785*0.87</f>
        <v>9.1470833333333345E-4</v>
      </c>
      <c r="F24" t="s">
        <v>1092</v>
      </c>
    </row>
    <row r="25" spans="1:6" x14ac:dyDescent="0.55000000000000004">
      <c r="A25" t="s">
        <v>679</v>
      </c>
      <c r="B25" s="1">
        <f>135000/10</f>
        <v>13500</v>
      </c>
      <c r="E25">
        <f>E24*2.5</f>
        <v>2.2867708333333338E-3</v>
      </c>
      <c r="F25" t="s">
        <v>1118</v>
      </c>
    </row>
    <row r="26" spans="1:6" x14ac:dyDescent="0.55000000000000004">
      <c r="E26">
        <f>E25*1000</f>
        <v>2.2867708333333336</v>
      </c>
      <c r="F26" t="s">
        <v>1119</v>
      </c>
    </row>
    <row r="27" spans="1:6" x14ac:dyDescent="0.55000000000000004">
      <c r="A27" s="42"/>
      <c r="B27" s="42"/>
    </row>
    <row r="28" spans="1:6" x14ac:dyDescent="0.55000000000000004">
      <c r="A28" s="146" t="s">
        <v>26</v>
      </c>
      <c r="B28" s="42"/>
    </row>
    <row r="29" spans="1:6" x14ac:dyDescent="0.55000000000000004">
      <c r="A29" s="42" t="s">
        <v>36</v>
      </c>
      <c r="B29" s="42"/>
    </row>
    <row r="30" spans="1:6" x14ac:dyDescent="0.55000000000000004">
      <c r="A30" s="42" t="s">
        <v>37</v>
      </c>
      <c r="B30" s="42"/>
    </row>
    <row r="31" spans="1:6" x14ac:dyDescent="0.55000000000000004">
      <c r="A31" s="42" t="s">
        <v>38</v>
      </c>
      <c r="B31" s="42">
        <f>B83</f>
        <v>50000</v>
      </c>
    </row>
    <row r="32" spans="1:6" x14ac:dyDescent="0.55000000000000004">
      <c r="A32" s="42" t="s">
        <v>41</v>
      </c>
      <c r="B32" s="42"/>
    </row>
    <row r="33" spans="1:2" x14ac:dyDescent="0.55000000000000004">
      <c r="A33" s="42" t="s">
        <v>39</v>
      </c>
      <c r="B33" s="42"/>
    </row>
    <row r="34" spans="1:2" x14ac:dyDescent="0.55000000000000004">
      <c r="A34" s="42" t="s">
        <v>40</v>
      </c>
      <c r="B34" s="42"/>
    </row>
    <row r="35" spans="1:2" x14ac:dyDescent="0.55000000000000004">
      <c r="A35" s="42" t="s">
        <v>42</v>
      </c>
      <c r="B35" s="42"/>
    </row>
    <row r="36" spans="1:2" x14ac:dyDescent="0.55000000000000004">
      <c r="A36" s="42" t="s">
        <v>90</v>
      </c>
      <c r="B36" s="42"/>
    </row>
    <row r="37" spans="1:2" x14ac:dyDescent="0.55000000000000004">
      <c r="A37" s="42" t="s">
        <v>59</v>
      </c>
      <c r="B37" s="42"/>
    </row>
    <row r="38" spans="1:2" x14ac:dyDescent="0.55000000000000004">
      <c r="A38" s="42" t="s">
        <v>626</v>
      </c>
      <c r="B38" s="42"/>
    </row>
    <row r="39" spans="1:2" x14ac:dyDescent="0.55000000000000004">
      <c r="A39" s="42" t="s">
        <v>627</v>
      </c>
      <c r="B39" s="42"/>
    </row>
    <row r="40" spans="1:2" x14ac:dyDescent="0.55000000000000004">
      <c r="A40" s="42" t="s">
        <v>429</v>
      </c>
      <c r="B40" s="147"/>
    </row>
    <row r="41" spans="1:2" x14ac:dyDescent="0.55000000000000004">
      <c r="A41" s="42" t="s">
        <v>628</v>
      </c>
      <c r="B41" s="42"/>
    </row>
    <row r="42" spans="1:2" x14ac:dyDescent="0.55000000000000004">
      <c r="A42" s="42" t="s">
        <v>630</v>
      </c>
      <c r="B42" s="42"/>
    </row>
    <row r="43" spans="1:2" x14ac:dyDescent="0.55000000000000004">
      <c r="A43" s="42" t="s">
        <v>631</v>
      </c>
      <c r="B43" s="42"/>
    </row>
    <row r="44" spans="1:2" x14ac:dyDescent="0.55000000000000004">
      <c r="A44" s="42" t="s">
        <v>632</v>
      </c>
      <c r="B44" s="42"/>
    </row>
    <row r="45" spans="1:2" x14ac:dyDescent="0.55000000000000004">
      <c r="A45" s="42" t="s">
        <v>1052</v>
      </c>
      <c r="B45" s="1"/>
    </row>
    <row r="46" spans="1:2" x14ac:dyDescent="0.55000000000000004">
      <c r="A46" s="42" t="s">
        <v>983</v>
      </c>
      <c r="B46" s="42"/>
    </row>
    <row r="47" spans="1:2" x14ac:dyDescent="0.55000000000000004">
      <c r="A47" s="42" t="s">
        <v>96</v>
      </c>
      <c r="B47" s="42"/>
    </row>
    <row r="48" spans="1:2" x14ac:dyDescent="0.55000000000000004">
      <c r="A48" s="42" t="s">
        <v>17</v>
      </c>
      <c r="B48" s="42"/>
    </row>
    <row r="49" spans="1:2" x14ac:dyDescent="0.55000000000000004">
      <c r="A49" s="42" t="s">
        <v>27</v>
      </c>
      <c r="B49" s="42"/>
    </row>
    <row r="50" spans="1:2" x14ac:dyDescent="0.55000000000000004">
      <c r="A50" s="42" t="s">
        <v>19</v>
      </c>
      <c r="B50" s="42"/>
    </row>
    <row r="51" spans="1:2" x14ac:dyDescent="0.55000000000000004">
      <c r="A51" s="42" t="s">
        <v>20</v>
      </c>
      <c r="B51" s="42"/>
    </row>
    <row r="52" spans="1:2" x14ac:dyDescent="0.55000000000000004">
      <c r="A52" s="42"/>
      <c r="B52" s="42"/>
    </row>
    <row r="53" spans="1:2" x14ac:dyDescent="0.55000000000000004">
      <c r="A53" s="3" t="s">
        <v>28</v>
      </c>
    </row>
    <row r="54" spans="1:2" x14ac:dyDescent="0.55000000000000004">
      <c r="A54" s="42" t="s">
        <v>43</v>
      </c>
    </row>
    <row r="55" spans="1:2" x14ac:dyDescent="0.55000000000000004">
      <c r="A55" s="42" t="s">
        <v>44</v>
      </c>
    </row>
    <row r="56" spans="1:2" x14ac:dyDescent="0.55000000000000004">
      <c r="A56" s="42" t="s">
        <v>45</v>
      </c>
      <c r="B56">
        <f>B93</f>
        <v>50000</v>
      </c>
    </row>
    <row r="57" spans="1:2" x14ac:dyDescent="0.55000000000000004">
      <c r="A57" s="42" t="s">
        <v>46</v>
      </c>
    </row>
    <row r="58" spans="1:2" x14ac:dyDescent="0.55000000000000004">
      <c r="A58" s="42" t="s">
        <v>629</v>
      </c>
    </row>
    <row r="59" spans="1:2" x14ac:dyDescent="0.55000000000000004">
      <c r="A59" s="42" t="s">
        <v>783</v>
      </c>
      <c r="B59" s="42"/>
    </row>
    <row r="60" spans="1:2" x14ac:dyDescent="0.55000000000000004">
      <c r="A60" s="42" t="s">
        <v>59</v>
      </c>
      <c r="B60" t="e">
        <f>(#REF!/#REF!)*WOG!$B$56</f>
        <v>#REF!</v>
      </c>
    </row>
    <row r="61" spans="1:2" x14ac:dyDescent="0.55000000000000004">
      <c r="A61" s="42" t="s">
        <v>635</v>
      </c>
      <c r="B61" s="15"/>
    </row>
    <row r="62" spans="1:2" x14ac:dyDescent="0.55000000000000004">
      <c r="A62" s="42" t="s">
        <v>58</v>
      </c>
      <c r="B62" t="e">
        <f>(#REF!/#REF!)*WOG!$B$56</f>
        <v>#REF!</v>
      </c>
    </row>
    <row r="63" spans="1:2" x14ac:dyDescent="0.55000000000000004">
      <c r="A63" s="42" t="s">
        <v>17</v>
      </c>
      <c r="B63" t="e">
        <f>(#REF!/#REF!)*WOG!$B$56</f>
        <v>#REF!</v>
      </c>
    </row>
    <row r="64" spans="1:2" x14ac:dyDescent="0.55000000000000004">
      <c r="A64" s="42" t="s">
        <v>27</v>
      </c>
      <c r="B64" t="e">
        <f>(#REF!/#REF!)*WOG!$B$56</f>
        <v>#REF!</v>
      </c>
    </row>
    <row r="65" spans="1:2" x14ac:dyDescent="0.55000000000000004">
      <c r="A65" s="42" t="s">
        <v>19</v>
      </c>
      <c r="B65" t="e">
        <f>(#REF!/#REF!)*WOG!$B$56</f>
        <v>#REF!</v>
      </c>
    </row>
    <row r="66" spans="1:2" x14ac:dyDescent="0.55000000000000004">
      <c r="A66" s="42" t="s">
        <v>20</v>
      </c>
      <c r="B66" t="e">
        <f>(#REF!/#REF!)*WOG!$B$56</f>
        <v>#REF!</v>
      </c>
    </row>
    <row r="67" spans="1:2" x14ac:dyDescent="0.55000000000000004">
      <c r="A67" s="116"/>
    </row>
    <row r="68" spans="1:2" x14ac:dyDescent="0.55000000000000004">
      <c r="A68" s="3" t="s">
        <v>49</v>
      </c>
    </row>
    <row r="69" spans="1:2" x14ac:dyDescent="0.55000000000000004">
      <c r="A69" t="s">
        <v>50</v>
      </c>
    </row>
    <row r="70" spans="1:2" x14ac:dyDescent="0.55000000000000004">
      <c r="A70" t="s">
        <v>51</v>
      </c>
    </row>
    <row r="71" spans="1:2" x14ac:dyDescent="0.55000000000000004">
      <c r="A71" t="s">
        <v>52</v>
      </c>
    </row>
    <row r="72" spans="1:2" x14ac:dyDescent="0.55000000000000004">
      <c r="A72" t="s">
        <v>53</v>
      </c>
    </row>
    <row r="75" spans="1:2" x14ac:dyDescent="0.55000000000000004">
      <c r="A75" s="3" t="s">
        <v>29</v>
      </c>
    </row>
    <row r="76" spans="1:2" x14ac:dyDescent="0.55000000000000004">
      <c r="A76" s="3" t="s">
        <v>11</v>
      </c>
    </row>
    <row r="77" spans="1:2" x14ac:dyDescent="0.55000000000000004">
      <c r="A77" s="5" t="s">
        <v>35</v>
      </c>
    </row>
    <row r="78" spans="1:2" x14ac:dyDescent="0.55000000000000004">
      <c r="A78" t="s">
        <v>30</v>
      </c>
    </row>
    <row r="79" spans="1:2" x14ac:dyDescent="0.55000000000000004">
      <c r="A79" t="s">
        <v>625</v>
      </c>
      <c r="B79" s="42"/>
    </row>
    <row r="80" spans="1:2" x14ac:dyDescent="0.55000000000000004">
      <c r="A80" t="s">
        <v>32</v>
      </c>
    </row>
    <row r="81" spans="1:2" x14ac:dyDescent="0.55000000000000004">
      <c r="A81" t="s">
        <v>36</v>
      </c>
    </row>
    <row r="82" spans="1:2" x14ac:dyDescent="0.55000000000000004">
      <c r="A82" t="s">
        <v>37</v>
      </c>
    </row>
    <row r="83" spans="1:2" x14ac:dyDescent="0.55000000000000004">
      <c r="A83" t="s">
        <v>38</v>
      </c>
      <c r="B83">
        <f>B4</f>
        <v>50000</v>
      </c>
    </row>
    <row r="84" spans="1:2" x14ac:dyDescent="0.55000000000000004">
      <c r="A84" t="s">
        <v>41</v>
      </c>
    </row>
    <row r="85" spans="1:2" x14ac:dyDescent="0.55000000000000004">
      <c r="A85" t="s">
        <v>39</v>
      </c>
    </row>
    <row r="86" spans="1:2" x14ac:dyDescent="0.55000000000000004">
      <c r="A86" s="1" t="s">
        <v>40</v>
      </c>
    </row>
    <row r="87" spans="1:2" x14ac:dyDescent="0.55000000000000004">
      <c r="A87" t="s">
        <v>42</v>
      </c>
    </row>
    <row r="89" spans="1:2" x14ac:dyDescent="0.55000000000000004">
      <c r="A89" s="42"/>
      <c r="B89" s="42"/>
    </row>
    <row r="90" spans="1:2" x14ac:dyDescent="0.55000000000000004">
      <c r="A90" s="146" t="s">
        <v>26</v>
      </c>
      <c r="B90" s="42"/>
    </row>
    <row r="91" spans="1:2" x14ac:dyDescent="0.55000000000000004">
      <c r="A91" s="42" t="s">
        <v>43</v>
      </c>
      <c r="B91" s="42"/>
    </row>
    <row r="92" spans="1:2" x14ac:dyDescent="0.55000000000000004">
      <c r="A92" s="42" t="s">
        <v>44</v>
      </c>
      <c r="B92" s="42"/>
    </row>
    <row r="93" spans="1:2" x14ac:dyDescent="0.55000000000000004">
      <c r="A93" s="42" t="s">
        <v>45</v>
      </c>
      <c r="B93" s="42">
        <f>B31</f>
        <v>50000</v>
      </c>
    </row>
    <row r="94" spans="1:2" x14ac:dyDescent="0.55000000000000004">
      <c r="A94" s="42" t="s">
        <v>46</v>
      </c>
      <c r="B94" s="42"/>
    </row>
    <row r="95" spans="1:2" x14ac:dyDescent="0.55000000000000004">
      <c r="A95" s="42" t="s">
        <v>629</v>
      </c>
      <c r="B95" s="42"/>
    </row>
    <row r="96" spans="1:2" x14ac:dyDescent="0.55000000000000004">
      <c r="A96" s="42" t="s">
        <v>783</v>
      </c>
      <c r="B96" s="42"/>
    </row>
    <row r="97" spans="1:2" x14ac:dyDescent="0.55000000000000004">
      <c r="A97" s="57" t="s">
        <v>33</v>
      </c>
      <c r="B97" s="42"/>
    </row>
    <row r="98" spans="1:2" x14ac:dyDescent="0.55000000000000004">
      <c r="A98" s="42" t="s">
        <v>34</v>
      </c>
      <c r="B98" s="147"/>
    </row>
    <row r="99" spans="1:2" x14ac:dyDescent="0.55000000000000004">
      <c r="A99" s="42" t="s">
        <v>1019</v>
      </c>
      <c r="B99" s="42"/>
    </row>
    <row r="100" spans="1:2" x14ac:dyDescent="0.55000000000000004">
      <c r="A100" s="42" t="s">
        <v>634</v>
      </c>
      <c r="B100" s="42"/>
    </row>
    <row r="101" spans="1:2" x14ac:dyDescent="0.55000000000000004">
      <c r="A101" s="42" t="s">
        <v>633</v>
      </c>
      <c r="B101" s="42"/>
    </row>
    <row r="102" spans="1:2" x14ac:dyDescent="0.55000000000000004">
      <c r="A102" s="42" t="s">
        <v>1020</v>
      </c>
      <c r="B102" s="42"/>
    </row>
    <row r="103" spans="1:2" x14ac:dyDescent="0.55000000000000004">
      <c r="A103" s="42" t="s">
        <v>1040</v>
      </c>
      <c r="B103" s="42"/>
    </row>
    <row r="104" spans="1:2" x14ac:dyDescent="0.55000000000000004">
      <c r="A104" s="42" t="s">
        <v>1021</v>
      </c>
      <c r="B104" s="42"/>
    </row>
    <row r="105" spans="1:2" x14ac:dyDescent="0.55000000000000004">
      <c r="A105" s="42" t="s">
        <v>1022</v>
      </c>
      <c r="B105" s="42"/>
    </row>
    <row r="106" spans="1:2" x14ac:dyDescent="0.55000000000000004">
      <c r="A106" s="42" t="s">
        <v>32</v>
      </c>
      <c r="B106" s="42"/>
    </row>
    <row r="107" spans="1:2" x14ac:dyDescent="0.55000000000000004">
      <c r="A107" s="42"/>
      <c r="B107" s="42"/>
    </row>
    <row r="108" spans="1:2" x14ac:dyDescent="0.55000000000000004">
      <c r="A108" s="146" t="s">
        <v>28</v>
      </c>
      <c r="B108" s="42"/>
    </row>
    <row r="109" spans="1:2" x14ac:dyDescent="0.55000000000000004">
      <c r="A109" s="42" t="s">
        <v>50</v>
      </c>
    </row>
    <row r="110" spans="1:2" x14ac:dyDescent="0.55000000000000004">
      <c r="A110" s="42" t="s">
        <v>51</v>
      </c>
    </row>
    <row r="111" spans="1:2" x14ac:dyDescent="0.55000000000000004">
      <c r="A111" s="42" t="s">
        <v>52</v>
      </c>
      <c r="B111" s="42" t="e">
        <f>(#REF!/#REF!)*WOG!$B$93</f>
        <v>#REF!</v>
      </c>
    </row>
    <row r="112" spans="1:2" x14ac:dyDescent="0.55000000000000004">
      <c r="A112" s="42" t="s">
        <v>53</v>
      </c>
      <c r="B112" s="15"/>
    </row>
    <row r="113" spans="1:2" x14ac:dyDescent="0.55000000000000004">
      <c r="A113" s="42" t="s">
        <v>59</v>
      </c>
      <c r="B113" s="42" t="e">
        <f>(#REF!/#REF!)*WOG!$B$93</f>
        <v>#REF!</v>
      </c>
    </row>
    <row r="114" spans="1:2" x14ac:dyDescent="0.55000000000000004">
      <c r="A114" s="42" t="s">
        <v>95</v>
      </c>
      <c r="B114" s="42" t="e">
        <f>(#REF!/#REF!)*WOG!$B$93</f>
        <v>#REF!</v>
      </c>
    </row>
    <row r="115" spans="1:2" x14ac:dyDescent="0.55000000000000004">
      <c r="A115" s="42" t="s">
        <v>636</v>
      </c>
    </row>
    <row r="116" spans="1:2" x14ac:dyDescent="0.55000000000000004">
      <c r="A116" s="42" t="s">
        <v>637</v>
      </c>
      <c r="B116" s="141"/>
    </row>
    <row r="117" spans="1:2" x14ac:dyDescent="0.55000000000000004">
      <c r="A117" s="42" t="s">
        <v>96</v>
      </c>
      <c r="B117" s="42" t="e">
        <f>(#REF!/#REF!)*WOG!$B$93</f>
        <v>#REF!</v>
      </c>
    </row>
    <row r="118" spans="1:2" x14ac:dyDescent="0.55000000000000004">
      <c r="A118" s="42" t="s">
        <v>97</v>
      </c>
      <c r="B118" s="42" t="e">
        <f>(#REF!/#REF!)*WOG!$B$93</f>
        <v>#REF!</v>
      </c>
    </row>
    <row r="119" spans="1:2" x14ac:dyDescent="0.55000000000000004">
      <c r="A119" s="42" t="s">
        <v>98</v>
      </c>
      <c r="B119" s="42" t="e">
        <f>(#REF!/#REF!)*WOG!$B$93</f>
        <v>#REF!</v>
      </c>
    </row>
    <row r="120" spans="1:2" x14ac:dyDescent="0.55000000000000004">
      <c r="A120" s="42" t="s">
        <v>18</v>
      </c>
      <c r="B120" s="42" t="e">
        <f>(#REF!/#REF!)*WOG!$B$93</f>
        <v>#REF!</v>
      </c>
    </row>
    <row r="121" spans="1:2" x14ac:dyDescent="0.55000000000000004">
      <c r="A121" s="42" t="s">
        <v>100</v>
      </c>
      <c r="B121" s="42" t="e">
        <f>(#REF!/#REF!)*WOG!$B$93</f>
        <v>#REF!</v>
      </c>
    </row>
    <row r="122" spans="1:2" x14ac:dyDescent="0.55000000000000004">
      <c r="A122" s="42" t="s">
        <v>32</v>
      </c>
    </row>
    <row r="128" spans="1:2" x14ac:dyDescent="0.55000000000000004">
      <c r="A128" s="3" t="s">
        <v>49</v>
      </c>
    </row>
    <row r="129" spans="1:1" x14ac:dyDescent="0.55000000000000004">
      <c r="A129" t="s">
        <v>54</v>
      </c>
    </row>
    <row r="130" spans="1:1" x14ac:dyDescent="0.55000000000000004">
      <c r="A130" s="123" t="s">
        <v>819</v>
      </c>
    </row>
    <row r="131" spans="1:1" x14ac:dyDescent="0.55000000000000004">
      <c r="A131" s="123" t="s">
        <v>820</v>
      </c>
    </row>
    <row r="132" spans="1:1" x14ac:dyDescent="0.55000000000000004">
      <c r="A132" s="123" t="s">
        <v>821</v>
      </c>
    </row>
    <row r="133" spans="1:1" x14ac:dyDescent="0.55000000000000004">
      <c r="A133" s="123" t="s">
        <v>822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Grass IO</vt:lpstr>
      <vt:lpstr>User Defined LCI</vt:lpstr>
      <vt:lpstr>NPV Parameters</vt:lpstr>
      <vt:lpstr>Comparisons</vt:lpstr>
      <vt:lpstr>Soy</vt:lpstr>
      <vt:lpstr>Corn data</vt:lpstr>
      <vt:lpstr>Forestry</vt:lpstr>
      <vt:lpstr>Grass</vt:lpstr>
      <vt:lpstr>Algae</vt:lpstr>
      <vt:lpstr>Forest Residue</vt:lpstr>
      <vt:lpstr>MSW</vt:lpstr>
      <vt:lpstr>WOG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amandadulcinea</dc:creator>
  <cp:lastModifiedBy>Nathan Putnam</cp:lastModifiedBy>
  <cp:lastPrinted>2019-03-05T20:34:30Z</cp:lastPrinted>
  <dcterms:created xsi:type="dcterms:W3CDTF">2019-01-09T15:38:45Z</dcterms:created>
  <dcterms:modified xsi:type="dcterms:W3CDTF">2021-06-08T03:14:17Z</dcterms:modified>
</cp:coreProperties>
</file>