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mbeal/Desktop/CSU BETO/"/>
    </mc:Choice>
  </mc:AlternateContent>
  <xr:revisionPtr revIDLastSave="0" documentId="13_ncr:1_{7EC890FF-0BC1-FF43-981D-FB74AEA529F3}" xr6:coauthVersionLast="45" xr6:coauthVersionMax="45" xr10:uidLastSave="{00000000-0000-0000-0000-000000000000}"/>
  <bookViews>
    <workbookView xWindow="1160" yWindow="460" windowWidth="27240" windowHeight="15940" xr2:uid="{303D36BF-50E7-8C45-9C14-F2BE1F77E3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10" i="1"/>
  <c r="H10" i="1"/>
  <c r="H12" i="1" s="1"/>
  <c r="P12" i="1"/>
  <c r="AI12" i="1"/>
  <c r="AH12" i="1"/>
  <c r="AG12" i="1"/>
  <c r="AF12" i="1"/>
  <c r="AE12" i="1"/>
  <c r="AD12" i="1"/>
  <c r="AC12" i="1"/>
  <c r="AB12" i="1"/>
  <c r="Z12" i="1"/>
  <c r="AA12" i="1" s="1"/>
  <c r="W12" i="1"/>
  <c r="W10" i="1" s="1"/>
  <c r="V12" i="1"/>
  <c r="U12" i="1"/>
  <c r="G12" i="1"/>
  <c r="AJ12" i="1" s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G10" i="1"/>
  <c r="D3" i="1" l="1"/>
  <c r="E3" i="1" s="1"/>
  <c r="AO3" i="1"/>
  <c r="C3" i="1"/>
  <c r="C10" i="1"/>
  <c r="B12" i="1"/>
  <c r="D10" i="1"/>
  <c r="E10" i="1" s="1"/>
  <c r="F10" i="1" s="1"/>
  <c r="B9" i="1" l="1"/>
  <c r="J9" i="1" s="1"/>
  <c r="C4" i="1"/>
  <c r="AO4" i="1"/>
  <c r="D4" i="1"/>
  <c r="E4" i="1" s="1"/>
  <c r="AO6" i="1"/>
  <c r="C6" i="1"/>
  <c r="D6" i="1"/>
  <c r="E6" i="1" s="1"/>
  <c r="AO7" i="1"/>
  <c r="C7" i="1"/>
  <c r="D7" i="1"/>
  <c r="E7" i="1" s="1"/>
  <c r="C5" i="1"/>
  <c r="AO5" i="1"/>
  <c r="D5" i="1"/>
  <c r="E5" i="1" s="1"/>
  <c r="F3" i="1"/>
  <c r="AK3" i="1"/>
  <c r="AL3" i="1"/>
  <c r="AM3" i="1"/>
  <c r="AN3" i="1"/>
  <c r="C12" i="1"/>
  <c r="D12" i="1"/>
  <c r="E12" i="1" s="1"/>
  <c r="V9" i="1" l="1"/>
  <c r="I9" i="1"/>
  <c r="S9" i="1"/>
  <c r="AO9" i="1"/>
  <c r="Q9" i="1"/>
  <c r="K9" i="1"/>
  <c r="P9" i="1"/>
  <c r="R9" i="1"/>
  <c r="L9" i="1"/>
  <c r="F6" i="1"/>
  <c r="G6" i="1" s="1"/>
  <c r="H6" i="1" s="1"/>
  <c r="AM6" i="1"/>
  <c r="AK6" i="1"/>
  <c r="AL6" i="1"/>
  <c r="AN6" i="1"/>
  <c r="F4" i="1"/>
  <c r="G4" i="1" s="1"/>
  <c r="H4" i="1" s="1"/>
  <c r="AL4" i="1"/>
  <c r="AM4" i="1"/>
  <c r="AN4" i="1"/>
  <c r="AK4" i="1"/>
  <c r="AN7" i="1"/>
  <c r="AK7" i="1"/>
  <c r="AL7" i="1"/>
  <c r="F7" i="1"/>
  <c r="G7" i="1" s="1"/>
  <c r="H7" i="1" s="1"/>
  <c r="AM7" i="1"/>
  <c r="G3" i="1"/>
  <c r="H3" i="1" s="1"/>
  <c r="U9" i="1"/>
  <c r="O9" i="1"/>
  <c r="W9" i="1"/>
  <c r="C9" i="1"/>
  <c r="X9" i="1"/>
  <c r="N9" i="1"/>
  <c r="T9" i="1"/>
  <c r="M9" i="1"/>
  <c r="D9" i="1"/>
  <c r="E9" i="1" s="1"/>
  <c r="AN5" i="1"/>
  <c r="AK5" i="1"/>
  <c r="AL5" i="1"/>
  <c r="F5" i="1"/>
  <c r="G5" i="1" s="1"/>
  <c r="H5" i="1" s="1"/>
  <c r="AM5" i="1"/>
  <c r="AN12" i="1"/>
  <c r="AM12" i="1"/>
  <c r="AL12" i="1"/>
  <c r="AK12" i="1"/>
  <c r="F9" i="1" l="1"/>
  <c r="AL9" i="1"/>
  <c r="AK9" i="1"/>
  <c r="AN9" i="1"/>
  <c r="AM9" i="1"/>
  <c r="AG4" i="1"/>
  <c r="AH4" i="1"/>
  <c r="AJ4" i="1"/>
  <c r="AC4" i="1"/>
  <c r="Z4" i="1"/>
  <c r="AA4" i="1" s="1"/>
  <c r="AB4" i="1"/>
  <c r="AD4" i="1"/>
  <c r="AF4" i="1"/>
  <c r="AI4" i="1"/>
  <c r="AE4" i="1"/>
  <c r="Z3" i="1"/>
  <c r="AJ3" i="1"/>
  <c r="G9" i="1"/>
  <c r="AB3" i="1"/>
  <c r="AI3" i="1"/>
  <c r="AH3" i="1"/>
  <c r="AE3" i="1"/>
  <c r="AD3" i="1"/>
  <c r="AC3" i="1"/>
  <c r="AG3" i="1"/>
  <c r="AF3" i="1"/>
  <c r="AE5" i="1"/>
  <c r="AF5" i="1"/>
  <c r="Z5" i="1"/>
  <c r="AA5" i="1" s="1"/>
  <c r="AC5" i="1"/>
  <c r="AD5" i="1"/>
  <c r="AG5" i="1"/>
  <c r="AJ5" i="1"/>
  <c r="AB5" i="1"/>
  <c r="AH5" i="1"/>
  <c r="AI5" i="1"/>
  <c r="AB7" i="1"/>
  <c r="AC7" i="1"/>
  <c r="AI7" i="1"/>
  <c r="AD7" i="1"/>
  <c r="AE7" i="1"/>
  <c r="AG7" i="1"/>
  <c r="Z7" i="1"/>
  <c r="AA7" i="1" s="1"/>
  <c r="AF7" i="1"/>
  <c r="AH7" i="1"/>
  <c r="AJ7" i="1"/>
  <c r="AE6" i="1"/>
  <c r="AF6" i="1"/>
  <c r="AJ6" i="1"/>
  <c r="Z6" i="1"/>
  <c r="AA6" i="1" s="1"/>
  <c r="AB6" i="1"/>
  <c r="AH6" i="1"/>
  <c r="AI6" i="1"/>
  <c r="AC6" i="1"/>
  <c r="AD6" i="1"/>
  <c r="AG6" i="1"/>
  <c r="AH9" i="1" l="1"/>
  <c r="AJ9" i="1"/>
  <c r="AE9" i="1"/>
  <c r="AB9" i="1"/>
  <c r="AF9" i="1"/>
  <c r="AI9" i="1"/>
  <c r="AA3" i="1"/>
  <c r="AA9" i="1" s="1"/>
  <c r="Z9" i="1"/>
  <c r="AG9" i="1"/>
  <c r="AC9" i="1"/>
  <c r="AD9" i="1"/>
  <c r="H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CMB</author>
    <author>adcue</author>
  </authors>
  <commentList>
    <comment ref="G12" authorId="0" shapeId="0" xr:uid="{478B2F92-B5A9-4740-B7CF-FD0F30D94B96}">
      <text>
        <r>
          <rPr>
            <b/>
            <sz val="9"/>
            <color rgb="FF000000"/>
            <rFont val="Calibri"/>
            <family val="2"/>
          </rPr>
          <t>CMB: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Jet fuel is 4 gal of a 42 gal bbl - EIA</t>
        </r>
      </text>
    </comment>
    <comment ref="I12" authorId="1" shapeId="0" xr:uid="{12843073-7D1F-3647-B03B-04AEB93A7322}">
      <text>
        <r>
          <rPr>
            <b/>
            <sz val="9"/>
            <color indexed="81"/>
            <rFont val="Tahoma"/>
            <family val="2"/>
          </rPr>
          <t>adcue:</t>
        </r>
        <r>
          <rPr>
            <sz val="9"/>
            <color indexed="81"/>
            <rFont val="Tahoma"/>
            <family val="2"/>
          </rPr>
          <t xml:space="preserve">
Trivedi, 2014 MIT Thesis</t>
        </r>
      </text>
    </comment>
    <comment ref="J12" authorId="0" shapeId="0" xr:uid="{6C22D88A-BF3F-044F-943C-A7C2362621E2}">
      <text>
        <r>
          <rPr>
            <b/>
            <sz val="9"/>
            <color rgb="FF000000"/>
            <rFont val="Calibri"/>
            <family val="2"/>
          </rPr>
          <t>CMB: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Standard Fuel Prices for DoD</t>
        </r>
      </text>
    </comment>
    <comment ref="K12" authorId="0" shapeId="0" xr:uid="{7CB44709-725B-DC4B-8999-D41F72623C65}">
      <text>
        <r>
          <rPr>
            <b/>
            <sz val="9"/>
            <color rgb="FF000000"/>
            <rFont val="Calibri"/>
            <family val="2"/>
          </rPr>
          <t>CMB: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Rosen 2017</t>
        </r>
      </text>
    </comment>
    <comment ref="L12" authorId="0" shapeId="0" xr:uid="{631AD973-2988-6649-AF71-4345FA2704A9}">
      <text>
        <r>
          <rPr>
            <b/>
            <sz val="9"/>
            <color indexed="81"/>
            <rFont val="Calibri"/>
            <family val="2"/>
          </rPr>
          <t>CMB:</t>
        </r>
        <r>
          <rPr>
            <sz val="9"/>
            <color indexed="81"/>
            <rFont val="Calibri"/>
            <family val="2"/>
          </rPr>
          <t xml:space="preserve">
Staples 2018</t>
        </r>
      </text>
    </comment>
  </commentList>
</comments>
</file>

<file path=xl/sharedStrings.xml><?xml version="1.0" encoding="utf-8"?>
<sst xmlns="http://schemas.openxmlformats.org/spreadsheetml/2006/main" count="52" uniqueCount="52">
  <si>
    <t>Intensities</t>
  </si>
  <si>
    <t>Total Amounts</t>
  </si>
  <si>
    <t>Source</t>
  </si>
  <si>
    <t>Jet Fuel (gal)</t>
  </si>
  <si>
    <t>Jet Fuel (million gal)</t>
  </si>
  <si>
    <t>Jet Fuel (L)</t>
  </si>
  <si>
    <t>Jet Fuel (kg)</t>
  </si>
  <si>
    <t>Jet Fuel (GJ)</t>
  </si>
  <si>
    <t>All Fuel (GJ)</t>
  </si>
  <si>
    <t>EROI</t>
  </si>
  <si>
    <t>Cost ($/gge)</t>
  </si>
  <si>
    <t>GHG (g CO2e/MJ)</t>
  </si>
  <si>
    <t>Post-Combustion GHG (g CO2e/MJ)</t>
  </si>
  <si>
    <t>Arable Land (m2/GJ/yr)</t>
  </si>
  <si>
    <t>Non-Arable Land (m2/GJ/yr)</t>
  </si>
  <si>
    <t>Rain and Process Water (m3/GJ)</t>
  </si>
  <si>
    <t>WDP (m3/GJ)</t>
  </si>
  <si>
    <t>Biomass (t/GJ)</t>
  </si>
  <si>
    <t>Nitrogen (g/GJ)</t>
  </si>
  <si>
    <t>Phosphorus (g/GJ)</t>
  </si>
  <si>
    <t>Potassium (g/GJ)</t>
  </si>
  <si>
    <t>Diesel Co-P (kg/kg jet)</t>
  </si>
  <si>
    <t>Gasoline Co-P (kg/kg jet)</t>
  </si>
  <si>
    <t>Propane Co-P (kg/kg jet)</t>
  </si>
  <si>
    <t>LPG Co-P (kg/kg jet)</t>
  </si>
  <si>
    <t>Energy Yield (GJ)</t>
  </si>
  <si>
    <t>Cost (million $)</t>
  </si>
  <si>
    <t>GHG (million t CO2e)</t>
  </si>
  <si>
    <t>Arable land (million ha)</t>
  </si>
  <si>
    <t>Non-arable Land (million ha)</t>
  </si>
  <si>
    <t>Water (million m3)</t>
  </si>
  <si>
    <t>WDP (million m3)</t>
  </si>
  <si>
    <t>Biomass (million t)</t>
  </si>
  <si>
    <t>Nitrogen (t)</t>
  </si>
  <si>
    <t>Phosphorus (t)</t>
  </si>
  <si>
    <t>Potassium (t)</t>
  </si>
  <si>
    <t>Diesel Co-P (million gal)</t>
  </si>
  <si>
    <t>Gasoline Co-P (million gal)</t>
  </si>
  <si>
    <t>Propane Co-P (million gal)</t>
  </si>
  <si>
    <t>LPG Co-P (million gal)</t>
  </si>
  <si>
    <t>Number of Facilities</t>
  </si>
  <si>
    <t>Soybean HEFA</t>
  </si>
  <si>
    <t>Corn AF</t>
  </si>
  <si>
    <t>Forestry Biomass FT</t>
  </si>
  <si>
    <t>Grasses FT</t>
  </si>
  <si>
    <t>Marine Microalgae HTL</t>
  </si>
  <si>
    <t>Total</t>
  </si>
  <si>
    <t>Targets</t>
  </si>
  <si>
    <t>Petroleum Jet-A REFERENCE</t>
  </si>
  <si>
    <t>All Fuel (gal)</t>
  </si>
  <si>
    <t>TARGET ~= RFS</t>
  </si>
  <si>
    <t>Optimization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</si>
</sst>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00"/>
    <numFmt numFmtId="166" formatCode="&quot;$&quot;#,##0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4" fontId="0" fillId="0" borderId="1" xfId="0" applyNumberFormat="1" applyBorder="1"/>
    <xf numFmtId="2" fontId="0" fillId="0" borderId="1" xfId="0" applyNumberFormat="1" applyBorder="1"/>
    <xf numFmtId="3" fontId="0" fillId="0" borderId="1" xfId="0" applyNumberFormat="1" applyBorder="1"/>
    <xf numFmtId="3" fontId="3" fillId="0" borderId="1" xfId="0" applyNumberFormat="1" applyFon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0" xfId="0" applyFill="1"/>
    <xf numFmtId="3" fontId="0" fillId="0" borderId="2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B38F-D9FE-6B4B-876A-3B2060DACBD9}">
  <dimension ref="A1:AO14"/>
  <sheetViews>
    <sheetView tabSelected="1" workbookViewId="0">
      <selection activeCell="J16" sqref="J16"/>
    </sheetView>
  </sheetViews>
  <sheetFormatPr baseColWidth="10" defaultRowHeight="16" x14ac:dyDescent="0.2"/>
  <cols>
    <col min="1" max="1" width="24.83203125" bestFit="1" customWidth="1"/>
    <col min="2" max="2" width="13.6640625" bestFit="1" customWidth="1"/>
    <col min="3" max="3" width="18.1640625" bestFit="1" customWidth="1"/>
    <col min="4" max="5" width="14.6640625" bestFit="1" customWidth="1"/>
    <col min="6" max="6" width="12.6640625" bestFit="1" customWidth="1"/>
    <col min="7" max="7" width="13.6640625" bestFit="1" customWidth="1"/>
    <col min="8" max="8" width="15.6640625" customWidth="1"/>
    <col min="9" max="9" width="9.33203125" bestFit="1" customWidth="1"/>
    <col min="10" max="10" width="11.33203125" bestFit="1" customWidth="1"/>
    <col min="11" max="11" width="19.1640625" customWidth="1"/>
    <col min="12" max="12" width="30.6640625" bestFit="1" customWidth="1"/>
    <col min="13" max="13" width="20.6640625" bestFit="1" customWidth="1"/>
    <col min="14" max="14" width="24.83203125" bestFit="1" customWidth="1"/>
    <col min="15" max="15" width="28.5" bestFit="1" customWidth="1"/>
    <col min="16" max="16" width="12.5" bestFit="1" customWidth="1"/>
    <col min="17" max="17" width="13.5" bestFit="1" customWidth="1"/>
    <col min="18" max="18" width="14" bestFit="1" customWidth="1"/>
    <col min="19" max="19" width="16.33203125" bestFit="1" customWidth="1"/>
    <col min="20" max="20" width="15.33203125" bestFit="1" customWidth="1"/>
    <col min="21" max="21" width="19.5" bestFit="1" customWidth="1"/>
    <col min="22" max="22" width="21.83203125" bestFit="1" customWidth="1"/>
    <col min="23" max="23" width="21.1640625" bestFit="1" customWidth="1"/>
    <col min="24" max="24" width="17.6640625" bestFit="1" customWidth="1"/>
    <col min="26" max="26" width="15" bestFit="1" customWidth="1"/>
    <col min="27" max="27" width="13.6640625" bestFit="1" customWidth="1"/>
    <col min="28" max="28" width="18.6640625" bestFit="1" customWidth="1"/>
    <col min="29" max="29" width="20.6640625" bestFit="1" customWidth="1"/>
    <col min="30" max="30" width="25" bestFit="1" customWidth="1"/>
    <col min="31" max="31" width="17.1640625" bestFit="1" customWidth="1"/>
    <col min="32" max="32" width="15.83203125" bestFit="1" customWidth="1"/>
    <col min="33" max="33" width="17" bestFit="1" customWidth="1"/>
    <col min="35" max="35" width="13" bestFit="1" customWidth="1"/>
    <col min="36" max="36" width="12.1640625" bestFit="1" customWidth="1"/>
    <col min="37" max="37" width="21" bestFit="1" customWidth="1"/>
    <col min="38" max="38" width="23.33203125" bestFit="1" customWidth="1"/>
    <col min="39" max="39" width="22.83203125" bestFit="1" customWidth="1"/>
    <col min="40" max="40" width="19.1640625" bestFit="1" customWidth="1"/>
    <col min="41" max="41" width="18" bestFit="1" customWidth="1"/>
  </cols>
  <sheetData>
    <row r="1" spans="1:41" x14ac:dyDescent="0.2">
      <c r="A1" s="1"/>
      <c r="B1" s="1"/>
      <c r="C1" s="1"/>
      <c r="D1" s="1"/>
      <c r="E1" s="1"/>
      <c r="F1" s="1"/>
      <c r="G1" s="1"/>
      <c r="H1" s="1"/>
      <c r="I1" s="2" t="s">
        <v>0</v>
      </c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3"/>
      <c r="W1" s="3"/>
      <c r="X1" s="3"/>
      <c r="Y1" s="1"/>
      <c r="Z1" s="2" t="s">
        <v>1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1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49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1"/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</row>
    <row r="3" spans="1:41" x14ac:dyDescent="0.2">
      <c r="A3" s="1" t="s">
        <v>41</v>
      </c>
      <c r="B3" s="4">
        <f>$B$10/5</f>
        <v>2400000000</v>
      </c>
      <c r="C3" s="5">
        <f>B3/10^6</f>
        <v>2400</v>
      </c>
      <c r="D3" s="5">
        <f t="shared" ref="D3" si="0">B3*3.785</f>
        <v>9084000000</v>
      </c>
      <c r="E3" s="5">
        <f t="shared" ref="E3" si="1">D3*0.804</f>
        <v>7303536000</v>
      </c>
      <c r="F3" s="5">
        <f>E3*46.2/10^3</f>
        <v>337423363.19999999</v>
      </c>
      <c r="G3" s="5">
        <f>F3*1.81</f>
        <v>610736287.39199996</v>
      </c>
      <c r="H3" s="5">
        <f>G3*(B3/F3)</f>
        <v>4344000000</v>
      </c>
      <c r="I3" s="6">
        <v>2.8653735240270555</v>
      </c>
      <c r="J3" s="7">
        <v>14.848359253025366</v>
      </c>
      <c r="K3" s="8">
        <v>-54.055851046525916</v>
      </c>
      <c r="L3" s="8">
        <v>20.944148953474084</v>
      </c>
      <c r="M3" s="6">
        <v>370.75321799191437</v>
      </c>
      <c r="N3" s="6">
        <v>0</v>
      </c>
      <c r="O3" s="5">
        <v>97.297239372693753</v>
      </c>
      <c r="P3" s="9">
        <v>7.156896390224779E-2</v>
      </c>
      <c r="Q3" s="6">
        <v>0.11186117541777715</v>
      </c>
      <c r="R3" s="6">
        <v>102.08338881343596</v>
      </c>
      <c r="S3" s="6">
        <v>178.28648187135295</v>
      </c>
      <c r="T3" s="6">
        <v>571.77557670504291</v>
      </c>
      <c r="U3" s="6">
        <v>0.47165991902834009</v>
      </c>
      <c r="V3" s="6">
        <v>0.1161943319838057</v>
      </c>
      <c r="W3" s="6">
        <v>8.5020242914979768E-2</v>
      </c>
      <c r="X3" s="6">
        <v>0.12145748987854252</v>
      </c>
      <c r="Y3" s="1"/>
      <c r="Z3" s="5">
        <f>G3</f>
        <v>610736287.39199996</v>
      </c>
      <c r="AA3" s="10">
        <f>Z3*(J3/0.153)*10^-6</f>
        <v>59270.796104936999</v>
      </c>
      <c r="AB3" s="11">
        <f>(L3*(G3*1000))*10^-6*10^-6</f>
        <v>12.791351774429803</v>
      </c>
      <c r="AC3" s="12">
        <f>((M3*G3)/10000)*10^-6</f>
        <v>22.643244389501863</v>
      </c>
      <c r="AD3" s="12">
        <f>((N3*G3)/10000)*10^-6</f>
        <v>0</v>
      </c>
      <c r="AE3" s="13">
        <f>O3*G3*10^-6</f>
        <v>59422.954747969699</v>
      </c>
      <c r="AF3" s="13">
        <f>G3*P3*10^-6</f>
        <v>43.709763306150876</v>
      </c>
      <c r="AG3" s="13">
        <f>Q3*G3*10^-6</f>
        <v>68.317678977958465</v>
      </c>
      <c r="AH3" s="13">
        <f>R3*G3*10^-6</f>
        <v>62346.029888311896</v>
      </c>
      <c r="AI3" s="13">
        <f>S3*G3*10^-6</f>
        <v>108886.0240302912</v>
      </c>
      <c r="AJ3" s="13">
        <f>T3*G3*10^-6</f>
        <v>349204.09293825761</v>
      </c>
      <c r="AK3" s="11">
        <f>((($E3*U3)/0.87)/3.785)*10^-6</f>
        <v>1046.1091721345804</v>
      </c>
      <c r="AL3" s="11">
        <f>((($E3*V3)/0.87)/3.785)*10^-6</f>
        <v>257.71101493787523</v>
      </c>
      <c r="AM3" s="11">
        <f>((($E3*W3)/0.87)/3.785)*10^-6</f>
        <v>188.56903532039649</v>
      </c>
      <c r="AN3" s="11">
        <f>((($E3*X3)/0.87)/3.785)*10^-6</f>
        <v>269.38433617199496</v>
      </c>
      <c r="AO3" s="13">
        <f>B3/9840</f>
        <v>243902.43902439025</v>
      </c>
    </row>
    <row r="4" spans="1:41" x14ac:dyDescent="0.2">
      <c r="A4" s="1" t="s">
        <v>42</v>
      </c>
      <c r="B4" s="4">
        <f>$B$10/5</f>
        <v>2400000000</v>
      </c>
      <c r="C4" s="5">
        <f t="shared" ref="C4:C7" si="2">B4/10^6</f>
        <v>2400</v>
      </c>
      <c r="D4" s="5">
        <f t="shared" ref="D4:D7" si="3">B4*3.785</f>
        <v>9084000000</v>
      </c>
      <c r="E4" s="5">
        <f t="shared" ref="E4:E7" si="4">D4*0.804</f>
        <v>7303536000</v>
      </c>
      <c r="F4" s="5">
        <f t="shared" ref="F4:F7" si="5">E4*46.2/10^3</f>
        <v>337423363.19999999</v>
      </c>
      <c r="G4" s="5">
        <f>F4*1.32</f>
        <v>445398839.42400002</v>
      </c>
      <c r="H4" s="5">
        <f t="shared" ref="H4:H7" si="6">G4*(B4/F4)</f>
        <v>3168000000</v>
      </c>
      <c r="I4" s="6">
        <v>1.5418276211445672</v>
      </c>
      <c r="J4" s="7">
        <v>6.6580951466294387</v>
      </c>
      <c r="K4" s="8">
        <v>-34.082177862853314</v>
      </c>
      <c r="L4" s="8">
        <v>40.917822137146686</v>
      </c>
      <c r="M4" s="6">
        <v>85.52319600714327</v>
      </c>
      <c r="N4" s="6">
        <v>0</v>
      </c>
      <c r="O4" s="5">
        <v>41.934194926760888</v>
      </c>
      <c r="P4" s="9">
        <v>0.25613814203449697</v>
      </c>
      <c r="Q4" s="6">
        <v>0.12179815396230206</v>
      </c>
      <c r="R4" s="6">
        <v>1186.377306973639</v>
      </c>
      <c r="S4" s="6">
        <v>176.82690482296098</v>
      </c>
      <c r="T4" s="6">
        <v>509.06327781190339</v>
      </c>
      <c r="U4" s="6">
        <v>0.11258612282174583</v>
      </c>
      <c r="V4" s="6">
        <v>0.20770199923597052</v>
      </c>
      <c r="W4" s="6">
        <v>0</v>
      </c>
      <c r="X4" s="6">
        <v>0</v>
      </c>
      <c r="Y4" s="1"/>
      <c r="Z4" s="5">
        <f>G4</f>
        <v>445398839.42400002</v>
      </c>
      <c r="AA4" s="10">
        <f t="shared" ref="AA4:AA7" si="7">Z4*(J4/0.153)*10^-6</f>
        <v>19382.404255446534</v>
      </c>
      <c r="AB4" s="11">
        <f t="shared" ref="AB4:AB7" si="8">(L4*(G4*1000))*10^-6*10^-6</f>
        <v>18.224750491642787</v>
      </c>
      <c r="AC4" s="12">
        <f t="shared" ref="AC4:AC7" si="9">((M4*G4)/10000)*10^-6</f>
        <v>3.8091932245412887</v>
      </c>
      <c r="AD4" s="12">
        <f t="shared" ref="AD4:AD7" si="10">((N4*G4)/10000)*10^-6</f>
        <v>0</v>
      </c>
      <c r="AE4" s="13">
        <f t="shared" ref="AE4:AE7" si="11">O4*G4*10^-6</f>
        <v>18677.441752559087</v>
      </c>
      <c r="AF4" s="13">
        <f t="shared" ref="AF4:AF7" si="12">G4*P4*10^-6</f>
        <v>114.08363119438462</v>
      </c>
      <c r="AG4" s="13">
        <f t="shared" ref="AG4:AG7" si="13">Q4*G4*10^-6</f>
        <v>54.248756418795011</v>
      </c>
      <c r="AH4" s="13">
        <f t="shared" ref="AH4:AH7" si="14">R4*G4*10^-6</f>
        <v>528411.07564502943</v>
      </c>
      <c r="AI4" s="13">
        <f t="shared" ref="AI4:AI7" si="15">S4*G4*10^-6</f>
        <v>78758.49818708493</v>
      </c>
      <c r="AJ4" s="13">
        <f t="shared" ref="AJ4:AJ7" si="16">T4*G4*10^-6</f>
        <v>226736.19313079907</v>
      </c>
      <c r="AK4" s="11">
        <f t="shared" ref="AK4:AK7" si="17">((($E4*U4)/0.87)/3.785)*10^-6</f>
        <v>249.70825585843761</v>
      </c>
      <c r="AL4" s="11">
        <f t="shared" ref="AL4:AL7" si="18">((($E4*V4)/0.87)/3.785)*10^-6</f>
        <v>460.66871002957316</v>
      </c>
      <c r="AM4" s="11">
        <f t="shared" ref="AM4:AM7" si="19">((($E4*W4)/0.87)/3.785)*10^-6</f>
        <v>0</v>
      </c>
      <c r="AN4" s="11">
        <f t="shared" ref="AN4:AN7" si="20">((($E4*X4)/0.87)/3.785)*10^-6</f>
        <v>0</v>
      </c>
      <c r="AO4" s="13">
        <f>B4/58466</f>
        <v>41049.49885403482</v>
      </c>
    </row>
    <row r="5" spans="1:41" x14ac:dyDescent="0.2">
      <c r="A5" s="1" t="s">
        <v>43</v>
      </c>
      <c r="B5" s="4">
        <f>$B$10/5</f>
        <v>2400000000</v>
      </c>
      <c r="C5" s="5">
        <f t="shared" si="2"/>
        <v>2400</v>
      </c>
      <c r="D5" s="5">
        <f t="shared" si="3"/>
        <v>9084000000</v>
      </c>
      <c r="E5" s="5">
        <f t="shared" si="4"/>
        <v>7303536000</v>
      </c>
      <c r="F5" s="5">
        <f t="shared" si="5"/>
        <v>337423363.19999999</v>
      </c>
      <c r="G5" s="5">
        <f>F5*5.01</f>
        <v>1690491049.632</v>
      </c>
      <c r="H5" s="5">
        <f t="shared" si="6"/>
        <v>12024000000</v>
      </c>
      <c r="I5" s="6">
        <v>1.9513261136462003</v>
      </c>
      <c r="J5" s="7">
        <v>7.1134824397241854</v>
      </c>
      <c r="K5" s="8">
        <v>-4.1237438781488516</v>
      </c>
      <c r="L5" s="8">
        <v>70.876256121851142</v>
      </c>
      <c r="M5" s="6">
        <v>99.644097470304914</v>
      </c>
      <c r="N5" s="6">
        <v>0</v>
      </c>
      <c r="O5" s="5">
        <v>46.329718919469798</v>
      </c>
      <c r="P5" s="9">
        <v>0.2055311461971448</v>
      </c>
      <c r="Q5" s="6">
        <v>0.11483982233452639</v>
      </c>
      <c r="R5" s="6">
        <v>354.8235989498346</v>
      </c>
      <c r="S5" s="6">
        <v>34.873085650705534</v>
      </c>
      <c r="T5" s="6">
        <v>35.458107138519011</v>
      </c>
      <c r="U5" s="6">
        <v>2.0499999999999994</v>
      </c>
      <c r="V5" s="6">
        <v>1.0659999999999998</v>
      </c>
      <c r="W5" s="6">
        <v>0</v>
      </c>
      <c r="X5" s="6">
        <v>0</v>
      </c>
      <c r="Y5" s="1"/>
      <c r="Z5" s="5">
        <f>G5</f>
        <v>1690491049.632</v>
      </c>
      <c r="AA5" s="10">
        <f t="shared" si="7"/>
        <v>78596.590823974751</v>
      </c>
      <c r="AB5" s="11">
        <f t="shared" si="8"/>
        <v>119.81567660541459</v>
      </c>
      <c r="AC5" s="12">
        <f t="shared" si="9"/>
        <v>16.844745492220909</v>
      </c>
      <c r="AD5" s="12">
        <f t="shared" si="10"/>
        <v>0</v>
      </c>
      <c r="AE5" s="13">
        <f t="shared" si="11"/>
        <v>78319.975165330034</v>
      </c>
      <c r="AF5" s="13">
        <f t="shared" si="12"/>
        <v>347.44856306687933</v>
      </c>
      <c r="AG5" s="13">
        <f t="shared" si="13"/>
        <v>194.13569179784588</v>
      </c>
      <c r="AH5" s="13">
        <f t="shared" si="14"/>
        <v>599826.11822290963</v>
      </c>
      <c r="AI5" s="13">
        <f t="shared" si="15"/>
        <v>58952.639165567831</v>
      </c>
      <c r="AJ5" s="13">
        <f t="shared" si="16"/>
        <v>59941.612754558912</v>
      </c>
      <c r="AK5" s="11">
        <f t="shared" si="17"/>
        <v>4546.758620689654</v>
      </c>
      <c r="AL5" s="11">
        <f t="shared" si="18"/>
        <v>2364.3144827586202</v>
      </c>
      <c r="AM5" s="11">
        <f t="shared" si="19"/>
        <v>0</v>
      </c>
      <c r="AN5" s="11">
        <f t="shared" si="20"/>
        <v>0</v>
      </c>
      <c r="AO5" s="13">
        <f>B5/13230</f>
        <v>181405.89569160997</v>
      </c>
    </row>
    <row r="6" spans="1:41" x14ac:dyDescent="0.2">
      <c r="A6" s="1" t="s">
        <v>44</v>
      </c>
      <c r="B6" s="4">
        <f>$B$10/5</f>
        <v>2400000000</v>
      </c>
      <c r="C6" s="5">
        <f t="shared" si="2"/>
        <v>2400</v>
      </c>
      <c r="D6" s="5">
        <f t="shared" si="3"/>
        <v>9084000000</v>
      </c>
      <c r="E6" s="5">
        <f t="shared" si="4"/>
        <v>7303536000</v>
      </c>
      <c r="F6" s="5">
        <f t="shared" si="5"/>
        <v>337423363.19999999</v>
      </c>
      <c r="G6" s="5">
        <f>F6*5.01</f>
        <v>1690491049.632</v>
      </c>
      <c r="H6" s="5">
        <f t="shared" si="6"/>
        <v>12024000000</v>
      </c>
      <c r="I6" s="6">
        <v>2.5125898155795086</v>
      </c>
      <c r="J6" s="7">
        <v>8.2393951317272798</v>
      </c>
      <c r="K6" s="8">
        <v>-33.128177940190973</v>
      </c>
      <c r="L6" s="8">
        <v>41.871822059809027</v>
      </c>
      <c r="M6" s="6">
        <v>128.16944456978391</v>
      </c>
      <c r="N6" s="6">
        <v>0</v>
      </c>
      <c r="O6" s="5">
        <v>81.482454995061104</v>
      </c>
      <c r="P6" s="9">
        <v>0.19477574721587707</v>
      </c>
      <c r="Q6" s="6">
        <v>0.11483982233452639</v>
      </c>
      <c r="R6" s="6">
        <v>1512.3994459234502</v>
      </c>
      <c r="S6" s="6">
        <v>285.17701416776919</v>
      </c>
      <c r="T6" s="6">
        <v>128.16944456978391</v>
      </c>
      <c r="U6" s="6">
        <v>2.0499999999999998</v>
      </c>
      <c r="V6" s="6">
        <v>1.0659999999999998</v>
      </c>
      <c r="W6" s="6">
        <v>0</v>
      </c>
      <c r="X6" s="6">
        <v>0</v>
      </c>
      <c r="Y6" s="1"/>
      <c r="Z6" s="5">
        <f>G6</f>
        <v>1690491049.632</v>
      </c>
      <c r="AA6" s="10">
        <f t="shared" si="7"/>
        <v>91036.756369715295</v>
      </c>
      <c r="AB6" s="11">
        <f t="shared" si="8"/>
        <v>70.783940423890883</v>
      </c>
      <c r="AC6" s="12">
        <f t="shared" si="9"/>
        <v>21.666929888152442</v>
      </c>
      <c r="AD6" s="12">
        <f t="shared" si="10"/>
        <v>0</v>
      </c>
      <c r="AE6" s="13">
        <f t="shared" si="11"/>
        <v>137745.36087119306</v>
      </c>
      <c r="AF6" s="13">
        <f t="shared" si="12"/>
        <v>329.26665735382505</v>
      </c>
      <c r="AG6" s="13">
        <f t="shared" si="13"/>
        <v>194.13569179784588</v>
      </c>
      <c r="AH6" s="13">
        <f t="shared" si="14"/>
        <v>2556697.7268019887</v>
      </c>
      <c r="AI6" s="13">
        <f t="shared" si="15"/>
        <v>482089.19001139182</v>
      </c>
      <c r="AJ6" s="13">
        <f t="shared" si="16"/>
        <v>216669.29888152445</v>
      </c>
      <c r="AK6" s="11">
        <f t="shared" si="17"/>
        <v>4546.758620689654</v>
      </c>
      <c r="AL6" s="11">
        <f t="shared" si="18"/>
        <v>2364.3144827586202</v>
      </c>
      <c r="AM6" s="11">
        <f t="shared" si="19"/>
        <v>0</v>
      </c>
      <c r="AN6" s="11">
        <f t="shared" si="20"/>
        <v>0</v>
      </c>
      <c r="AO6" s="13">
        <f>B6/10285</f>
        <v>233349.5381623724</v>
      </c>
    </row>
    <row r="7" spans="1:41" x14ac:dyDescent="0.2">
      <c r="A7" s="1" t="s">
        <v>45</v>
      </c>
      <c r="B7" s="4">
        <f>$B$10/5</f>
        <v>2400000000</v>
      </c>
      <c r="C7" s="5">
        <f t="shared" si="2"/>
        <v>2400</v>
      </c>
      <c r="D7" s="5">
        <f t="shared" si="3"/>
        <v>9084000000</v>
      </c>
      <c r="E7" s="5">
        <f t="shared" si="4"/>
        <v>7303536000</v>
      </c>
      <c r="F7" s="5">
        <f t="shared" si="5"/>
        <v>337423363.19999999</v>
      </c>
      <c r="G7" s="5">
        <f>F7*1.81</f>
        <v>610736287.39199996</v>
      </c>
      <c r="H7" s="5">
        <f t="shared" si="6"/>
        <v>4344000000</v>
      </c>
      <c r="I7" s="6">
        <v>0.57071168336428513</v>
      </c>
      <c r="J7" s="7">
        <v>16.790605593344122</v>
      </c>
      <c r="K7" s="8">
        <v>33.903622249368759</v>
      </c>
      <c r="L7" s="8">
        <v>108.90362224936877</v>
      </c>
      <c r="M7" s="6">
        <v>0</v>
      </c>
      <c r="N7" s="6">
        <v>10.954435088511275</v>
      </c>
      <c r="O7" s="5">
        <v>2.1885882146956401E-2</v>
      </c>
      <c r="P7" s="9">
        <v>0.48793330988590561</v>
      </c>
      <c r="Q7" s="6">
        <v>4.8635293659903114E-2</v>
      </c>
      <c r="R7" s="6">
        <v>226.59728607202956</v>
      </c>
      <c r="S7" s="6">
        <v>21.241064128761849</v>
      </c>
      <c r="T7" s="6">
        <v>0</v>
      </c>
      <c r="U7" s="6">
        <v>0.47165991902834004</v>
      </c>
      <c r="V7" s="6">
        <v>0.11619433198380567</v>
      </c>
      <c r="W7" s="6">
        <v>8.5020242914979755E-2</v>
      </c>
      <c r="X7" s="6">
        <v>0.12145748987854249</v>
      </c>
      <c r="Y7" s="1"/>
      <c r="Z7" s="5">
        <f>G7</f>
        <v>610736287.39199996</v>
      </c>
      <c r="AA7" s="10">
        <f t="shared" si="7"/>
        <v>67023.73936694338</v>
      </c>
      <c r="AB7" s="11">
        <f t="shared" si="8"/>
        <v>66.511393936120285</v>
      </c>
      <c r="AC7" s="12">
        <f t="shared" si="9"/>
        <v>0</v>
      </c>
      <c r="AD7" s="12">
        <f t="shared" si="10"/>
        <v>0.66902710164340307</v>
      </c>
      <c r="AE7" s="13">
        <f t="shared" si="11"/>
        <v>13.366502408731005</v>
      </c>
      <c r="AF7" s="13">
        <f t="shared" si="12"/>
        <v>297.99857817460821</v>
      </c>
      <c r="AG7" s="13">
        <f t="shared" si="13"/>
        <v>29.703338686068903</v>
      </c>
      <c r="AH7" s="13">
        <f t="shared" si="14"/>
        <v>138391.18522873428</v>
      </c>
      <c r="AI7" s="13">
        <f t="shared" si="15"/>
        <v>12972.688646255398</v>
      </c>
      <c r="AJ7" s="13">
        <f t="shared" si="16"/>
        <v>0</v>
      </c>
      <c r="AK7" s="11">
        <f t="shared" si="17"/>
        <v>1046.1091721345804</v>
      </c>
      <c r="AL7" s="11">
        <f t="shared" si="18"/>
        <v>257.71101493787518</v>
      </c>
      <c r="AM7" s="11">
        <f t="shared" si="19"/>
        <v>188.56903532039647</v>
      </c>
      <c r="AN7" s="11">
        <f t="shared" si="20"/>
        <v>269.3843361719949</v>
      </c>
      <c r="AO7" s="13">
        <f>B7/369655</f>
        <v>6492.5403416699355</v>
      </c>
    </row>
    <row r="8" spans="1:41" x14ac:dyDescent="0.2">
      <c r="H8" s="17"/>
    </row>
    <row r="9" spans="1:41" x14ac:dyDescent="0.2">
      <c r="A9" s="1" t="s">
        <v>46</v>
      </c>
      <c r="B9" s="5">
        <f>SUM(B3:B7)</f>
        <v>12000000000</v>
      </c>
      <c r="C9" s="5">
        <f t="shared" ref="C9:C12" si="21">B9/10^6</f>
        <v>12000</v>
      </c>
      <c r="D9" s="5">
        <f>B9*3.785</f>
        <v>45420000000</v>
      </c>
      <c r="E9" s="5">
        <f>D9*0.804</f>
        <v>36517680000</v>
      </c>
      <c r="F9" s="5">
        <f>SUM(F3:F7)</f>
        <v>1687116816</v>
      </c>
      <c r="G9" s="5">
        <f>SUM(G3:G7)</f>
        <v>5047853513.4720001</v>
      </c>
      <c r="H9" s="5">
        <f>SUM(H3:H8)</f>
        <v>35904000000</v>
      </c>
      <c r="I9" s="6">
        <f>SUM($B$3*I3+$B$4*I4+$B$5*I5+$B$6*I6+$B$7*I7)/$B$9</f>
        <v>1.8883657515523233</v>
      </c>
      <c r="J9" s="19">
        <f>SUM($B$3*J3+$B$4*J4+$B$5*J5+$B$6*J6+$B$7*J7)/$B$9</f>
        <v>10.729987512890078</v>
      </c>
      <c r="K9" s="6">
        <f t="shared" ref="K9:X9" si="22">SUM($B$3*K3+$B$4*K4+$B$5*K5+$B$6*K6+$B$7*K7)/$B$9</f>
        <v>-18.297265695670056</v>
      </c>
      <c r="L9" s="20">
        <f t="shared" si="22"/>
        <v>56.702734304329944</v>
      </c>
      <c r="M9" s="20">
        <f t="shared" si="22"/>
        <v>136.81799120782929</v>
      </c>
      <c r="N9" s="6">
        <f t="shared" si="22"/>
        <v>2.1908870177022548</v>
      </c>
      <c r="O9" s="6">
        <f t="shared" si="22"/>
        <v>53.413098819226498</v>
      </c>
      <c r="P9" s="6">
        <f t="shared" si="22"/>
        <v>0.24318946184713444</v>
      </c>
      <c r="Q9" s="6">
        <f t="shared" si="22"/>
        <v>0.10239485354180701</v>
      </c>
      <c r="R9" s="20">
        <f t="shared" si="22"/>
        <v>676.45620534647787</v>
      </c>
      <c r="S9" s="6">
        <f t="shared" si="22"/>
        <v>139.2809101283101</v>
      </c>
      <c r="T9" s="6">
        <f t="shared" si="22"/>
        <v>248.89328124504985</v>
      </c>
      <c r="U9" s="6">
        <f t="shared" si="22"/>
        <v>1.031181192175685</v>
      </c>
      <c r="V9" s="6">
        <f t="shared" si="22"/>
        <v>0.51441813264071623</v>
      </c>
      <c r="W9" s="6">
        <f t="shared" si="22"/>
        <v>3.4008097165991902E-2</v>
      </c>
      <c r="X9" s="6">
        <f t="shared" si="22"/>
        <v>4.8582995951417011E-2</v>
      </c>
      <c r="Y9" s="1"/>
      <c r="Z9" s="5">
        <f>SUM(Z3:Z7)</f>
        <v>5047853513.4720001</v>
      </c>
      <c r="AA9" s="5">
        <f t="shared" ref="AA9:AO9" si="23">SUM(AA3:AA7)</f>
        <v>315310.28692101699</v>
      </c>
      <c r="AB9" s="5">
        <f t="shared" si="23"/>
        <v>288.12711323149836</v>
      </c>
      <c r="AC9" s="5">
        <f t="shared" si="23"/>
        <v>64.964112994416496</v>
      </c>
      <c r="AD9" s="5">
        <f t="shared" si="23"/>
        <v>0.66902710164340307</v>
      </c>
      <c r="AE9" s="5">
        <f t="shared" si="23"/>
        <v>294179.09903946065</v>
      </c>
      <c r="AF9" s="5">
        <f t="shared" si="23"/>
        <v>1132.5071930958482</v>
      </c>
      <c r="AG9" s="5">
        <f t="shared" si="23"/>
        <v>540.5411576785142</v>
      </c>
      <c r="AH9" s="5">
        <f t="shared" si="23"/>
        <v>3885672.1357869739</v>
      </c>
      <c r="AI9" s="5">
        <f t="shared" si="23"/>
        <v>741659.04004059115</v>
      </c>
      <c r="AJ9" s="5">
        <f t="shared" si="23"/>
        <v>852551.1977051401</v>
      </c>
      <c r="AK9" s="5">
        <f t="shared" si="23"/>
        <v>11435.443841506905</v>
      </c>
      <c r="AL9" s="5">
        <f t="shared" si="23"/>
        <v>5704.7197054225635</v>
      </c>
      <c r="AM9" s="5">
        <f t="shared" si="23"/>
        <v>377.13807064079299</v>
      </c>
      <c r="AN9" s="5">
        <f t="shared" si="23"/>
        <v>538.76867234398992</v>
      </c>
      <c r="AO9" s="5">
        <f t="shared" si="23"/>
        <v>706199.91207407741</v>
      </c>
    </row>
    <row r="10" spans="1:41" x14ac:dyDescent="0.2">
      <c r="A10" s="1" t="s">
        <v>47</v>
      </c>
      <c r="B10" s="15">
        <f>12*10^9</f>
        <v>12000000000</v>
      </c>
      <c r="C10" s="5">
        <f t="shared" si="21"/>
        <v>12000</v>
      </c>
      <c r="D10" s="5">
        <f>B10*3.785</f>
        <v>45420000000</v>
      </c>
      <c r="E10" s="5">
        <f>D10*0.804</f>
        <v>36517680000</v>
      </c>
      <c r="F10" s="5">
        <f t="shared" ref="F10:F12" si="24">E10*46.2/10^3</f>
        <v>1687116816</v>
      </c>
      <c r="G10" s="5">
        <f>G12</f>
        <v>4202818882.5</v>
      </c>
      <c r="H10" s="18">
        <f>B10*2.992</f>
        <v>35904000000</v>
      </c>
      <c r="I10" s="5">
        <f t="shared" ref="I10:X10" si="25">I12</f>
        <v>5.9</v>
      </c>
      <c r="J10" s="7">
        <f t="shared" si="25"/>
        <v>2.95</v>
      </c>
      <c r="K10" s="3">
        <f t="shared" si="25"/>
        <v>15.97</v>
      </c>
      <c r="L10" s="3">
        <f t="shared" si="25"/>
        <v>89</v>
      </c>
      <c r="M10" s="3">
        <f t="shared" si="25"/>
        <v>0</v>
      </c>
      <c r="N10" s="3">
        <f t="shared" si="25"/>
        <v>0</v>
      </c>
      <c r="O10" s="3">
        <f t="shared" si="25"/>
        <v>0</v>
      </c>
      <c r="P10" s="3">
        <f t="shared" si="25"/>
        <v>3.0000000000000004E-8</v>
      </c>
      <c r="Q10" s="3">
        <f t="shared" si="25"/>
        <v>0</v>
      </c>
      <c r="R10" s="3">
        <f t="shared" si="25"/>
        <v>0</v>
      </c>
      <c r="S10" s="3">
        <f t="shared" si="25"/>
        <v>0</v>
      </c>
      <c r="T10" s="3">
        <f t="shared" si="25"/>
        <v>0</v>
      </c>
      <c r="U10" s="3">
        <f t="shared" si="25"/>
        <v>2.75</v>
      </c>
      <c r="V10" s="3">
        <f t="shared" si="25"/>
        <v>4.75</v>
      </c>
      <c r="W10" s="3">
        <f t="shared" si="25"/>
        <v>2.25</v>
      </c>
      <c r="X10" s="3">
        <f t="shared" si="25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/>
      <c r="S11" s="3"/>
      <c r="T11" s="3"/>
      <c r="U11" s="3"/>
      <c r="V11" s="3"/>
      <c r="W11" s="3"/>
      <c r="X11" s="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">
      <c r="A12" s="1" t="s">
        <v>48</v>
      </c>
      <c r="B12" s="5">
        <f>B10</f>
        <v>12000000000</v>
      </c>
      <c r="C12" s="5">
        <f t="shared" si="21"/>
        <v>12000</v>
      </c>
      <c r="D12" s="5">
        <f>B12*3.785</f>
        <v>45420000000</v>
      </c>
      <c r="E12" s="5">
        <f>D12*0.804</f>
        <v>36517680000</v>
      </c>
      <c r="F12" s="14">
        <v>400268465</v>
      </c>
      <c r="G12" s="14">
        <f>F12*(42/4)</f>
        <v>4202818882.5</v>
      </c>
      <c r="H12" s="5">
        <f>H10</f>
        <v>35904000000</v>
      </c>
      <c r="I12" s="5">
        <v>5.9</v>
      </c>
      <c r="J12" s="7">
        <v>2.95</v>
      </c>
      <c r="K12" s="3">
        <v>15.97</v>
      </c>
      <c r="L12" s="3">
        <v>89</v>
      </c>
      <c r="M12" s="6">
        <v>0</v>
      </c>
      <c r="N12" s="3">
        <v>0</v>
      </c>
      <c r="O12" s="3">
        <v>0</v>
      </c>
      <c r="P12" s="3">
        <f>3*10^-8</f>
        <v>3.0000000000000004E-8</v>
      </c>
      <c r="Q12" s="3">
        <v>0</v>
      </c>
      <c r="R12" s="3">
        <v>0</v>
      </c>
      <c r="S12" s="3">
        <v>0</v>
      </c>
      <c r="T12" s="3">
        <v>0</v>
      </c>
      <c r="U12" s="3">
        <f>11/4</f>
        <v>2.75</v>
      </c>
      <c r="V12" s="3">
        <f>19/4</f>
        <v>4.75</v>
      </c>
      <c r="W12" s="3">
        <f>9/4</f>
        <v>2.25</v>
      </c>
      <c r="X12" s="3">
        <v>0</v>
      </c>
      <c r="Y12" s="1"/>
      <c r="Z12" s="5">
        <f t="shared" ref="Z12" si="26">G12</f>
        <v>4202818882.5</v>
      </c>
      <c r="AA12" s="10">
        <f>Z12*(J12/0.153)*10^-6</f>
        <v>81034.74315931373</v>
      </c>
      <c r="AB12" s="11">
        <f t="shared" ref="AB12" si="27">(L12*(G12*1000))*10^-6*10^-6</f>
        <v>374.05088054249995</v>
      </c>
      <c r="AC12" s="12">
        <f t="shared" ref="AC12" si="28">((M12*G12)/10000)*10^-6</f>
        <v>0</v>
      </c>
      <c r="AD12" s="12">
        <f t="shared" ref="AD12" si="29">((N12*G12)/10000)*10^-6</f>
        <v>0</v>
      </c>
      <c r="AE12" s="13">
        <f t="shared" ref="AE12" si="30">O12*G12*10^-6</f>
        <v>0</v>
      </c>
      <c r="AF12" s="13">
        <f t="shared" ref="AF12" si="31">G12*P12*10^-6</f>
        <v>1.2608456647500001E-4</v>
      </c>
      <c r="AG12" s="13">
        <f t="shared" ref="AG12" si="32">Q12*G12*10^-6</f>
        <v>0</v>
      </c>
      <c r="AH12" s="13">
        <f t="shared" ref="AH12" si="33">R12*G12*10^-6</f>
        <v>0</v>
      </c>
      <c r="AI12" s="13">
        <f t="shared" ref="AI12" si="34">S12*G12*10^-6</f>
        <v>0</v>
      </c>
      <c r="AJ12" s="13">
        <f t="shared" ref="AJ12" si="35">T12*G12*10^-6</f>
        <v>0</v>
      </c>
      <c r="AK12" s="11">
        <f t="shared" ref="AK12" si="36">(((E12*U12)/0.87)/3.785)*10^-6</f>
        <v>30496.551724137931</v>
      </c>
      <c r="AL12" s="11">
        <f t="shared" ref="AL12:AN12" si="37">((($E12*V12)/0.87)/3.785)*10^-6</f>
        <v>52675.862068965514</v>
      </c>
      <c r="AM12" s="11">
        <f t="shared" si="37"/>
        <v>24951.724137931033</v>
      </c>
      <c r="AN12" s="11">
        <f t="shared" si="37"/>
        <v>0</v>
      </c>
      <c r="AO12" s="13"/>
    </row>
    <row r="14" spans="1:41" x14ac:dyDescent="0.2">
      <c r="B14" s="16" t="s">
        <v>50</v>
      </c>
      <c r="J14" s="21" t="s">
        <v>51</v>
      </c>
      <c r="K14" s="2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2020-12-10T22:19:01Z</dcterms:created>
  <dcterms:modified xsi:type="dcterms:W3CDTF">2020-12-10T22:56:59Z</dcterms:modified>
</cp:coreProperties>
</file>