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l2883\Jupyter\Undergrad\HW5\"/>
    </mc:Choice>
  </mc:AlternateContent>
  <bookViews>
    <workbookView xWindow="0" yWindow="0" windowWidth="23040" windowHeight="8670" activeTab="6"/>
  </bookViews>
  <sheets>
    <sheet name="Q1" sheetId="1" r:id="rId1"/>
    <sheet name="Q2" sheetId="2" r:id="rId2"/>
    <sheet name="Q2_Summary" sheetId="3" r:id="rId3"/>
    <sheet name="Q3" sheetId="4" r:id="rId4"/>
    <sheet name="Q3_Summary" sheetId="6" r:id="rId5"/>
    <sheet name="Q4" sheetId="7" r:id="rId6"/>
    <sheet name="Q4_Summary" sheetId="8" r:id="rId7"/>
    <sheet name="Q5" sheetId="9" r:id="rId8"/>
    <sheet name="Q5_Summary" sheetId="11" r:id="rId9"/>
  </sheets>
  <definedNames>
    <definedName name="a" localSheetId="0">'Q1'!$H$3</definedName>
    <definedName name="Pp" localSheetId="0">'Q1'!$H$1</definedName>
    <definedName name="Pw" localSheetId="0">'Q1'!$H$2</definedName>
    <definedName name="Q5_SHmax">'Q5'!$B$20:$B$26</definedName>
    <definedName name="Q5_Shmin">'Q5'!$B$28:$B$34</definedName>
    <definedName name="SHmax" localSheetId="0">'Q1'!$H$5</definedName>
    <definedName name="Shmin" localSheetId="0">'Q1'!$H$4</definedName>
    <definedName name="sigma_Hmax" localSheetId="0">'Q1'!$H$7</definedName>
    <definedName name="sigma_hmin" localSheetId="0">'Q1'!$H$6</definedName>
    <definedName name="wBO_0_Q2">'Q2'!$A$28:$D$34</definedName>
    <definedName name="wBO_0_Q3">'Q3'!$A$29:$D$35</definedName>
    <definedName name="wBO_0_Q4">'Q4'!$B$28:$B$34</definedName>
    <definedName name="wBO_45_Q3">'Q3'!$A$21:$D$27</definedName>
    <definedName name="wBO_45_Q4">'Q4'!$B$20:$B$26</definedName>
    <definedName name="wBO_70_Q2">'Q2'!$A$20:$D$26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8" l="1" a="1"/>
  <c r="A3" i="8" s="1"/>
  <c r="A2" i="8" a="1"/>
  <c r="A2" i="8" s="1"/>
  <c r="D3" i="11" a="1"/>
  <c r="D3" i="11" s="1"/>
  <c r="D2" i="11" a="1"/>
  <c r="D2" i="11" s="1"/>
  <c r="B2" i="11"/>
  <c r="B34" i="7"/>
  <c r="B33" i="7"/>
  <c r="B32" i="7"/>
  <c r="B25" i="7"/>
  <c r="B26" i="7"/>
  <c r="B29" i="7"/>
  <c r="B30" i="7"/>
  <c r="B31" i="7"/>
  <c r="B24" i="7"/>
  <c r="B26" i="9"/>
  <c r="B25" i="9"/>
  <c r="B24" i="9"/>
  <c r="B33" i="9"/>
  <c r="B34" i="9"/>
  <c r="B32" i="9"/>
  <c r="B31" i="9"/>
  <c r="B30" i="9"/>
  <c r="B29" i="9"/>
  <c r="B23" i="9"/>
  <c r="B22" i="9"/>
  <c r="B21" i="9"/>
  <c r="B23" i="7"/>
  <c r="B22" i="7"/>
  <c r="B21" i="7"/>
  <c r="K1" i="6" a="1"/>
  <c r="K1" i="6" s="1"/>
  <c r="C1" i="6" a="1"/>
  <c r="C1" i="6" s="1"/>
  <c r="C22" i="4"/>
  <c r="C25" i="4" s="1"/>
  <c r="D22" i="4"/>
  <c r="C23" i="4"/>
  <c r="D23" i="4"/>
  <c r="C24" i="4"/>
  <c r="C27" i="4" s="1"/>
  <c r="D24" i="4"/>
  <c r="B24" i="4"/>
  <c r="B27" i="4" s="1"/>
  <c r="B23" i="4"/>
  <c r="B26" i="4" s="1"/>
  <c r="B22" i="4"/>
  <c r="B25" i="4" s="1"/>
  <c r="C30" i="4"/>
  <c r="D30" i="4"/>
  <c r="C31" i="4"/>
  <c r="D31" i="4"/>
  <c r="C32" i="4"/>
  <c r="D32" i="4"/>
  <c r="D35" i="4" s="1"/>
  <c r="B32" i="4"/>
  <c r="B35" i="4" s="1"/>
  <c r="B31" i="4"/>
  <c r="B34" i="4" s="1"/>
  <c r="B30" i="4"/>
  <c r="B33" i="4" s="1"/>
  <c r="D25" i="4"/>
  <c r="C35" i="4"/>
  <c r="C34" i="4"/>
  <c r="D34" i="4"/>
  <c r="C33" i="4"/>
  <c r="D33" i="4"/>
  <c r="D27" i="4"/>
  <c r="D26" i="4"/>
  <c r="C26" i="4"/>
  <c r="J1" i="3" a="1"/>
  <c r="J1" i="3" s="1"/>
  <c r="B1" i="3" a="1"/>
  <c r="B1" i="3" s="1"/>
  <c r="D3" i="8" l="1"/>
  <c r="G3" i="8"/>
  <c r="C3" i="8"/>
  <c r="F3" i="8"/>
  <c r="B3" i="8"/>
  <c r="E3" i="8"/>
  <c r="D2" i="8"/>
  <c r="C2" i="8"/>
  <c r="F2" i="8"/>
  <c r="B2" i="8"/>
  <c r="G2" i="8"/>
  <c r="E2" i="8"/>
  <c r="G3" i="11"/>
  <c r="F3" i="11"/>
  <c r="I3" i="11"/>
  <c r="E3" i="11"/>
  <c r="J3" i="11"/>
  <c r="H3" i="11"/>
  <c r="G2" i="11"/>
  <c r="F2" i="11"/>
  <c r="I2" i="11"/>
  <c r="E2" i="11"/>
  <c r="J2" i="11"/>
  <c r="H2" i="11"/>
  <c r="Q4" i="6"/>
  <c r="M4" i="6"/>
  <c r="L3" i="6"/>
  <c r="O2" i="6"/>
  <c r="N1" i="6"/>
  <c r="P4" i="6"/>
  <c r="O3" i="6"/>
  <c r="K3" i="6"/>
  <c r="N2" i="6"/>
  <c r="M1" i="6"/>
  <c r="O4" i="6"/>
  <c r="K4" i="6"/>
  <c r="N3" i="6"/>
  <c r="Q2" i="6"/>
  <c r="M2" i="6"/>
  <c r="P1" i="6"/>
  <c r="L1" i="6"/>
  <c r="P3" i="6"/>
  <c r="K2" i="6"/>
  <c r="L4" i="6"/>
  <c r="Q1" i="6"/>
  <c r="N4" i="6"/>
  <c r="Q3" i="6"/>
  <c r="M3" i="6"/>
  <c r="P2" i="6"/>
  <c r="L2" i="6"/>
  <c r="O1" i="6"/>
  <c r="I4" i="6"/>
  <c r="H3" i="6"/>
  <c r="D3" i="6"/>
  <c r="G2" i="6"/>
  <c r="F1" i="6"/>
  <c r="H4" i="6"/>
  <c r="D4" i="6"/>
  <c r="G3" i="6"/>
  <c r="C3" i="6"/>
  <c r="F2" i="6"/>
  <c r="I1" i="6"/>
  <c r="E1" i="6"/>
  <c r="G4" i="6"/>
  <c r="C4" i="6"/>
  <c r="F3" i="6"/>
  <c r="I2" i="6"/>
  <c r="E2" i="6"/>
  <c r="H1" i="6"/>
  <c r="D1" i="6"/>
  <c r="E4" i="6"/>
  <c r="C2" i="6"/>
  <c r="F4" i="6"/>
  <c r="I3" i="6"/>
  <c r="E3" i="6"/>
  <c r="H2" i="6"/>
  <c r="D2" i="6"/>
  <c r="G1" i="6"/>
  <c r="L4" i="3"/>
  <c r="K3" i="3"/>
  <c r="O4" i="3"/>
  <c r="P4" i="3"/>
  <c r="O3" i="3"/>
  <c r="N2" i="3"/>
  <c r="J2" i="3"/>
  <c r="M1" i="3"/>
  <c r="K4" i="3"/>
  <c r="N3" i="3"/>
  <c r="J3" i="3"/>
  <c r="M2" i="3"/>
  <c r="P1" i="3"/>
  <c r="L1" i="3"/>
  <c r="N4" i="3"/>
  <c r="J4" i="3"/>
  <c r="M3" i="3"/>
  <c r="P2" i="3"/>
  <c r="L2" i="3"/>
  <c r="O1" i="3"/>
  <c r="K1" i="3"/>
  <c r="M4" i="3"/>
  <c r="P3" i="3"/>
  <c r="L3" i="3"/>
  <c r="O2" i="3"/>
  <c r="K2" i="3"/>
  <c r="N1" i="3"/>
  <c r="H4" i="3"/>
  <c r="G3" i="3"/>
  <c r="F2" i="3"/>
  <c r="B2" i="3"/>
  <c r="G4" i="3"/>
  <c r="C4" i="3"/>
  <c r="B3" i="3"/>
  <c r="E2" i="3"/>
  <c r="D1" i="3"/>
  <c r="F4" i="3"/>
  <c r="B4" i="3"/>
  <c r="E3" i="3"/>
  <c r="H2" i="3"/>
  <c r="D2" i="3"/>
  <c r="G1" i="3"/>
  <c r="C1" i="3"/>
  <c r="D4" i="3"/>
  <c r="C3" i="3"/>
  <c r="E1" i="3"/>
  <c r="F3" i="3"/>
  <c r="H1" i="3"/>
  <c r="E4" i="3"/>
  <c r="H3" i="3"/>
  <c r="D3" i="3"/>
  <c r="G2" i="3"/>
  <c r="C2" i="3"/>
  <c r="F1" i="3"/>
  <c r="D34" i="2"/>
  <c r="C34" i="2"/>
  <c r="B34" i="2"/>
  <c r="D33" i="2"/>
  <c r="C33" i="2"/>
  <c r="B33" i="2"/>
  <c r="D32" i="2"/>
  <c r="C32" i="2"/>
  <c r="B32" i="2"/>
  <c r="C24" i="2"/>
  <c r="D24" i="2"/>
  <c r="C25" i="2"/>
  <c r="D25" i="2"/>
  <c r="C26" i="2"/>
  <c r="D26" i="2"/>
  <c r="D31" i="2" s="1"/>
  <c r="B25" i="2"/>
  <c r="B26" i="2"/>
  <c r="B31" i="2" s="1"/>
  <c r="B24" i="2"/>
  <c r="C31" i="2"/>
  <c r="C23" i="2"/>
  <c r="D23" i="2"/>
  <c r="B23" i="2"/>
  <c r="C30" i="2"/>
  <c r="D30" i="2"/>
  <c r="B30" i="2"/>
  <c r="C22" i="2"/>
  <c r="D22" i="2"/>
  <c r="B22" i="2"/>
  <c r="C29" i="2"/>
  <c r="D29" i="2"/>
  <c r="B29" i="2"/>
  <c r="C21" i="2"/>
  <c r="D21" i="2"/>
  <c r="B21" i="2"/>
  <c r="C3" i="11" l="1"/>
  <c r="B3" i="11"/>
  <c r="C2" i="11"/>
  <c r="D1" i="11" a="1"/>
  <c r="J1" i="11" s="1"/>
  <c r="B17" i="9"/>
  <c r="B7" i="9"/>
  <c r="B2" i="9" s="1"/>
  <c r="B7" i="7"/>
  <c r="C12" i="4"/>
  <c r="D12" i="4"/>
  <c r="B12" i="4"/>
  <c r="C7" i="4"/>
  <c r="C2" i="4" s="1"/>
  <c r="D7" i="4"/>
  <c r="D2" i="4" s="1"/>
  <c r="C18" i="4"/>
  <c r="D18" i="4"/>
  <c r="B7" i="4"/>
  <c r="B2" i="4" s="1"/>
  <c r="B18" i="4"/>
  <c r="G1" i="11" l="1"/>
  <c r="D1" i="11"/>
  <c r="H1" i="11"/>
  <c r="E1" i="11"/>
  <c r="I1" i="11"/>
  <c r="F1" i="11"/>
  <c r="B13" i="9"/>
  <c r="B12" i="9"/>
  <c r="B11" i="9"/>
  <c r="B2" i="7"/>
  <c r="B9" i="7" s="1"/>
  <c r="D9" i="4"/>
  <c r="C9" i="4"/>
  <c r="B9" i="4"/>
  <c r="C7" i="2"/>
  <c r="C2" i="2" s="1"/>
  <c r="D7" i="2"/>
  <c r="D2" i="2" s="1"/>
  <c r="C17" i="2"/>
  <c r="D17" i="2"/>
  <c r="B13" i="7" l="1"/>
  <c r="B14" i="7"/>
  <c r="C14" i="4"/>
  <c r="C13" i="4"/>
  <c r="B13" i="4"/>
  <c r="B14" i="4"/>
  <c r="D13" i="4"/>
  <c r="D14" i="4"/>
  <c r="D13" i="2"/>
  <c r="D12" i="2"/>
  <c r="C13" i="2"/>
  <c r="C12" i="2"/>
  <c r="D11" i="2"/>
  <c r="C11" i="2"/>
  <c r="B17" i="2"/>
  <c r="B7" i="2"/>
  <c r="B2" i="2" s="1"/>
  <c r="B12" i="7" l="1"/>
  <c r="B13" i="2"/>
  <c r="B12" i="2"/>
  <c r="B11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2" i="1"/>
  <c r="D2" i="1"/>
  <c r="C2" i="1"/>
  <c r="B2" i="1"/>
  <c r="H7" i="1"/>
  <c r="C3" i="1" s="1"/>
  <c r="H6" i="1"/>
  <c r="B27" i="1" l="1"/>
  <c r="B11" i="1"/>
  <c r="B7" i="1"/>
  <c r="B23" i="1"/>
  <c r="B3" i="1"/>
  <c r="B19" i="1"/>
  <c r="B31" i="1"/>
  <c r="B15" i="1"/>
  <c r="C34" i="1"/>
  <c r="C30" i="1"/>
  <c r="C26" i="1"/>
  <c r="C22" i="1"/>
  <c r="C18" i="1"/>
  <c r="C14" i="1"/>
  <c r="C10" i="1"/>
  <c r="C6" i="1"/>
  <c r="B6" i="1"/>
  <c r="B34" i="1"/>
  <c r="B30" i="1"/>
  <c r="B26" i="1"/>
  <c r="B22" i="1"/>
  <c r="B18" i="1"/>
  <c r="B14" i="1"/>
  <c r="B10" i="1"/>
  <c r="C33" i="1"/>
  <c r="C29" i="1"/>
  <c r="C25" i="1"/>
  <c r="C21" i="1"/>
  <c r="C17" i="1"/>
  <c r="C13" i="1"/>
  <c r="C9" i="1"/>
  <c r="C5" i="1"/>
  <c r="B5" i="1"/>
  <c r="B33" i="1"/>
  <c r="B29" i="1"/>
  <c r="B25" i="1"/>
  <c r="B21" i="1"/>
  <c r="B17" i="1"/>
  <c r="B13" i="1"/>
  <c r="B9" i="1"/>
  <c r="C32" i="1"/>
  <c r="C28" i="1"/>
  <c r="C24" i="1"/>
  <c r="C20" i="1"/>
  <c r="C16" i="1"/>
  <c r="C12" i="1"/>
  <c r="C8" i="1"/>
  <c r="C4" i="1"/>
  <c r="B4" i="1"/>
  <c r="B32" i="1"/>
  <c r="B28" i="1"/>
  <c r="B24" i="1"/>
  <c r="B20" i="1"/>
  <c r="B16" i="1"/>
  <c r="B12" i="1"/>
  <c r="B8" i="1"/>
  <c r="C31" i="1"/>
  <c r="C27" i="1"/>
  <c r="C23" i="1"/>
  <c r="C19" i="1"/>
  <c r="C15" i="1"/>
  <c r="C11" i="1"/>
  <c r="C7" i="1"/>
</calcChain>
</file>

<file path=xl/comments1.xml><?xml version="1.0" encoding="utf-8"?>
<comments xmlns="http://schemas.openxmlformats.org/spreadsheetml/2006/main">
  <authors>
    <author>Luo, Jeffery 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Luo, Jeffery S:</t>
        </r>
        <r>
          <rPr>
            <sz val="9"/>
            <color indexed="81"/>
            <rFont val="Tahoma"/>
            <family val="2"/>
          </rPr>
          <t xml:space="preserve">
Distance from center of wellbore</t>
        </r>
      </text>
    </comment>
  </commentList>
</comments>
</file>

<file path=xl/sharedStrings.xml><?xml version="1.0" encoding="utf-8"?>
<sst xmlns="http://schemas.openxmlformats.org/spreadsheetml/2006/main" count="217" uniqueCount="57">
  <si>
    <t>r [in]</t>
  </si>
  <si>
    <t>Shmin [psi]</t>
  </si>
  <si>
    <t>sigma_hmin [psi]</t>
  </si>
  <si>
    <t>sigma_Hmax [psi]</t>
  </si>
  <si>
    <t>UCS [psi]</t>
  </si>
  <si>
    <t>Pore Pressure [psi]</t>
  </si>
  <si>
    <t>Total Depth [ft]</t>
  </si>
  <si>
    <t>Seabed Depth [ft]</t>
  </si>
  <si>
    <t>Wellbore Pressure [psi]</t>
  </si>
  <si>
    <t>Wellbore Radius [in]</t>
  </si>
  <si>
    <t>SHmax [psi]</t>
  </si>
  <si>
    <t>θ [°]</t>
  </si>
  <si>
    <t>q</t>
  </si>
  <si>
    <r>
      <t>λ</t>
    </r>
    <r>
      <rPr>
        <vertAlign val="subscript"/>
        <sz val="8"/>
        <color theme="1"/>
        <rFont val="Calibri"/>
        <family val="2"/>
      </rPr>
      <t>p</t>
    </r>
  </si>
  <si>
    <t>-</t>
  </si>
  <si>
    <t>Total Depth [km]</t>
  </si>
  <si>
    <t>Seabed Depth [km]</t>
  </si>
  <si>
    <t>Pore Pressure [MPa]</t>
  </si>
  <si>
    <t>UCS [MPa]</t>
  </si>
  <si>
    <t>PwBO [MPa]</t>
  </si>
  <si>
    <t>Pwshear [MPa]</t>
  </si>
  <si>
    <t>Pb [MPa]</t>
  </si>
  <si>
    <t>μ</t>
  </si>
  <si>
    <r>
      <t>S</t>
    </r>
    <r>
      <rPr>
        <vertAlign val="subscript"/>
        <sz val="8"/>
        <color theme="1"/>
        <rFont val="Calibri"/>
        <family val="2"/>
      </rPr>
      <t>v</t>
    </r>
    <r>
      <rPr>
        <sz val="8"/>
        <color theme="1"/>
        <rFont val="Calibri"/>
        <family val="2"/>
      </rPr>
      <t xml:space="preserve"> [MPa]</t>
    </r>
  </si>
  <si>
    <r>
      <t>σ</t>
    </r>
    <r>
      <rPr>
        <vertAlign val="subscript"/>
        <sz val="8"/>
        <color theme="1"/>
        <rFont val="Calibri"/>
        <family val="2"/>
      </rPr>
      <t xml:space="preserve">v </t>
    </r>
    <r>
      <rPr>
        <sz val="8"/>
        <color theme="1"/>
        <rFont val="Calibri"/>
        <family val="2"/>
      </rPr>
      <t>[MPa]</t>
    </r>
  </si>
  <si>
    <r>
      <t>σ</t>
    </r>
    <r>
      <rPr>
        <vertAlign val="subscript"/>
        <sz val="8"/>
        <color theme="1"/>
        <rFont val="Calibri"/>
        <family val="2"/>
      </rPr>
      <t xml:space="preserve">hmin </t>
    </r>
    <r>
      <rPr>
        <sz val="8"/>
        <color theme="1"/>
        <rFont val="Calibri"/>
        <family val="2"/>
      </rPr>
      <t>[MPa]</t>
    </r>
  </si>
  <si>
    <r>
      <t>σ</t>
    </r>
    <r>
      <rPr>
        <vertAlign val="subscript"/>
        <sz val="8"/>
        <color theme="1"/>
        <rFont val="Calibri"/>
        <family val="2"/>
      </rPr>
      <t xml:space="preserve">Hmax </t>
    </r>
    <r>
      <rPr>
        <sz val="8"/>
        <color theme="1"/>
        <rFont val="Calibri"/>
        <family val="2"/>
      </rPr>
      <t>[MPa]</t>
    </r>
  </si>
  <si>
    <r>
      <t>T</t>
    </r>
    <r>
      <rPr>
        <vertAlign val="subscript"/>
        <sz val="8"/>
        <color theme="1"/>
        <rFont val="Calibri"/>
        <family val="2"/>
      </rPr>
      <t xml:space="preserve">S </t>
    </r>
    <r>
      <rPr>
        <sz val="8"/>
        <color theme="1"/>
        <rFont val="Calibri"/>
        <family val="2"/>
      </rPr>
      <t>[MPa]</t>
    </r>
  </si>
  <si>
    <r>
      <t>w</t>
    </r>
    <r>
      <rPr>
        <vertAlign val="subscript"/>
        <sz val="8"/>
        <color theme="1"/>
        <rFont val="Calibri"/>
        <family val="2"/>
      </rPr>
      <t>BO</t>
    </r>
    <r>
      <rPr>
        <sz val="8"/>
        <color theme="1"/>
        <rFont val="Calibri"/>
        <family val="2"/>
      </rPr>
      <t xml:space="preserve"> [°]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</si>
  <si>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[MPa]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</si>
  <si>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[MPa]</t>
    </r>
  </si>
  <si>
    <r>
      <t>P</t>
    </r>
    <r>
      <rPr>
        <vertAlign val="subscript"/>
        <sz val="8"/>
        <color theme="1"/>
        <rFont val="Calibri"/>
        <family val="2"/>
      </rPr>
      <t xml:space="preserve">b </t>
    </r>
    <r>
      <rPr>
        <sz val="8"/>
        <color theme="1"/>
        <rFont val="Calibri"/>
        <family val="2"/>
      </rPr>
      <t>[MPa]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</si>
  <si>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[ppg]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</si>
  <si>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[ppg]</t>
    </r>
  </si>
  <si>
    <r>
      <t>P</t>
    </r>
    <r>
      <rPr>
        <vertAlign val="subscript"/>
        <sz val="8"/>
        <color theme="1"/>
        <rFont val="Calibri"/>
        <family val="2"/>
      </rPr>
      <t>b</t>
    </r>
    <r>
      <rPr>
        <sz val="8"/>
        <color theme="1"/>
        <rFont val="Calibri"/>
        <family val="2"/>
      </rPr>
      <t xml:space="preserve"> [ppg]</t>
    </r>
  </si>
  <si>
    <r>
      <t>σ</t>
    </r>
    <r>
      <rPr>
        <vertAlign val="subscript"/>
        <sz val="8"/>
        <color theme="1"/>
        <rFont val="Calibri"/>
        <family val="2"/>
      </rPr>
      <t xml:space="preserve">v </t>
    </r>
    <r>
      <rPr>
        <sz val="8"/>
        <color theme="1"/>
        <rFont val="Calibri"/>
        <family val="2"/>
      </rPr>
      <t>[psi]</t>
    </r>
  </si>
  <si>
    <r>
      <t>σ</t>
    </r>
    <r>
      <rPr>
        <vertAlign val="subscript"/>
        <sz val="8"/>
        <color theme="1"/>
        <rFont val="Calibri"/>
        <family val="2"/>
      </rPr>
      <t xml:space="preserve">hmin </t>
    </r>
    <r>
      <rPr>
        <sz val="8"/>
        <color theme="1"/>
        <rFont val="Calibri"/>
        <family val="2"/>
      </rPr>
      <t>[psi]</t>
    </r>
  </si>
  <si>
    <r>
      <t>σ</t>
    </r>
    <r>
      <rPr>
        <vertAlign val="subscript"/>
        <sz val="8"/>
        <color theme="1"/>
        <rFont val="Calibri"/>
        <family val="2"/>
      </rPr>
      <t xml:space="preserve">Hmax </t>
    </r>
    <r>
      <rPr>
        <sz val="8"/>
        <color theme="1"/>
        <rFont val="Calibri"/>
        <family val="2"/>
      </rPr>
      <t>[psi]</t>
    </r>
  </si>
  <si>
    <r>
      <t>T</t>
    </r>
    <r>
      <rPr>
        <vertAlign val="subscript"/>
        <sz val="8"/>
        <color theme="1"/>
        <rFont val="Calibri"/>
        <family val="2"/>
      </rPr>
      <t xml:space="preserve">S </t>
    </r>
    <r>
      <rPr>
        <sz val="8"/>
        <color theme="1"/>
        <rFont val="Calibri"/>
        <family val="2"/>
      </rPr>
      <t>[psi]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</si>
  <si>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[psi]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</si>
  <si>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[psi]</t>
    </r>
  </si>
  <si>
    <r>
      <t>P</t>
    </r>
    <r>
      <rPr>
        <vertAlign val="subscript"/>
        <sz val="8"/>
        <color theme="1"/>
        <rFont val="Calibri"/>
        <family val="2"/>
      </rPr>
      <t xml:space="preserve">b </t>
    </r>
    <r>
      <rPr>
        <sz val="8"/>
        <color theme="1"/>
        <rFont val="Calibri"/>
        <family val="2"/>
      </rPr>
      <t>[psi]</t>
    </r>
  </si>
  <si>
    <r>
      <t>S</t>
    </r>
    <r>
      <rPr>
        <vertAlign val="subscript"/>
        <sz val="8"/>
        <color theme="1"/>
        <rFont val="Calibri"/>
        <family val="2"/>
      </rPr>
      <t>v</t>
    </r>
    <r>
      <rPr>
        <sz val="8"/>
        <color theme="1"/>
        <rFont val="Calibri"/>
        <family val="2"/>
      </rPr>
      <t xml:space="preserve"> [psi]</t>
    </r>
  </si>
  <si>
    <r>
      <t>S</t>
    </r>
    <r>
      <rPr>
        <vertAlign val="subscript"/>
        <sz val="8"/>
        <color theme="1"/>
        <rFont val="Calibri"/>
        <family val="2"/>
      </rPr>
      <t>hmin</t>
    </r>
    <r>
      <rPr>
        <sz val="8"/>
        <color theme="1"/>
        <rFont val="Calibri"/>
        <family val="2"/>
      </rPr>
      <t xml:space="preserve"> [psi]</t>
    </r>
  </si>
  <si>
    <r>
      <t>S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 xml:space="preserve"> [psi]</t>
    </r>
  </si>
  <si>
    <r>
      <t>σ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V</t>
    </r>
  </si>
  <si>
    <r>
      <t>σ</t>
    </r>
    <r>
      <rPr>
        <vertAlign val="subscript"/>
        <sz val="8"/>
        <color theme="1"/>
        <rFont val="Calibri"/>
        <family val="2"/>
      </rPr>
      <t>hmin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V</t>
    </r>
  </si>
  <si>
    <r>
      <t>σ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hmin</t>
    </r>
  </si>
  <si>
    <t>PwBO [ppg]</t>
  </si>
  <si>
    <t>Pwshear [ppg]</t>
  </si>
  <si>
    <t>Pb [ppg]</t>
  </si>
  <si>
    <t>wBO [°]</t>
  </si>
  <si>
    <r>
      <t>σ</t>
    </r>
    <r>
      <rPr>
        <vertAlign val="subscript"/>
        <sz val="8"/>
        <color theme="1"/>
        <rFont val="Calibri"/>
        <family val="2"/>
      </rPr>
      <t>max</t>
    </r>
  </si>
  <si>
    <r>
      <t>σ</t>
    </r>
    <r>
      <rPr>
        <vertAlign val="subscript"/>
        <sz val="8"/>
        <color theme="1"/>
        <rFont val="Calibri"/>
        <family val="2"/>
      </rPr>
      <t>min</t>
    </r>
  </si>
  <si>
    <t>Horizontal in direction of Shmin</t>
  </si>
  <si>
    <t>Horizontal in direction of SHmax</t>
  </si>
  <si>
    <t>Horizontal Well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</si>
</sst>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8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'Q1'!$B$2</c:f>
              <c:strCache>
                <c:ptCount val="1"/>
                <c:pt idx="0">
                  <c:v>σrr [psi] (0°)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'Q1'!$B$3:$B$34</c:f>
              <c:numCache>
                <c:formatCode>0</c:formatCode>
                <c:ptCount val="32"/>
                <c:pt idx="0">
                  <c:v>0</c:v>
                </c:pt>
                <c:pt idx="1">
                  <c:v>489.6</c:v>
                </c:pt>
                <c:pt idx="2">
                  <c:v>1000.0000000000001</c:v>
                </c:pt>
                <c:pt idx="3">
                  <c:v>1390.9204498125782</c:v>
                </c:pt>
                <c:pt idx="4">
                  <c:v>1678.125</c:v>
                </c:pt>
                <c:pt idx="5">
                  <c:v>1890.2606310013716</c:v>
                </c:pt>
                <c:pt idx="6">
                  <c:v>2049.6</c:v>
                </c:pt>
                <c:pt idx="7">
                  <c:v>2171.5729799877058</c:v>
                </c:pt>
                <c:pt idx="8">
                  <c:v>2266.6666666666665</c:v>
                </c:pt>
                <c:pt idx="9">
                  <c:v>2342.060852211057</c:v>
                </c:pt>
                <c:pt idx="10">
                  <c:v>2402.7488546438985</c:v>
                </c:pt>
                <c:pt idx="11">
                  <c:v>2452.2666666666664</c:v>
                </c:pt>
                <c:pt idx="12">
                  <c:v>2493.1640625</c:v>
                </c:pt>
                <c:pt idx="13">
                  <c:v>2527.3116940649656</c:v>
                </c:pt>
                <c:pt idx="14">
                  <c:v>2556.1042524005488</c:v>
                </c:pt>
                <c:pt idx="15">
                  <c:v>2580.5971409059171</c:v>
                </c:pt>
                <c:pt idx="16">
                  <c:v>2601.6</c:v>
                </c:pt>
                <c:pt idx="17">
                  <c:v>2619.7417742607249</c:v>
                </c:pt>
                <c:pt idx="18">
                  <c:v>2635.516699678984</c:v>
                </c:pt>
                <c:pt idx="19">
                  <c:v>2649.3172908901843</c:v>
                </c:pt>
                <c:pt idx="20">
                  <c:v>2661.458333333333</c:v>
                </c:pt>
                <c:pt idx="21">
                  <c:v>2672.1945599999999</c:v>
                </c:pt>
                <c:pt idx="22">
                  <c:v>2681.73383284899</c:v>
                </c:pt>
                <c:pt idx="23">
                  <c:v>2690.2470829311251</c:v>
                </c:pt>
                <c:pt idx="24">
                  <c:v>2697.8758850478966</c:v>
                </c:pt>
                <c:pt idx="25">
                  <c:v>2704.7382864801966</c:v>
                </c:pt>
                <c:pt idx="26">
                  <c:v>2710.9333333333334</c:v>
                </c:pt>
                <c:pt idx="27">
                  <c:v>2716.5446156611492</c:v>
                </c:pt>
                <c:pt idx="28">
                  <c:v>2721.64306640625</c:v>
                </c:pt>
                <c:pt idx="29">
                  <c:v>2726.2891878970017</c:v>
                </c:pt>
                <c:pt idx="30">
                  <c:v>2730.5348355503406</c:v>
                </c:pt>
                <c:pt idx="31">
                  <c:v>2734.4246563931692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DF-44AB-915F-6A495F37A38F}"/>
            </c:ext>
          </c:extLst>
        </c:ser>
        <c:ser>
          <c:idx val="2"/>
          <c:order val="1"/>
          <c:tx>
            <c:strRef>
              <c:f>'Q1'!$C$2</c:f>
              <c:strCache>
                <c:ptCount val="1"/>
                <c:pt idx="0">
                  <c:v>σθθ [psi] (0°)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'Q1'!$C$3:$C$34</c:f>
              <c:numCache>
                <c:formatCode>0</c:formatCode>
                <c:ptCount val="32"/>
                <c:pt idx="0">
                  <c:v>1100</c:v>
                </c:pt>
                <c:pt idx="1">
                  <c:v>1690.4000000000003</c:v>
                </c:pt>
                <c:pt idx="2">
                  <c:v>1766.6666666666665</c:v>
                </c:pt>
                <c:pt idx="3">
                  <c:v>1729.4877134527276</c:v>
                </c:pt>
                <c:pt idx="4">
                  <c:v>1671.875</c:v>
                </c:pt>
                <c:pt idx="5">
                  <c:v>1617.1467764060355</c:v>
                </c:pt>
                <c:pt idx="6">
                  <c:v>1570.4</c:v>
                </c:pt>
                <c:pt idx="7">
                  <c:v>1531.732805136261</c:v>
                </c:pt>
                <c:pt idx="8">
                  <c:v>1500</c:v>
                </c:pt>
                <c:pt idx="9">
                  <c:v>1473.91547914989</c:v>
                </c:pt>
                <c:pt idx="10">
                  <c:v>1452.3531861724282</c:v>
                </c:pt>
                <c:pt idx="11">
                  <c:v>1434.4</c:v>
                </c:pt>
                <c:pt idx="12">
                  <c:v>1419.3359375</c:v>
                </c:pt>
                <c:pt idx="13">
                  <c:v>1406.5983405371107</c:v>
                </c:pt>
                <c:pt idx="14">
                  <c:v>1395.7475994513034</c:v>
                </c:pt>
                <c:pt idx="15">
                  <c:v>1386.4388701744156</c:v>
                </c:pt>
                <c:pt idx="16">
                  <c:v>1378.4</c:v>
                </c:pt>
                <c:pt idx="17">
                  <c:v>1371.4146883243093</c:v>
                </c:pt>
                <c:pt idx="18">
                  <c:v>1365.3097466020076</c:v>
                </c:pt>
                <c:pt idx="19">
                  <c:v>1359.9454690342018</c:v>
                </c:pt>
                <c:pt idx="20">
                  <c:v>1355.208333333333</c:v>
                </c:pt>
                <c:pt idx="21">
                  <c:v>1351.0054399999999</c:v>
                </c:pt>
                <c:pt idx="22">
                  <c:v>1347.2602499912466</c:v>
                </c:pt>
                <c:pt idx="23">
                  <c:v>1343.9092956696979</c:v>
                </c:pt>
                <c:pt idx="24">
                  <c:v>1340.8996251561848</c:v>
                </c:pt>
                <c:pt idx="25">
                  <c:v>1338.1868026993513</c:v>
                </c:pt>
                <c:pt idx="26">
                  <c:v>1335.7333333333331</c:v>
                </c:pt>
                <c:pt idx="27">
                  <c:v>1333.5074134751676</c:v>
                </c:pt>
                <c:pt idx="28">
                  <c:v>1331.48193359375</c:v>
                </c:pt>
                <c:pt idx="29">
                  <c:v>1329.633677116773</c:v>
                </c:pt>
                <c:pt idx="30">
                  <c:v>1327.9426731001786</c:v>
                </c:pt>
                <c:pt idx="31">
                  <c:v>1326.3916701374426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DF-44AB-915F-6A495F37A38F}"/>
            </c:ext>
          </c:extLst>
        </c:ser>
        <c:ser>
          <c:idx val="3"/>
          <c:order val="2"/>
          <c:tx>
            <c:strRef>
              <c:f>'Q1'!$D$2</c:f>
              <c:strCache>
                <c:ptCount val="1"/>
                <c:pt idx="0">
                  <c:v>σrr [psi] (90°)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'Q1'!$D$3:$D$34</c:f>
              <c:numCache>
                <c:formatCode>0</c:formatCode>
                <c:ptCount val="32"/>
                <c:pt idx="0">
                  <c:v>0</c:v>
                </c:pt>
                <c:pt idx="1">
                  <c:v>986.4</c:v>
                </c:pt>
                <c:pt idx="2">
                  <c:v>1277.7777777777778</c:v>
                </c:pt>
                <c:pt idx="3">
                  <c:v>1370.3040399833403</c:v>
                </c:pt>
                <c:pt idx="4">
                  <c:v>1396.875</c:v>
                </c:pt>
                <c:pt idx="5">
                  <c:v>1399.8628257887517</c:v>
                </c:pt>
                <c:pt idx="6">
                  <c:v>1394.4</c:v>
                </c:pt>
                <c:pt idx="7">
                  <c:v>1386.2782596817158</c:v>
                </c:pt>
                <c:pt idx="8">
                  <c:v>1377.7777777777778</c:v>
                </c:pt>
                <c:pt idx="9">
                  <c:v>1369.7734673155701</c:v>
                </c:pt>
                <c:pt idx="10">
                  <c:v>1362.5572678050812</c:v>
                </c:pt>
                <c:pt idx="11">
                  <c:v>1356.1777777777779</c:v>
                </c:pt>
                <c:pt idx="12">
                  <c:v>1350.5859375</c:v>
                </c:pt>
                <c:pt idx="13">
                  <c:v>1345.698686557872</c:v>
                </c:pt>
                <c:pt idx="14">
                  <c:v>1341.4266117969821</c:v>
                </c:pt>
                <c:pt idx="15">
                  <c:v>1337.6854075705373</c:v>
                </c:pt>
                <c:pt idx="16">
                  <c:v>1334.4</c:v>
                </c:pt>
                <c:pt idx="17">
                  <c:v>1331.5053912721551</c:v>
                </c:pt>
                <c:pt idx="18">
                  <c:v>1328.9461102383718</c:v>
                </c:pt>
                <c:pt idx="19">
                  <c:v>1326.6751476731431</c:v>
                </c:pt>
                <c:pt idx="20">
                  <c:v>1324.6527777777778</c:v>
                </c:pt>
                <c:pt idx="21">
                  <c:v>1322.8454400000001</c:v>
                </c:pt>
                <c:pt idx="22">
                  <c:v>1321.224747032667</c:v>
                </c:pt>
                <c:pt idx="23">
                  <c:v>1319.7666344899999</c:v>
                </c:pt>
                <c:pt idx="24">
                  <c:v>1318.4506455643482</c:v>
                </c:pt>
                <c:pt idx="25">
                  <c:v>1317.2593353985192</c:v>
                </c:pt>
                <c:pt idx="26">
                  <c:v>1316.1777777777779</c:v>
                </c:pt>
                <c:pt idx="27">
                  <c:v>1315.1931574918167</c:v>
                </c:pt>
                <c:pt idx="28">
                  <c:v>1314.29443359375</c:v>
                </c:pt>
                <c:pt idx="29">
                  <c:v>1313.4720609551564</c:v>
                </c:pt>
                <c:pt idx="30">
                  <c:v>1312.7177596053689</c:v>
                </c:pt>
                <c:pt idx="31">
                  <c:v>1312.0243231986672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DF-44AB-915F-6A495F37A38F}"/>
            </c:ext>
          </c:extLst>
        </c:ser>
        <c:ser>
          <c:idx val="0"/>
          <c:order val="3"/>
          <c:tx>
            <c:strRef>
              <c:f>'Q1'!$E$2</c:f>
              <c:strCache>
                <c:ptCount val="1"/>
                <c:pt idx="0">
                  <c:v>σθθ [psi] (90°)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'Q1'!$E$3:$E$34</c:f>
              <c:numCache>
                <c:formatCode>0</c:formatCode>
                <c:ptCount val="32"/>
                <c:pt idx="0">
                  <c:v>7100</c:v>
                </c:pt>
                <c:pt idx="1">
                  <c:v>5033.6000000000004</c:v>
                </c:pt>
                <c:pt idx="2">
                  <c:v>4155.5555555555547</c:v>
                </c:pt>
                <c:pt idx="3">
                  <c:v>3709.2877967513532</c:v>
                </c:pt>
                <c:pt idx="4">
                  <c:v>3453.125</c:v>
                </c:pt>
                <c:pt idx="5">
                  <c:v>3292.7297668038409</c:v>
                </c:pt>
                <c:pt idx="6">
                  <c:v>3185.6</c:v>
                </c:pt>
                <c:pt idx="7">
                  <c:v>3110.4159551943176</c:v>
                </c:pt>
                <c:pt idx="8">
                  <c:v>3055.5555555555557</c:v>
                </c:pt>
                <c:pt idx="9">
                  <c:v>3014.250201323483</c:v>
                </c:pt>
                <c:pt idx="10">
                  <c:v>2982.3406913785925</c:v>
                </c:pt>
                <c:pt idx="11">
                  <c:v>2957.1555555555556</c:v>
                </c:pt>
                <c:pt idx="12">
                  <c:v>2936.9140625</c:v>
                </c:pt>
                <c:pt idx="13">
                  <c:v>2920.3912788400521</c:v>
                </c:pt>
                <c:pt idx="14">
                  <c:v>2906.7215363511659</c:v>
                </c:pt>
                <c:pt idx="15">
                  <c:v>2895.27858134913</c:v>
                </c:pt>
                <c:pt idx="16">
                  <c:v>2885.6</c:v>
                </c:pt>
                <c:pt idx="17">
                  <c:v>2877.3381461428107</c:v>
                </c:pt>
                <c:pt idx="18">
                  <c:v>2870.2274434806363</c:v>
                </c:pt>
                <c:pt idx="19">
                  <c:v>2864.0620924024715</c:v>
                </c:pt>
                <c:pt idx="20">
                  <c:v>2858.6805555555557</c:v>
                </c:pt>
                <c:pt idx="21">
                  <c:v>2853.9545600000001</c:v>
                </c:pt>
                <c:pt idx="22">
                  <c:v>2849.7811701270966</c:v>
                </c:pt>
                <c:pt idx="23">
                  <c:v>2846.0769869091773</c:v>
                </c:pt>
                <c:pt idx="24">
                  <c:v>2842.7738442315704</c:v>
                </c:pt>
                <c:pt idx="25">
                  <c:v>2839.8155754219324</c:v>
                </c:pt>
                <c:pt idx="26">
                  <c:v>2837.1555555555556</c:v>
                </c:pt>
                <c:pt idx="27">
                  <c:v>2834.7548133718674</c:v>
                </c:pt>
                <c:pt idx="28">
                  <c:v>2832.58056640625</c:v>
                </c:pt>
                <c:pt idx="29">
                  <c:v>2830.6050740310698</c:v>
                </c:pt>
                <c:pt idx="30">
                  <c:v>2828.8047317441124</c:v>
                </c:pt>
                <c:pt idx="31">
                  <c:v>2827.1593502707201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DF-44AB-915F-6A495F37A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Distance from Center of</a:t>
                </a:r>
                <a:r>
                  <a:rPr lang="en-US" baseline="0"/>
                  <a:t> Wellbore [in]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  <c:majorUnit val="5"/>
      </c:valAx>
      <c:valAx>
        <c:axId val="461557168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Stress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2627140357455316"/>
          <c:y val="4.1666666666666664E-2"/>
          <c:w val="0.83806571053618317"/>
          <c:h val="5.5667104111986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70°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PwBO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Q2_Summary!$C$2:$C$4</c:f>
              <c:numCache>
                <c:formatCode>0</c:formatCode>
                <c:ptCount val="3"/>
                <c:pt idx="0">
                  <c:v>3640</c:v>
                </c:pt>
                <c:pt idx="1">
                  <c:v>3928</c:v>
                </c:pt>
                <c:pt idx="2">
                  <c:v>4217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8-4210-AAA6-DEA7AD30AF92}"/>
            </c:ext>
          </c:extLst>
        </c:ser>
        <c:ser>
          <c:idx val="0"/>
          <c:order val="1"/>
          <c:tx>
            <c:v>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Q2_Summary!$D$2:$D$4</c:f>
              <c:numCache>
                <c:formatCode>0</c:formatCode>
                <c:ptCount val="3"/>
                <c:pt idx="0">
                  <c:v>4279</c:v>
                </c:pt>
                <c:pt idx="1">
                  <c:v>4567</c:v>
                </c:pt>
                <c:pt idx="2">
                  <c:v>4855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A8-4210-AAA6-DEA7AD30AF92}"/>
            </c:ext>
          </c:extLst>
        </c:ser>
        <c:ser>
          <c:idx val="2"/>
          <c:order val="2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Q2_Summary!$E$2:$E$4</c:f>
              <c:numCache>
                <c:formatCode>0</c:formatCode>
                <c:ptCount val="3"/>
                <c:pt idx="0">
                  <c:v>4320</c:v>
                </c:pt>
                <c:pt idx="1">
                  <c:v>3761</c:v>
                </c:pt>
                <c:pt idx="2">
                  <c:v>3202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A8-4210-AAA6-DEA7AD30A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[psi]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>
                    <a:effectLst/>
                  </a:rPr>
                  <a:t>Overpressure Parameter, λ</a:t>
                </a:r>
                <a:r>
                  <a:rPr lang="en-US" sz="1100" baseline="-25000">
                    <a:effectLst/>
                  </a:rPr>
                  <a:t>p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982788927451037E-2"/>
              <c:y val="0.2122406307809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529076893290689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PwBO = 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Q2_Summary!$K$2:$K$4</c:f>
              <c:numCache>
                <c:formatCode>0</c:formatCode>
                <c:ptCount val="3"/>
                <c:pt idx="0">
                  <c:v>4279</c:v>
                </c:pt>
                <c:pt idx="1">
                  <c:v>4567</c:v>
                </c:pt>
                <c:pt idx="2">
                  <c:v>4855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3-4341-9F50-D9134FB1C4D2}"/>
            </c:ext>
          </c:extLst>
        </c:ser>
        <c:ser>
          <c:idx val="2"/>
          <c:order val="1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Q2_Summary!$M$2:$M$4</c:f>
              <c:numCache>
                <c:formatCode>0</c:formatCode>
                <c:ptCount val="3"/>
                <c:pt idx="0">
                  <c:v>3532</c:v>
                </c:pt>
                <c:pt idx="1">
                  <c:v>2970</c:v>
                </c:pt>
                <c:pt idx="2">
                  <c:v>2409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3-4341-9F50-D9134FB1C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[psi]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>
                    <a:effectLst/>
                  </a:rPr>
                  <a:t>Overpressure Parameter, λ</a:t>
                </a:r>
                <a:r>
                  <a:rPr lang="en-US" sz="1100" baseline="-25000">
                    <a:effectLst/>
                  </a:rPr>
                  <a:t>p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982788927451037E-2"/>
              <c:y val="0.2122406307809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23546695450651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45°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PwBO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Q3_Summary!$D$2:$D$4</c:f>
              <c:numCache>
                <c:formatCode>0</c:formatCode>
                <c:ptCount val="3"/>
                <c:pt idx="0">
                  <c:v>25.6</c:v>
                </c:pt>
                <c:pt idx="1">
                  <c:v>28.1</c:v>
                </c:pt>
                <c:pt idx="2">
                  <c:v>30.6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A-4300-B288-BF04A3AE14AF}"/>
            </c:ext>
          </c:extLst>
        </c:ser>
        <c:ser>
          <c:idx val="0"/>
          <c:order val="1"/>
          <c:tx>
            <c:v>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Q3_Summary!$E$2:$E$4</c:f>
              <c:numCache>
                <c:formatCode>0</c:formatCode>
                <c:ptCount val="3"/>
                <c:pt idx="0">
                  <c:v>26.2</c:v>
                </c:pt>
                <c:pt idx="1">
                  <c:v>29.3</c:v>
                </c:pt>
                <c:pt idx="2">
                  <c:v>32.5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A-4300-B288-BF04A3AE14AF}"/>
            </c:ext>
          </c:extLst>
        </c:ser>
        <c:ser>
          <c:idx val="2"/>
          <c:order val="2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Q3_Summary!$F$2:$F$4</c:f>
              <c:numCache>
                <c:formatCode>0</c:formatCode>
                <c:ptCount val="3"/>
                <c:pt idx="0">
                  <c:v>37.700000000000003</c:v>
                </c:pt>
                <c:pt idx="1">
                  <c:v>32.5</c:v>
                </c:pt>
                <c:pt idx="2">
                  <c:v>27.4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8A-4300-B288-BF04A3AE1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[MPa]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σ</a:t>
                </a:r>
                <a:r>
                  <a:rPr lang="en-US" sz="1100" b="1" i="0" u="none" strike="noStrike" baseline="-25000">
                    <a:effectLst/>
                  </a:rPr>
                  <a:t>Hmax</a:t>
                </a:r>
                <a:r>
                  <a:rPr lang="en-US" sz="1100" b="1" i="0" u="none" strike="noStrike" baseline="0">
                    <a:effectLst/>
                  </a:rPr>
                  <a:t>/σ</a:t>
                </a:r>
                <a:r>
                  <a:rPr lang="en-US" sz="1100" b="1" i="0" u="none" strike="noStrike" baseline="-25000">
                    <a:effectLst/>
                  </a:rPr>
                  <a:t>hmin</a:t>
                </a:r>
                <a:r>
                  <a:rPr lang="en-US" sz="1100" b="1" i="0" u="none" strike="noStrike" baseline="0">
                    <a:effectLst/>
                  </a:rPr>
                  <a:t> </a:t>
                </a:r>
                <a:endParaRPr lang="en-US" sz="1100" b="1">
                  <a:effectLst/>
                </a:endParaRPr>
              </a:p>
            </c:rich>
          </c:tx>
          <c:layout>
            <c:manualLayout>
              <c:xMode val="edge"/>
              <c:yMode val="edge"/>
              <c:x val="1.8621094240128564E-2"/>
              <c:y val="0.42907228774756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529076893290689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PwBO = 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Q3_Summary!$L$2:$L$4</c:f>
              <c:numCache>
                <c:formatCode>0</c:formatCode>
                <c:ptCount val="3"/>
                <c:pt idx="0">
                  <c:v>26.2</c:v>
                </c:pt>
                <c:pt idx="1">
                  <c:v>29.3</c:v>
                </c:pt>
                <c:pt idx="2">
                  <c:v>32.5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0-4BF9-9163-77B9731A4A4D}"/>
            </c:ext>
          </c:extLst>
        </c:ser>
        <c:ser>
          <c:idx val="2"/>
          <c:order val="1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Q3_Summary!$N$2:$N$4</c:f>
              <c:numCache>
                <c:formatCode>0</c:formatCode>
                <c:ptCount val="3"/>
                <c:pt idx="0">
                  <c:v>37.700000000000003</c:v>
                </c:pt>
                <c:pt idx="1">
                  <c:v>32.5</c:v>
                </c:pt>
                <c:pt idx="2">
                  <c:v>27.4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40-4BF9-9163-77B9731A4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[MPa]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σ</a:t>
                </a:r>
                <a:r>
                  <a:rPr lang="en-US" sz="1100" b="1" i="0" baseline="-25000">
                    <a:effectLst/>
                  </a:rPr>
                  <a:t>Hmax</a:t>
                </a:r>
                <a:r>
                  <a:rPr lang="en-US" sz="1100" b="1" i="0" baseline="0">
                    <a:effectLst/>
                  </a:rPr>
                  <a:t>/σ</a:t>
                </a:r>
                <a:r>
                  <a:rPr lang="en-US" sz="1100" b="1" i="0" baseline="-25000">
                    <a:effectLst/>
                  </a:rPr>
                  <a:t>hmin</a:t>
                </a:r>
                <a:r>
                  <a:rPr lang="en-US" sz="1100" b="1" i="0" baseline="0">
                    <a:effectLst/>
                  </a:rPr>
                  <a:t> </a:t>
                </a:r>
                <a:endParaRPr lang="en-US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2.1259349186129508E-2"/>
              <c:y val="0.42907240984268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23546695450651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32494</xdr:colOff>
      <xdr:row>0</xdr:row>
      <xdr:rowOff>0</xdr:rowOff>
    </xdr:from>
    <xdr:to>
      <xdr:col>16</xdr:col>
      <xdr:colOff>82826</xdr:colOff>
      <xdr:row>12</xdr:row>
      <xdr:rowOff>2414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E18CA-0C9C-4C3A-BC9C-C61BF83EB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342" y="0"/>
          <a:ext cx="4291027" cy="1692066"/>
        </a:xfrm>
        <a:prstGeom prst="rect">
          <a:avLst/>
        </a:prstGeom>
      </xdr:spPr>
    </xdr:pic>
    <xdr:clientData/>
  </xdr:twoCellAnchor>
  <xdr:twoCellAnchor>
    <xdr:from>
      <xdr:col>6</xdr:col>
      <xdr:colOff>114685</xdr:colOff>
      <xdr:row>12</xdr:row>
      <xdr:rowOff>61482</xdr:rowOff>
    </xdr:from>
    <xdr:to>
      <xdr:col>17</xdr:col>
      <xdr:colOff>35936</xdr:colOff>
      <xdr:row>37</xdr:row>
      <xdr:rowOff>55620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395653</xdr:colOff>
      <xdr:row>0</xdr:row>
      <xdr:rowOff>0</xdr:rowOff>
    </xdr:from>
    <xdr:to>
      <xdr:col>18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9595" y="0"/>
          <a:ext cx="6809524" cy="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417634</xdr:colOff>
      <xdr:row>5</xdr:row>
      <xdr:rowOff>14654</xdr:rowOff>
    </xdr:from>
    <xdr:to>
      <xdr:col>12</xdr:col>
      <xdr:colOff>109902</xdr:colOff>
      <xdr:row>15</xdr:row>
      <xdr:rowOff>15693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1576" y="762000"/>
          <a:ext cx="3436326" cy="15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520209</xdr:colOff>
      <xdr:row>17</xdr:row>
      <xdr:rowOff>36635</xdr:rowOff>
    </xdr:from>
    <xdr:to>
      <xdr:col>12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9286" y="2542443"/>
          <a:ext cx="4015397" cy="1158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5</xdr:row>
      <xdr:rowOff>124557</xdr:rowOff>
    </xdr:from>
    <xdr:to>
      <xdr:col>9</xdr:col>
      <xdr:colOff>117230</xdr:colOff>
      <xdr:row>29</xdr:row>
      <xdr:rowOff>121881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80596</xdr:colOff>
      <xdr:row>5</xdr:row>
      <xdr:rowOff>131885</xdr:rowOff>
    </xdr:from>
    <xdr:to>
      <xdr:col>17</xdr:col>
      <xdr:colOff>512884</xdr:colOff>
      <xdr:row>29</xdr:row>
      <xdr:rowOff>129208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395653</xdr:colOff>
      <xdr:row>0</xdr:row>
      <xdr:rowOff>0</xdr:rowOff>
    </xdr:from>
    <xdr:to>
      <xdr:col>18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0803" y="0"/>
          <a:ext cx="6790474" cy="608790"/>
        </a:xfrm>
        <a:prstGeom prst="rect">
          <a:avLst/>
        </a:prstGeom>
      </xdr:spPr>
    </xdr:pic>
    <xdr:clientData/>
  </xdr:twoCellAnchor>
  <xdr:twoCellAnchor editAs="oneCell">
    <xdr:from>
      <xdr:col>5</xdr:col>
      <xdr:colOff>417634</xdr:colOff>
      <xdr:row>5</xdr:row>
      <xdr:rowOff>14654</xdr:rowOff>
    </xdr:from>
    <xdr:to>
      <xdr:col>12</xdr:col>
      <xdr:colOff>109902</xdr:colOff>
      <xdr:row>15</xdr:row>
      <xdr:rowOff>1039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2784" y="748079"/>
          <a:ext cx="3426068" cy="15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520209</xdr:colOff>
      <xdr:row>17</xdr:row>
      <xdr:rowOff>36635</xdr:rowOff>
    </xdr:from>
    <xdr:to>
      <xdr:col>12</xdr:col>
      <xdr:colOff>256683</xdr:colOff>
      <xdr:row>24</xdr:row>
      <xdr:rowOff>95738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59" y="2484560"/>
          <a:ext cx="4003674" cy="1154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5</xdr:row>
      <xdr:rowOff>124557</xdr:rowOff>
    </xdr:from>
    <xdr:to>
      <xdr:col>8</xdr:col>
      <xdr:colOff>505557</xdr:colOff>
      <xdr:row>29</xdr:row>
      <xdr:rowOff>121881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153866</xdr:colOff>
      <xdr:row>5</xdr:row>
      <xdr:rowOff>131885</xdr:rowOff>
    </xdr:from>
    <xdr:to>
      <xdr:col>17</xdr:col>
      <xdr:colOff>205154</xdr:colOff>
      <xdr:row>29</xdr:row>
      <xdr:rowOff>129208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395652</xdr:colOff>
      <xdr:row>0</xdr:row>
      <xdr:rowOff>0</xdr:rowOff>
    </xdr:from>
    <xdr:to>
      <xdr:col>16</xdr:col>
      <xdr:colOff>251926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864" y="0"/>
          <a:ext cx="6809524" cy="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417633</xdr:colOff>
      <xdr:row>5</xdr:row>
      <xdr:rowOff>14654</xdr:rowOff>
    </xdr:from>
    <xdr:to>
      <xdr:col>10</xdr:col>
      <xdr:colOff>109902</xdr:colOff>
      <xdr:row>15</xdr:row>
      <xdr:rowOff>1039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1845" y="762000"/>
          <a:ext cx="3436326" cy="1554347"/>
        </a:xfrm>
        <a:prstGeom prst="rect">
          <a:avLst/>
        </a:prstGeom>
      </xdr:spPr>
    </xdr:pic>
    <xdr:clientData/>
  </xdr:twoCellAnchor>
  <xdr:twoCellAnchor editAs="oneCell">
    <xdr:from>
      <xdr:col>2</xdr:col>
      <xdr:colOff>520209</xdr:colOff>
      <xdr:row>17</xdr:row>
      <xdr:rowOff>36635</xdr:rowOff>
    </xdr:from>
    <xdr:to>
      <xdr:col>10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9555" y="2645020"/>
          <a:ext cx="4015397" cy="1158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395653</xdr:colOff>
      <xdr:row>0</xdr:row>
      <xdr:rowOff>0</xdr:rowOff>
    </xdr:from>
    <xdr:to>
      <xdr:col>16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0803" y="0"/>
          <a:ext cx="6790474" cy="608790"/>
        </a:xfrm>
        <a:prstGeom prst="rect">
          <a:avLst/>
        </a:prstGeom>
      </xdr:spPr>
    </xdr:pic>
    <xdr:clientData/>
  </xdr:twoCellAnchor>
  <xdr:twoCellAnchor editAs="oneCell">
    <xdr:from>
      <xdr:col>3</xdr:col>
      <xdr:colOff>417634</xdr:colOff>
      <xdr:row>5</xdr:row>
      <xdr:rowOff>14654</xdr:rowOff>
    </xdr:from>
    <xdr:to>
      <xdr:col>10</xdr:col>
      <xdr:colOff>109903</xdr:colOff>
      <xdr:row>15</xdr:row>
      <xdr:rowOff>15693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2784" y="748079"/>
          <a:ext cx="3426068" cy="1544089"/>
        </a:xfrm>
        <a:prstGeom prst="rect">
          <a:avLst/>
        </a:prstGeom>
      </xdr:spPr>
    </xdr:pic>
    <xdr:clientData/>
  </xdr:twoCellAnchor>
  <xdr:twoCellAnchor editAs="oneCell">
    <xdr:from>
      <xdr:col>2</xdr:col>
      <xdr:colOff>520209</xdr:colOff>
      <xdr:row>17</xdr:row>
      <xdr:rowOff>36635</xdr:rowOff>
    </xdr:from>
    <xdr:to>
      <xdr:col>10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59" y="2598860"/>
          <a:ext cx="4003674" cy="1158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zoomScale="130" zoomScaleNormal="130" workbookViewId="0">
      <selection activeCell="C9" sqref="C9"/>
    </sheetView>
  </sheetViews>
  <sheetFormatPr defaultRowHeight="11.25" x14ac:dyDescent="0.2"/>
  <cols>
    <col min="1" max="1" width="4.6640625" style="7" bestFit="1" customWidth="1"/>
    <col min="2" max="2" width="10.1640625" style="7" bestFit="1" customWidth="1"/>
    <col min="3" max="3" width="10.83203125" style="7" bestFit="1" customWidth="1"/>
    <col min="4" max="4" width="11.1640625" style="7" bestFit="1" customWidth="1"/>
    <col min="5" max="5" width="11.83203125" style="7" bestFit="1" customWidth="1"/>
    <col min="6" max="6" width="9.33203125" style="7"/>
    <col min="7" max="7" width="19.83203125" style="7" bestFit="1" customWidth="1"/>
    <col min="8" max="16384" width="9.33203125" style="7"/>
  </cols>
  <sheetData>
    <row r="1" spans="1:8" x14ac:dyDescent="0.2">
      <c r="A1" s="7" t="s">
        <v>11</v>
      </c>
      <c r="B1" s="7">
        <v>0</v>
      </c>
      <c r="C1" s="7">
        <v>0</v>
      </c>
      <c r="D1" s="7">
        <v>90</v>
      </c>
      <c r="E1" s="7">
        <v>90</v>
      </c>
      <c r="G1" s="7" t="s">
        <v>5</v>
      </c>
      <c r="H1" s="7">
        <v>3200</v>
      </c>
    </row>
    <row r="2" spans="1:8" x14ac:dyDescent="0.2">
      <c r="A2" s="7" t="s">
        <v>0</v>
      </c>
      <c r="B2" s="7" t="str">
        <f>CONCATENATE("σrr [psi]"," (",B1,"°)")</f>
        <v>σrr [psi] (0°)</v>
      </c>
      <c r="C2" s="7" t="str">
        <f>CONCATENATE("σθθ [psi]"," (",C1,"°)")</f>
        <v>σθθ [psi] (0°)</v>
      </c>
      <c r="D2" s="7" t="str">
        <f>CONCATENATE("σrr [psi]"," (",D1,"°)")</f>
        <v>σrr [psi] (90°)</v>
      </c>
      <c r="E2" s="7" t="str">
        <f>CONCATENATE("σθθ [psi]"," (",E1,"°)")</f>
        <v>σθθ [psi] (90°)</v>
      </c>
      <c r="G2" s="7" t="s">
        <v>8</v>
      </c>
      <c r="H2" s="7">
        <v>3200</v>
      </c>
    </row>
    <row r="3" spans="1:8" x14ac:dyDescent="0.2">
      <c r="A3" s="7">
        <v>4</v>
      </c>
      <c r="B3" s="8">
        <f t="shared" ref="B3:B34" si="0">(((sigma_Hmax+sigma_hmin)/2)*(1-((a^2)/(A3^2))))+(((sigma_Hmax-sigma_hmin)/2)*(1-(4*((a^2)/(A3^2)))+(3*((a^4)/(A3^4))))*COS(RADIANS(2*$B$1)))+((Pw-Pp)*((a^2)/(A3^2)))</f>
        <v>0</v>
      </c>
      <c r="C3" s="8">
        <f t="shared" ref="C3:C34" si="1">(((sigma_Hmax+sigma_hmin)/2)*(1+((a^2)/(A3^2))))-(((sigma_Hmax-sigma_hmin)/2)*(1+(3*((a^4)/(A3^4))))*COS(RADIANS(2*$C$1)))-((Pw-Pp)*((a^2)/(A3^2)))</f>
        <v>1100</v>
      </c>
      <c r="D3" s="8">
        <f t="shared" ref="D3:D34" si="2">(((sigma_Hmax+sigma_hmin)/2)*(1-((a^2)/(A3^2))))+(((sigma_Hmax-sigma_hmin)/2)*(1-(4*((a^2)/(A3^2)))+(3*((a^4)/(A3^4))))*COS(RADIANS(2*$D$1)))+((Pw-Pp)*((a^2)/(A3^2)))</f>
        <v>0</v>
      </c>
      <c r="E3" s="8">
        <f t="shared" ref="E3:E34" si="3">(((sigma_Hmax+sigma_hmin)/2)*(1+((a^2)/(A3^2))))-(((sigma_Hmax-sigma_hmin)/2)*(1+(3*((a^4)/(A3^4))))*COS(RADIANS(2*$E$1)))-((Pw-Pp)*((a^2)/(A3^2)))</f>
        <v>7100</v>
      </c>
      <c r="G3" s="7" t="s">
        <v>9</v>
      </c>
      <c r="H3" s="7">
        <v>4</v>
      </c>
    </row>
    <row r="4" spans="1:8" x14ac:dyDescent="0.2">
      <c r="A4" s="7">
        <v>5</v>
      </c>
      <c r="B4" s="8">
        <f t="shared" si="0"/>
        <v>489.6</v>
      </c>
      <c r="C4" s="8">
        <f t="shared" si="1"/>
        <v>1690.4000000000003</v>
      </c>
      <c r="D4" s="8">
        <f t="shared" si="2"/>
        <v>986.4</v>
      </c>
      <c r="E4" s="8">
        <f t="shared" si="3"/>
        <v>5033.6000000000004</v>
      </c>
      <c r="G4" s="7" t="s">
        <v>1</v>
      </c>
      <c r="H4" s="7">
        <v>4500</v>
      </c>
    </row>
    <row r="5" spans="1:8" x14ac:dyDescent="0.2">
      <c r="A5" s="7">
        <v>6</v>
      </c>
      <c r="B5" s="8">
        <f t="shared" si="0"/>
        <v>1000.0000000000001</v>
      </c>
      <c r="C5" s="8">
        <f t="shared" si="1"/>
        <v>1766.6666666666665</v>
      </c>
      <c r="D5" s="8">
        <f t="shared" si="2"/>
        <v>1277.7777777777778</v>
      </c>
      <c r="E5" s="8">
        <f t="shared" si="3"/>
        <v>4155.5555555555547</v>
      </c>
      <c r="G5" s="7" t="s">
        <v>10</v>
      </c>
      <c r="H5" s="7">
        <v>6000</v>
      </c>
    </row>
    <row r="6" spans="1:8" x14ac:dyDescent="0.2">
      <c r="A6" s="7">
        <v>7</v>
      </c>
      <c r="B6" s="8">
        <f t="shared" si="0"/>
        <v>1390.9204498125782</v>
      </c>
      <c r="C6" s="8">
        <f t="shared" si="1"/>
        <v>1729.4877134527276</v>
      </c>
      <c r="D6" s="8">
        <f t="shared" si="2"/>
        <v>1370.3040399833403</v>
      </c>
      <c r="E6" s="8">
        <f t="shared" si="3"/>
        <v>3709.2877967513532</v>
      </c>
      <c r="G6" s="7" t="s">
        <v>2</v>
      </c>
      <c r="H6" s="7">
        <f>H4-H1</f>
        <v>1300</v>
      </c>
    </row>
    <row r="7" spans="1:8" x14ac:dyDescent="0.2">
      <c r="A7" s="7">
        <v>8</v>
      </c>
      <c r="B7" s="8">
        <f t="shared" si="0"/>
        <v>1678.125</v>
      </c>
      <c r="C7" s="8">
        <f t="shared" si="1"/>
        <v>1671.875</v>
      </c>
      <c r="D7" s="8">
        <f t="shared" si="2"/>
        <v>1396.875</v>
      </c>
      <c r="E7" s="8">
        <f t="shared" si="3"/>
        <v>3453.125</v>
      </c>
      <c r="G7" s="7" t="s">
        <v>3</v>
      </c>
      <c r="H7" s="7">
        <f>H5-H1</f>
        <v>2800</v>
      </c>
    </row>
    <row r="8" spans="1:8" x14ac:dyDescent="0.2">
      <c r="A8" s="7">
        <v>9</v>
      </c>
      <c r="B8" s="8">
        <f t="shared" si="0"/>
        <v>1890.2606310013716</v>
      </c>
      <c r="C8" s="8">
        <f t="shared" si="1"/>
        <v>1617.1467764060355</v>
      </c>
      <c r="D8" s="8">
        <f t="shared" si="2"/>
        <v>1399.8628257887517</v>
      </c>
      <c r="E8" s="8">
        <f t="shared" si="3"/>
        <v>3292.7297668038409</v>
      </c>
    </row>
    <row r="9" spans="1:8" x14ac:dyDescent="0.2">
      <c r="A9" s="7">
        <v>10</v>
      </c>
      <c r="B9" s="8">
        <f t="shared" si="0"/>
        <v>2049.6</v>
      </c>
      <c r="C9" s="8">
        <f t="shared" si="1"/>
        <v>1570.4</v>
      </c>
      <c r="D9" s="8">
        <f t="shared" si="2"/>
        <v>1394.4</v>
      </c>
      <c r="E9" s="8">
        <f t="shared" si="3"/>
        <v>3185.6</v>
      </c>
    </row>
    <row r="10" spans="1:8" x14ac:dyDescent="0.2">
      <c r="A10" s="7">
        <v>11</v>
      </c>
      <c r="B10" s="8">
        <f t="shared" si="0"/>
        <v>2171.5729799877058</v>
      </c>
      <c r="C10" s="8">
        <f t="shared" si="1"/>
        <v>1531.732805136261</v>
      </c>
      <c r="D10" s="8">
        <f t="shared" si="2"/>
        <v>1386.2782596817158</v>
      </c>
      <c r="E10" s="8">
        <f t="shared" si="3"/>
        <v>3110.4159551943176</v>
      </c>
    </row>
    <row r="11" spans="1:8" x14ac:dyDescent="0.2">
      <c r="A11" s="7">
        <v>12</v>
      </c>
      <c r="B11" s="8">
        <f t="shared" si="0"/>
        <v>2266.6666666666665</v>
      </c>
      <c r="C11" s="8">
        <f t="shared" si="1"/>
        <v>1500</v>
      </c>
      <c r="D11" s="8">
        <f t="shared" si="2"/>
        <v>1377.7777777777778</v>
      </c>
      <c r="E11" s="8">
        <f t="shared" si="3"/>
        <v>3055.5555555555557</v>
      </c>
    </row>
    <row r="12" spans="1:8" x14ac:dyDescent="0.2">
      <c r="A12" s="7">
        <v>13</v>
      </c>
      <c r="B12" s="8">
        <f t="shared" si="0"/>
        <v>2342.060852211057</v>
      </c>
      <c r="C12" s="8">
        <f t="shared" si="1"/>
        <v>1473.91547914989</v>
      </c>
      <c r="D12" s="8">
        <f t="shared" si="2"/>
        <v>1369.7734673155701</v>
      </c>
      <c r="E12" s="8">
        <f t="shared" si="3"/>
        <v>3014.250201323483</v>
      </c>
    </row>
    <row r="13" spans="1:8" x14ac:dyDescent="0.2">
      <c r="A13" s="7">
        <v>14</v>
      </c>
      <c r="B13" s="8">
        <f t="shared" si="0"/>
        <v>2402.7488546438985</v>
      </c>
      <c r="C13" s="8">
        <f t="shared" si="1"/>
        <v>1452.3531861724282</v>
      </c>
      <c r="D13" s="8">
        <f t="shared" si="2"/>
        <v>1362.5572678050812</v>
      </c>
      <c r="E13" s="8">
        <f t="shared" si="3"/>
        <v>2982.3406913785925</v>
      </c>
    </row>
    <row r="14" spans="1:8" x14ac:dyDescent="0.2">
      <c r="A14" s="7">
        <v>15</v>
      </c>
      <c r="B14" s="8">
        <f t="shared" si="0"/>
        <v>2452.2666666666664</v>
      </c>
      <c r="C14" s="8">
        <f t="shared" si="1"/>
        <v>1434.4</v>
      </c>
      <c r="D14" s="8">
        <f t="shared" si="2"/>
        <v>1356.1777777777779</v>
      </c>
      <c r="E14" s="8">
        <f t="shared" si="3"/>
        <v>2957.1555555555556</v>
      </c>
    </row>
    <row r="15" spans="1:8" x14ac:dyDescent="0.2">
      <c r="A15" s="7">
        <v>16</v>
      </c>
      <c r="B15" s="8">
        <f t="shared" si="0"/>
        <v>2493.1640625</v>
      </c>
      <c r="C15" s="8">
        <f t="shared" si="1"/>
        <v>1419.3359375</v>
      </c>
      <c r="D15" s="8">
        <f t="shared" si="2"/>
        <v>1350.5859375</v>
      </c>
      <c r="E15" s="8">
        <f t="shared" si="3"/>
        <v>2936.9140625</v>
      </c>
    </row>
    <row r="16" spans="1:8" x14ac:dyDescent="0.2">
      <c r="A16" s="7">
        <v>17</v>
      </c>
      <c r="B16" s="8">
        <f t="shared" si="0"/>
        <v>2527.3116940649656</v>
      </c>
      <c r="C16" s="8">
        <f t="shared" si="1"/>
        <v>1406.5983405371107</v>
      </c>
      <c r="D16" s="8">
        <f t="shared" si="2"/>
        <v>1345.698686557872</v>
      </c>
      <c r="E16" s="8">
        <f t="shared" si="3"/>
        <v>2920.3912788400521</v>
      </c>
    </row>
    <row r="17" spans="1:5" x14ac:dyDescent="0.2">
      <c r="A17" s="7">
        <v>18</v>
      </c>
      <c r="B17" s="8">
        <f t="shared" si="0"/>
        <v>2556.1042524005488</v>
      </c>
      <c r="C17" s="8">
        <f t="shared" si="1"/>
        <v>1395.7475994513034</v>
      </c>
      <c r="D17" s="8">
        <f t="shared" si="2"/>
        <v>1341.4266117969821</v>
      </c>
      <c r="E17" s="8">
        <f t="shared" si="3"/>
        <v>2906.7215363511659</v>
      </c>
    </row>
    <row r="18" spans="1:5" x14ac:dyDescent="0.2">
      <c r="A18" s="7">
        <v>19</v>
      </c>
      <c r="B18" s="8">
        <f t="shared" si="0"/>
        <v>2580.5971409059171</v>
      </c>
      <c r="C18" s="8">
        <f t="shared" si="1"/>
        <v>1386.4388701744156</v>
      </c>
      <c r="D18" s="8">
        <f t="shared" si="2"/>
        <v>1337.6854075705373</v>
      </c>
      <c r="E18" s="8">
        <f t="shared" si="3"/>
        <v>2895.27858134913</v>
      </c>
    </row>
    <row r="19" spans="1:5" x14ac:dyDescent="0.2">
      <c r="A19" s="7">
        <v>20</v>
      </c>
      <c r="B19" s="8">
        <f t="shared" si="0"/>
        <v>2601.6</v>
      </c>
      <c r="C19" s="8">
        <f t="shared" si="1"/>
        <v>1378.4</v>
      </c>
      <c r="D19" s="8">
        <f t="shared" si="2"/>
        <v>1334.4</v>
      </c>
      <c r="E19" s="8">
        <f t="shared" si="3"/>
        <v>2885.6</v>
      </c>
    </row>
    <row r="20" spans="1:5" x14ac:dyDescent="0.2">
      <c r="A20" s="7">
        <v>21</v>
      </c>
      <c r="B20" s="8">
        <f t="shared" si="0"/>
        <v>2619.7417742607249</v>
      </c>
      <c r="C20" s="8">
        <f t="shared" si="1"/>
        <v>1371.4146883243093</v>
      </c>
      <c r="D20" s="8">
        <f t="shared" si="2"/>
        <v>1331.5053912721551</v>
      </c>
      <c r="E20" s="8">
        <f t="shared" si="3"/>
        <v>2877.3381461428107</v>
      </c>
    </row>
    <row r="21" spans="1:5" x14ac:dyDescent="0.2">
      <c r="A21" s="7">
        <v>22</v>
      </c>
      <c r="B21" s="8">
        <f t="shared" si="0"/>
        <v>2635.516699678984</v>
      </c>
      <c r="C21" s="8">
        <f t="shared" si="1"/>
        <v>1365.3097466020076</v>
      </c>
      <c r="D21" s="8">
        <f t="shared" si="2"/>
        <v>1328.9461102383718</v>
      </c>
      <c r="E21" s="8">
        <f t="shared" si="3"/>
        <v>2870.2274434806363</v>
      </c>
    </row>
    <row r="22" spans="1:5" x14ac:dyDescent="0.2">
      <c r="A22" s="7">
        <v>23</v>
      </c>
      <c r="B22" s="8">
        <f t="shared" si="0"/>
        <v>2649.3172908901843</v>
      </c>
      <c r="C22" s="8">
        <f t="shared" si="1"/>
        <v>1359.9454690342018</v>
      </c>
      <c r="D22" s="8">
        <f t="shared" si="2"/>
        <v>1326.6751476731431</v>
      </c>
      <c r="E22" s="8">
        <f t="shared" si="3"/>
        <v>2864.0620924024715</v>
      </c>
    </row>
    <row r="23" spans="1:5" x14ac:dyDescent="0.2">
      <c r="A23" s="7">
        <v>24</v>
      </c>
      <c r="B23" s="8">
        <f t="shared" si="0"/>
        <v>2661.458333333333</v>
      </c>
      <c r="C23" s="8">
        <f t="shared" si="1"/>
        <v>1355.208333333333</v>
      </c>
      <c r="D23" s="8">
        <f t="shared" si="2"/>
        <v>1324.6527777777778</v>
      </c>
      <c r="E23" s="8">
        <f t="shared" si="3"/>
        <v>2858.6805555555557</v>
      </c>
    </row>
    <row r="24" spans="1:5" x14ac:dyDescent="0.2">
      <c r="A24" s="7">
        <v>25</v>
      </c>
      <c r="B24" s="8">
        <f t="shared" si="0"/>
        <v>2672.1945599999999</v>
      </c>
      <c r="C24" s="8">
        <f t="shared" si="1"/>
        <v>1351.0054399999999</v>
      </c>
      <c r="D24" s="8">
        <f t="shared" si="2"/>
        <v>1322.8454400000001</v>
      </c>
      <c r="E24" s="8">
        <f t="shared" si="3"/>
        <v>2853.9545600000001</v>
      </c>
    </row>
    <row r="25" spans="1:5" x14ac:dyDescent="0.2">
      <c r="A25" s="7">
        <v>26</v>
      </c>
      <c r="B25" s="8">
        <f t="shared" si="0"/>
        <v>2681.73383284899</v>
      </c>
      <c r="C25" s="8">
        <f t="shared" si="1"/>
        <v>1347.2602499912466</v>
      </c>
      <c r="D25" s="8">
        <f t="shared" si="2"/>
        <v>1321.224747032667</v>
      </c>
      <c r="E25" s="8">
        <f t="shared" si="3"/>
        <v>2849.7811701270966</v>
      </c>
    </row>
    <row r="26" spans="1:5" x14ac:dyDescent="0.2">
      <c r="A26" s="7">
        <v>27</v>
      </c>
      <c r="B26" s="8">
        <f t="shared" si="0"/>
        <v>2690.2470829311251</v>
      </c>
      <c r="C26" s="8">
        <f t="shared" si="1"/>
        <v>1343.9092956696979</v>
      </c>
      <c r="D26" s="8">
        <f t="shared" si="2"/>
        <v>1319.7666344899999</v>
      </c>
      <c r="E26" s="8">
        <f t="shared" si="3"/>
        <v>2846.0769869091773</v>
      </c>
    </row>
    <row r="27" spans="1:5" x14ac:dyDescent="0.2">
      <c r="A27" s="7">
        <v>28</v>
      </c>
      <c r="B27" s="8">
        <f t="shared" si="0"/>
        <v>2697.8758850478966</v>
      </c>
      <c r="C27" s="8">
        <f t="shared" si="1"/>
        <v>1340.8996251561848</v>
      </c>
      <c r="D27" s="8">
        <f t="shared" si="2"/>
        <v>1318.4506455643482</v>
      </c>
      <c r="E27" s="8">
        <f t="shared" si="3"/>
        <v>2842.7738442315704</v>
      </c>
    </row>
    <row r="28" spans="1:5" x14ac:dyDescent="0.2">
      <c r="A28" s="7">
        <v>29</v>
      </c>
      <c r="B28" s="8">
        <f t="shared" si="0"/>
        <v>2704.7382864801966</v>
      </c>
      <c r="C28" s="8">
        <f t="shared" si="1"/>
        <v>1338.1868026993513</v>
      </c>
      <c r="D28" s="8">
        <f t="shared" si="2"/>
        <v>1317.2593353985192</v>
      </c>
      <c r="E28" s="8">
        <f t="shared" si="3"/>
        <v>2839.8155754219324</v>
      </c>
    </row>
    <row r="29" spans="1:5" x14ac:dyDescent="0.2">
      <c r="A29" s="7">
        <v>30</v>
      </c>
      <c r="B29" s="8">
        <f t="shared" si="0"/>
        <v>2710.9333333333334</v>
      </c>
      <c r="C29" s="8">
        <f t="shared" si="1"/>
        <v>1335.7333333333331</v>
      </c>
      <c r="D29" s="8">
        <f t="shared" si="2"/>
        <v>1316.1777777777779</v>
      </c>
      <c r="E29" s="8">
        <f t="shared" si="3"/>
        <v>2837.1555555555556</v>
      </c>
    </row>
    <row r="30" spans="1:5" x14ac:dyDescent="0.2">
      <c r="A30" s="7">
        <v>31</v>
      </c>
      <c r="B30" s="8">
        <f t="shared" si="0"/>
        <v>2716.5446156611492</v>
      </c>
      <c r="C30" s="8">
        <f t="shared" si="1"/>
        <v>1333.5074134751676</v>
      </c>
      <c r="D30" s="8">
        <f t="shared" si="2"/>
        <v>1315.1931574918167</v>
      </c>
      <c r="E30" s="8">
        <f t="shared" si="3"/>
        <v>2834.7548133718674</v>
      </c>
    </row>
    <row r="31" spans="1:5" x14ac:dyDescent="0.2">
      <c r="A31" s="7">
        <v>32</v>
      </c>
      <c r="B31" s="8">
        <f t="shared" si="0"/>
        <v>2721.64306640625</v>
      </c>
      <c r="C31" s="8">
        <f t="shared" si="1"/>
        <v>1331.48193359375</v>
      </c>
      <c r="D31" s="8">
        <f t="shared" si="2"/>
        <v>1314.29443359375</v>
      </c>
      <c r="E31" s="8">
        <f t="shared" si="3"/>
        <v>2832.58056640625</v>
      </c>
    </row>
    <row r="32" spans="1:5" x14ac:dyDescent="0.2">
      <c r="A32" s="7">
        <v>33</v>
      </c>
      <c r="B32" s="8">
        <f t="shared" si="0"/>
        <v>2726.2891878970017</v>
      </c>
      <c r="C32" s="8">
        <f t="shared" si="1"/>
        <v>1329.633677116773</v>
      </c>
      <c r="D32" s="8">
        <f t="shared" si="2"/>
        <v>1313.4720609551564</v>
      </c>
      <c r="E32" s="8">
        <f t="shared" si="3"/>
        <v>2830.6050740310698</v>
      </c>
    </row>
    <row r="33" spans="1:5" x14ac:dyDescent="0.2">
      <c r="A33" s="7">
        <v>34</v>
      </c>
      <c r="B33" s="8">
        <f t="shared" si="0"/>
        <v>2730.5348355503406</v>
      </c>
      <c r="C33" s="8">
        <f t="shared" si="1"/>
        <v>1327.9426731001786</v>
      </c>
      <c r="D33" s="8">
        <f t="shared" si="2"/>
        <v>1312.7177596053689</v>
      </c>
      <c r="E33" s="8">
        <f t="shared" si="3"/>
        <v>2828.8047317441124</v>
      </c>
    </row>
    <row r="34" spans="1:5" x14ac:dyDescent="0.2">
      <c r="A34" s="7">
        <v>35</v>
      </c>
      <c r="B34" s="8">
        <f t="shared" si="0"/>
        <v>2734.4246563931692</v>
      </c>
      <c r="C34" s="8">
        <f t="shared" si="1"/>
        <v>1326.3916701374426</v>
      </c>
      <c r="D34" s="8">
        <f t="shared" si="2"/>
        <v>1312.0243231986672</v>
      </c>
      <c r="E34" s="8">
        <f t="shared" si="3"/>
        <v>2827.1593502707201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0" zoomScaleNormal="130" workbookViewId="0">
      <selection activeCell="F33" sqref="F33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0.44</v>
      </c>
      <c r="C1" s="2">
        <v>0.52</v>
      </c>
      <c r="D1" s="2">
        <v>0.6</v>
      </c>
    </row>
    <row r="2" spans="1:4" x14ac:dyDescent="0.2">
      <c r="A2" s="2" t="s">
        <v>5</v>
      </c>
      <c r="B2" s="2">
        <f>B7*B1</f>
        <v>3080</v>
      </c>
      <c r="C2" s="2">
        <f t="shared" ref="C2:D2" si="0">C7*C1</f>
        <v>3640</v>
      </c>
      <c r="D2" s="2">
        <f t="shared" si="0"/>
        <v>4200</v>
      </c>
    </row>
    <row r="3" spans="1:4" x14ac:dyDescent="0.2">
      <c r="A3" s="2" t="s">
        <v>14</v>
      </c>
      <c r="B3" s="2" t="s">
        <v>14</v>
      </c>
      <c r="C3" s="2" t="s">
        <v>14</v>
      </c>
      <c r="D3" s="2" t="s">
        <v>14</v>
      </c>
    </row>
    <row r="4" spans="1:4" x14ac:dyDescent="0.2">
      <c r="A4" s="2" t="s">
        <v>6</v>
      </c>
      <c r="B4" s="2">
        <v>7000</v>
      </c>
      <c r="C4" s="2">
        <v>7000</v>
      </c>
      <c r="D4" s="2">
        <v>7000</v>
      </c>
    </row>
    <row r="5" spans="1:4" x14ac:dyDescent="0.2">
      <c r="A5" s="2" t="s">
        <v>7</v>
      </c>
      <c r="B5" s="2">
        <v>0</v>
      </c>
      <c r="C5" s="2">
        <v>0</v>
      </c>
      <c r="D5" s="2">
        <v>0</v>
      </c>
    </row>
    <row r="6" spans="1:4" x14ac:dyDescent="0.2">
      <c r="A6" s="2" t="s">
        <v>14</v>
      </c>
      <c r="B6" s="2" t="s">
        <v>14</v>
      </c>
      <c r="C6" s="2" t="s">
        <v>14</v>
      </c>
      <c r="D6" s="2" t="s">
        <v>14</v>
      </c>
    </row>
    <row r="7" spans="1:4" ht="12.75" x14ac:dyDescent="0.2">
      <c r="A7" s="2" t="s">
        <v>42</v>
      </c>
      <c r="B7" s="2">
        <f>B4*1</f>
        <v>7000</v>
      </c>
      <c r="C7" s="2">
        <f t="shared" ref="C7:D7" si="1">C4*1</f>
        <v>7000</v>
      </c>
      <c r="D7" s="2">
        <f t="shared" si="1"/>
        <v>7000</v>
      </c>
    </row>
    <row r="8" spans="1:4" ht="12.75" x14ac:dyDescent="0.2">
      <c r="A8" s="2" t="s">
        <v>43</v>
      </c>
      <c r="B8" s="2">
        <v>4300</v>
      </c>
      <c r="C8" s="2">
        <v>4300</v>
      </c>
      <c r="D8" s="2">
        <v>4300</v>
      </c>
    </row>
    <row r="9" spans="1:4" ht="12.75" x14ac:dyDescent="0.2">
      <c r="A9" s="2" t="s">
        <v>44</v>
      </c>
      <c r="B9" s="2">
        <v>6300</v>
      </c>
      <c r="C9" s="2">
        <v>6300</v>
      </c>
      <c r="D9" s="2">
        <v>6300</v>
      </c>
    </row>
    <row r="10" spans="1:4" x14ac:dyDescent="0.2">
      <c r="A10" s="2" t="s">
        <v>14</v>
      </c>
      <c r="B10" s="2" t="s">
        <v>14</v>
      </c>
      <c r="C10" s="2" t="s">
        <v>14</v>
      </c>
      <c r="D10" s="2" t="s">
        <v>14</v>
      </c>
    </row>
    <row r="11" spans="1:4" ht="12.75" x14ac:dyDescent="0.2">
      <c r="A11" s="2" t="s">
        <v>35</v>
      </c>
      <c r="B11" s="2">
        <f>B7-B2</f>
        <v>3920</v>
      </c>
      <c r="C11" s="2">
        <f t="shared" ref="C11:D11" si="2">C7-C2</f>
        <v>3360</v>
      </c>
      <c r="D11" s="2">
        <f t="shared" si="2"/>
        <v>2800</v>
      </c>
    </row>
    <row r="12" spans="1:4" ht="12.75" x14ac:dyDescent="0.2">
      <c r="A12" s="2" t="s">
        <v>36</v>
      </c>
      <c r="B12" s="2">
        <f>B8-B2</f>
        <v>1220</v>
      </c>
      <c r="C12" s="2">
        <f t="shared" ref="C12:D12" si="3">C8-C2</f>
        <v>660</v>
      </c>
      <c r="D12" s="2">
        <f t="shared" si="3"/>
        <v>100</v>
      </c>
    </row>
    <row r="13" spans="1:4" ht="12.75" x14ac:dyDescent="0.2">
      <c r="A13" s="2" t="s">
        <v>37</v>
      </c>
      <c r="B13" s="2">
        <f>B9-B2</f>
        <v>3220</v>
      </c>
      <c r="C13" s="2">
        <f t="shared" ref="C13:D13" si="4">C9-C2</f>
        <v>2660</v>
      </c>
      <c r="D13" s="2">
        <f t="shared" si="4"/>
        <v>2100</v>
      </c>
    </row>
    <row r="14" spans="1:4" x14ac:dyDescent="0.2">
      <c r="A14" s="2" t="s">
        <v>14</v>
      </c>
      <c r="B14" s="2" t="s">
        <v>14</v>
      </c>
      <c r="C14" s="2" t="s">
        <v>14</v>
      </c>
      <c r="D14" s="2" t="s">
        <v>14</v>
      </c>
    </row>
    <row r="15" spans="1:4" x14ac:dyDescent="0.2">
      <c r="A15" s="2" t="s">
        <v>4</v>
      </c>
      <c r="B15" s="2">
        <v>3500</v>
      </c>
      <c r="C15" s="2">
        <v>3500</v>
      </c>
      <c r="D15" s="2">
        <v>3500</v>
      </c>
    </row>
    <row r="16" spans="1:4" x14ac:dyDescent="0.2">
      <c r="A16" s="2" t="s">
        <v>22</v>
      </c>
      <c r="B16" s="2">
        <v>0.6</v>
      </c>
      <c r="C16" s="2">
        <v>0.6</v>
      </c>
      <c r="D16" s="2">
        <v>0.6</v>
      </c>
    </row>
    <row r="17" spans="1:4" x14ac:dyDescent="0.2">
      <c r="A17" s="2" t="s">
        <v>12</v>
      </c>
      <c r="B17" s="3">
        <f>(SQRT(B16^2+1)+B16)^2</f>
        <v>3.1194284547628719</v>
      </c>
      <c r="C17" s="3">
        <f t="shared" ref="C17:D17" si="5">(SQRT(C16^2+1)+C16)^2</f>
        <v>3.1194284547628719</v>
      </c>
      <c r="D17" s="3">
        <f t="shared" si="5"/>
        <v>3.1194284547628719</v>
      </c>
    </row>
    <row r="18" spans="1:4" ht="12.75" x14ac:dyDescent="0.2">
      <c r="A18" s="2" t="s">
        <v>38</v>
      </c>
      <c r="B18" s="2">
        <v>800</v>
      </c>
      <c r="C18" s="2">
        <v>801</v>
      </c>
      <c r="D18" s="2">
        <v>802</v>
      </c>
    </row>
    <row r="19" spans="1:4" x14ac:dyDescent="0.2">
      <c r="A19" s="2" t="s">
        <v>14</v>
      </c>
      <c r="B19" s="2" t="s">
        <v>14</v>
      </c>
      <c r="C19" s="2" t="s">
        <v>14</v>
      </c>
      <c r="D19" s="2" t="s">
        <v>14</v>
      </c>
    </row>
    <row r="20" spans="1:4" ht="12.75" x14ac:dyDescent="0.2">
      <c r="A20" s="2" t="s">
        <v>28</v>
      </c>
      <c r="B20" s="2">
        <v>70</v>
      </c>
      <c r="C20" s="2">
        <v>70</v>
      </c>
      <c r="D20" s="2">
        <v>70</v>
      </c>
    </row>
    <row r="21" spans="1:4" ht="12.75" x14ac:dyDescent="0.2">
      <c r="A21" s="2" t="s">
        <v>39</v>
      </c>
      <c r="B21" s="4">
        <f>ROUND(B2+((B13+B12)-((2*(B13-B12))*COS(RADIANS(180-B20)))-B15)/(1+B17),0)</f>
        <v>3640</v>
      </c>
      <c r="C21" s="4">
        <f t="shared" ref="C21:D21" si="6">ROUND(C2+((C13+C12)-((2*(C13-C12))*COS(RADIANS(180-C20)))-C15)/(1+C17),0)</f>
        <v>3928</v>
      </c>
      <c r="D21" s="4">
        <f t="shared" si="6"/>
        <v>4217</v>
      </c>
    </row>
    <row r="22" spans="1:4" ht="12.75" x14ac:dyDescent="0.2">
      <c r="A22" s="2" t="s">
        <v>40</v>
      </c>
      <c r="B22" s="4">
        <f>ROUND(B2+((3*B13)-B12-B15)/(1+B17),0)</f>
        <v>4279</v>
      </c>
      <c r="C22" s="4">
        <f t="shared" ref="C22:D22" si="7">ROUND(C2+((3*C13)-C12-C15)/(1+C17),0)</f>
        <v>4567</v>
      </c>
      <c r="D22" s="4">
        <f t="shared" si="7"/>
        <v>4855</v>
      </c>
    </row>
    <row r="23" spans="1:4" ht="12.75" x14ac:dyDescent="0.2">
      <c r="A23" s="2" t="s">
        <v>41</v>
      </c>
      <c r="B23" s="2">
        <f>ROUND(B2+(3*B12)-B13+B18,0)</f>
        <v>4320</v>
      </c>
      <c r="C23" s="2">
        <f t="shared" ref="C23:D23" si="8">ROUND(C2+(3*C12)-C13+C18,0)</f>
        <v>3761</v>
      </c>
      <c r="D23" s="2">
        <f t="shared" si="8"/>
        <v>3202</v>
      </c>
    </row>
    <row r="24" spans="1:4" ht="12.75" x14ac:dyDescent="0.2">
      <c r="A24" s="2" t="s">
        <v>32</v>
      </c>
      <c r="B24" s="9">
        <f>ROUND(B21/0.052/B$4,1)</f>
        <v>10</v>
      </c>
      <c r="C24" s="9">
        <f t="shared" ref="C24:D24" si="9">ROUND(C21/0.052/C$4,1)</f>
        <v>10.8</v>
      </c>
      <c r="D24" s="9">
        <f t="shared" si="9"/>
        <v>11.6</v>
      </c>
    </row>
    <row r="25" spans="1:4" ht="12.75" x14ac:dyDescent="0.2">
      <c r="A25" s="2" t="s">
        <v>33</v>
      </c>
      <c r="B25" s="9">
        <f t="shared" ref="B25:D26" si="10">ROUND(B22/0.052/B$4,1)</f>
        <v>11.8</v>
      </c>
      <c r="C25" s="9">
        <f t="shared" si="10"/>
        <v>12.5</v>
      </c>
      <c r="D25" s="9">
        <f t="shared" si="10"/>
        <v>13.3</v>
      </c>
    </row>
    <row r="26" spans="1:4" ht="12.75" x14ac:dyDescent="0.2">
      <c r="A26" s="2" t="s">
        <v>34</v>
      </c>
      <c r="B26" s="9">
        <f t="shared" si="10"/>
        <v>11.9</v>
      </c>
      <c r="C26" s="9">
        <f t="shared" si="10"/>
        <v>10.3</v>
      </c>
      <c r="D26" s="9">
        <f t="shared" si="10"/>
        <v>8.8000000000000007</v>
      </c>
    </row>
    <row r="27" spans="1:4" x14ac:dyDescent="0.2">
      <c r="A27" s="2" t="s">
        <v>14</v>
      </c>
      <c r="B27" s="2" t="s">
        <v>14</v>
      </c>
      <c r="C27" s="2" t="s">
        <v>14</v>
      </c>
      <c r="D27" s="2" t="s">
        <v>14</v>
      </c>
    </row>
    <row r="28" spans="1:4" ht="12.75" x14ac:dyDescent="0.2">
      <c r="A28" s="2" t="s">
        <v>28</v>
      </c>
      <c r="B28" s="2">
        <v>0</v>
      </c>
      <c r="C28" s="2">
        <v>0</v>
      </c>
      <c r="D28" s="2">
        <v>0</v>
      </c>
    </row>
    <row r="29" spans="1:4" ht="12.75" x14ac:dyDescent="0.2">
      <c r="A29" s="2" t="s">
        <v>39</v>
      </c>
      <c r="B29" s="4">
        <f>ROUND(B2+((B13+B12)-((2*(B13-B12))*COS(RADIANS(180-B28)))-B15)/(1+B17),0)</f>
        <v>4279</v>
      </c>
      <c r="C29" s="4">
        <f t="shared" ref="C29:D29" si="11">ROUND(C2+((C13+C12)-((2*(C13-C12))*COS(RADIANS(180-C28)))-C15)/(1+C17),0)</f>
        <v>4567</v>
      </c>
      <c r="D29" s="4">
        <f t="shared" si="11"/>
        <v>4855</v>
      </c>
    </row>
    <row r="30" spans="1:4" ht="12.75" x14ac:dyDescent="0.2">
      <c r="A30" s="2" t="s">
        <v>40</v>
      </c>
      <c r="B30" s="4">
        <f>ROUND(B2+((3*B13)-B12-B15)/(1+B17),0)</f>
        <v>4279</v>
      </c>
      <c r="C30" s="4">
        <f t="shared" ref="C30:D30" si="12">ROUND(C2+((3*C13)-C12-C15)/(1+C17),0)</f>
        <v>4567</v>
      </c>
      <c r="D30" s="4">
        <f t="shared" si="12"/>
        <v>4855</v>
      </c>
    </row>
    <row r="31" spans="1:4" ht="12.75" x14ac:dyDescent="0.2">
      <c r="A31" s="2" t="s">
        <v>41</v>
      </c>
      <c r="B31" s="4">
        <f>ROUND(B2+(3*B12)-B13+B26,0)</f>
        <v>3532</v>
      </c>
      <c r="C31" s="4">
        <f t="shared" ref="C31:D31" si="13">ROUND(C2+(3*C12)-C13+C26,0)</f>
        <v>2970</v>
      </c>
      <c r="D31" s="4">
        <f t="shared" si="13"/>
        <v>2409</v>
      </c>
    </row>
    <row r="32" spans="1:4" ht="12.75" x14ac:dyDescent="0.2">
      <c r="A32" s="2" t="s">
        <v>32</v>
      </c>
      <c r="B32" s="9">
        <f>ROUND(B29/0.052/B$4,1)</f>
        <v>11.8</v>
      </c>
      <c r="C32" s="9">
        <f t="shared" ref="C32:D32" si="14">ROUND(C29/0.052/C$4,1)</f>
        <v>12.5</v>
      </c>
      <c r="D32" s="9">
        <f t="shared" si="14"/>
        <v>13.3</v>
      </c>
    </row>
    <row r="33" spans="1:4" ht="12.75" x14ac:dyDescent="0.2">
      <c r="A33" s="2" t="s">
        <v>33</v>
      </c>
      <c r="B33" s="9">
        <f t="shared" ref="B33:D33" si="15">ROUND(B30/0.052/B$4,1)</f>
        <v>11.8</v>
      </c>
      <c r="C33" s="9">
        <f t="shared" si="15"/>
        <v>12.5</v>
      </c>
      <c r="D33" s="9">
        <f t="shared" si="15"/>
        <v>13.3</v>
      </c>
    </row>
    <row r="34" spans="1:4" ht="12.75" x14ac:dyDescent="0.2">
      <c r="A34" s="2" t="s">
        <v>34</v>
      </c>
      <c r="B34" s="9">
        <f t="shared" ref="B34:D34" si="16">ROUND(B31/0.052/B$4,1)</f>
        <v>9.6999999999999993</v>
      </c>
      <c r="C34" s="9">
        <f t="shared" si="16"/>
        <v>8.1999999999999993</v>
      </c>
      <c r="D34" s="9">
        <f t="shared" si="16"/>
        <v>6.6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130" zoomScaleNormal="130" workbookViewId="0">
      <selection activeCell="F36" sqref="F36"/>
    </sheetView>
  </sheetViews>
  <sheetFormatPr defaultRowHeight="11.25" x14ac:dyDescent="0.2"/>
  <cols>
    <col min="1" max="1" width="5.1640625" style="5" bestFit="1" customWidth="1"/>
    <col min="2" max="2" width="6.6640625" style="5" bestFit="1" customWidth="1"/>
    <col min="3" max="3" width="9.33203125" style="5"/>
    <col min="4" max="4" width="11.6640625" style="5" bestFit="1" customWidth="1"/>
    <col min="5" max="5" width="6.83203125" style="5" bestFit="1" customWidth="1"/>
    <col min="6" max="8" width="12.1640625" style="5" bestFit="1" customWidth="1"/>
    <col min="9" max="9" width="9.33203125" style="5"/>
    <col min="10" max="10" width="6.6640625" style="5" bestFit="1" customWidth="1"/>
    <col min="11" max="11" width="9.33203125" style="5" bestFit="1" customWidth="1"/>
    <col min="12" max="12" width="11.6640625" style="5" bestFit="1" customWidth="1"/>
    <col min="13" max="13" width="6.83203125" style="5" bestFit="1" customWidth="1"/>
    <col min="14" max="16" width="12.1640625" style="5" bestFit="1" customWidth="1"/>
    <col min="17" max="17" width="12.33203125" style="5" customWidth="1"/>
    <col min="18" max="16384" width="9.33203125" style="5"/>
  </cols>
  <sheetData>
    <row r="1" spans="1:16" ht="12.75" x14ac:dyDescent="0.2">
      <c r="A1" s="5" t="s">
        <v>13</v>
      </c>
      <c r="B1" s="5" t="str">
        <f t="array" ref="B1:H4">TRANSPOSE([0]!wBO_70_Q2)</f>
        <v>wBO [°]</v>
      </c>
      <c r="C1" s="5" t="str">
        <v>PwBO [psi]</v>
      </c>
      <c r="D1" s="5" t="str">
        <v>Pwshear [psi]</v>
      </c>
      <c r="E1" s="5" t="str">
        <v>Pb [psi]</v>
      </c>
      <c r="F1" s="1" t="str">
        <v>PwBO [ppg]</v>
      </c>
      <c r="G1" s="5" t="str">
        <v>Pwshear [ppg]</v>
      </c>
      <c r="H1" s="5" t="str">
        <v>Pb [ppg]</v>
      </c>
      <c r="I1" s="5" t="s">
        <v>14</v>
      </c>
      <c r="J1" s="5" t="str">
        <f t="array" ref="J1:P4">TRANSPOSE([0]!wBO_0_Q2)</f>
        <v>wBO [°]</v>
      </c>
      <c r="K1" s="5" t="str">
        <v>PwBO [psi]</v>
      </c>
      <c r="L1" s="5" t="str">
        <v>Pwshear [psi]</v>
      </c>
      <c r="M1" s="5" t="str">
        <v>Pb [psi]</v>
      </c>
      <c r="N1" s="5" t="str">
        <v>PwBO [ppg]</v>
      </c>
      <c r="O1" s="5" t="str">
        <v>Pwshear [ppg]</v>
      </c>
      <c r="P1" s="5" t="str">
        <v>Pb [ppg]</v>
      </c>
    </row>
    <row r="2" spans="1:16" x14ac:dyDescent="0.2">
      <c r="A2" s="5">
        <v>0.44</v>
      </c>
      <c r="B2" s="5">
        <v>70</v>
      </c>
      <c r="C2" s="6">
        <v>3640</v>
      </c>
      <c r="D2" s="6">
        <v>4279</v>
      </c>
      <c r="E2" s="6">
        <v>4320</v>
      </c>
      <c r="F2" s="2">
        <v>10</v>
      </c>
      <c r="G2" s="5">
        <v>11.8</v>
      </c>
      <c r="H2" s="5">
        <v>11.9</v>
      </c>
      <c r="I2" s="5" t="s">
        <v>14</v>
      </c>
      <c r="J2" s="5">
        <v>0</v>
      </c>
      <c r="K2" s="6">
        <v>4279</v>
      </c>
      <c r="L2" s="6">
        <v>4279</v>
      </c>
      <c r="M2" s="6">
        <v>3532</v>
      </c>
      <c r="N2" s="5">
        <v>11.8</v>
      </c>
      <c r="O2" s="5">
        <v>11.8</v>
      </c>
      <c r="P2" s="5">
        <v>9.6999999999999993</v>
      </c>
    </row>
    <row r="3" spans="1:16" x14ac:dyDescent="0.2">
      <c r="A3" s="5">
        <v>0.52</v>
      </c>
      <c r="B3" s="5">
        <v>70</v>
      </c>
      <c r="C3" s="6">
        <v>3928</v>
      </c>
      <c r="D3" s="6">
        <v>4567</v>
      </c>
      <c r="E3" s="6">
        <v>3761</v>
      </c>
      <c r="F3" s="2">
        <v>10.8</v>
      </c>
      <c r="G3" s="5">
        <v>12.5</v>
      </c>
      <c r="H3" s="5">
        <v>10.3</v>
      </c>
      <c r="I3" s="5" t="s">
        <v>14</v>
      </c>
      <c r="J3" s="5">
        <v>0</v>
      </c>
      <c r="K3" s="6">
        <v>4567</v>
      </c>
      <c r="L3" s="6">
        <v>4567</v>
      </c>
      <c r="M3" s="6">
        <v>2970</v>
      </c>
      <c r="N3" s="5">
        <v>12.5</v>
      </c>
      <c r="O3" s="5">
        <v>12.5</v>
      </c>
      <c r="P3" s="5">
        <v>8.1999999999999993</v>
      </c>
    </row>
    <row r="4" spans="1:16" x14ac:dyDescent="0.2">
      <c r="A4" s="5">
        <v>0.6</v>
      </c>
      <c r="B4" s="5">
        <v>70</v>
      </c>
      <c r="C4" s="6">
        <v>4217</v>
      </c>
      <c r="D4" s="6">
        <v>4855</v>
      </c>
      <c r="E4" s="6">
        <v>3202</v>
      </c>
      <c r="F4" s="2">
        <v>11.6</v>
      </c>
      <c r="G4" s="5">
        <v>13.3</v>
      </c>
      <c r="H4" s="5">
        <v>8.8000000000000007</v>
      </c>
      <c r="I4" s="5" t="s">
        <v>14</v>
      </c>
      <c r="J4" s="5">
        <v>0</v>
      </c>
      <c r="K4" s="6">
        <v>4855</v>
      </c>
      <c r="L4" s="6">
        <v>4855</v>
      </c>
      <c r="M4" s="6">
        <v>2409</v>
      </c>
      <c r="N4" s="5">
        <v>13.3</v>
      </c>
      <c r="O4" s="5">
        <v>13.3</v>
      </c>
      <c r="P4" s="5">
        <v>6.6</v>
      </c>
    </row>
    <row r="5" spans="1:16" x14ac:dyDescent="0.2">
      <c r="A5" s="2"/>
      <c r="F5" s="2"/>
      <c r="G5" s="6"/>
      <c r="H5" s="6"/>
      <c r="I5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30" zoomScaleNormal="130" workbookViewId="0">
      <selection activeCell="D35" sqref="D35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0.44</v>
      </c>
      <c r="C1" s="2">
        <v>0.44</v>
      </c>
      <c r="D1" s="2">
        <v>0.44</v>
      </c>
    </row>
    <row r="2" spans="1:4" x14ac:dyDescent="0.2">
      <c r="A2" s="2" t="s">
        <v>17</v>
      </c>
      <c r="B2" s="9">
        <f>B7*B1</f>
        <v>20.239999999999998</v>
      </c>
      <c r="C2" s="9">
        <f t="shared" ref="C2:D2" si="0">C7*C1</f>
        <v>20.239999999999998</v>
      </c>
      <c r="D2" s="9">
        <f t="shared" si="0"/>
        <v>20.239999999999998</v>
      </c>
    </row>
    <row r="3" spans="1:4" x14ac:dyDescent="0.2">
      <c r="A3" s="2" t="s">
        <v>14</v>
      </c>
      <c r="B3" s="2" t="s">
        <v>14</v>
      </c>
      <c r="C3" s="2" t="s">
        <v>14</v>
      </c>
      <c r="D3" s="2" t="s">
        <v>14</v>
      </c>
    </row>
    <row r="4" spans="1:4" x14ac:dyDescent="0.2">
      <c r="A4" s="2" t="s">
        <v>15</v>
      </c>
      <c r="B4" s="2">
        <v>2</v>
      </c>
      <c r="C4" s="2">
        <v>2</v>
      </c>
      <c r="D4" s="2">
        <v>2</v>
      </c>
    </row>
    <row r="5" spans="1:4" x14ac:dyDescent="0.2">
      <c r="A5" s="2" t="s">
        <v>16</v>
      </c>
      <c r="B5" s="2">
        <v>0</v>
      </c>
      <c r="C5" s="2">
        <v>0</v>
      </c>
      <c r="D5" s="2">
        <v>0</v>
      </c>
    </row>
    <row r="6" spans="1:4" x14ac:dyDescent="0.2">
      <c r="A6" s="2" t="s">
        <v>14</v>
      </c>
      <c r="B6" s="2" t="s">
        <v>14</v>
      </c>
      <c r="C6" s="2" t="s">
        <v>14</v>
      </c>
      <c r="D6" s="2" t="s">
        <v>14</v>
      </c>
    </row>
    <row r="7" spans="1:4" ht="12.75" x14ac:dyDescent="0.2">
      <c r="A7" s="2" t="s">
        <v>23</v>
      </c>
      <c r="B7" s="2">
        <f>B4*23</f>
        <v>46</v>
      </c>
      <c r="C7" s="2">
        <f t="shared" ref="C7:D7" si="1">C4*23</f>
        <v>46</v>
      </c>
      <c r="D7" s="2">
        <f t="shared" si="1"/>
        <v>46</v>
      </c>
    </row>
    <row r="8" spans="1:4" x14ac:dyDescent="0.2">
      <c r="A8" s="2" t="s">
        <v>14</v>
      </c>
      <c r="B8" s="2" t="s">
        <v>14</v>
      </c>
      <c r="C8" s="2" t="s">
        <v>14</v>
      </c>
      <c r="D8" s="2" t="s">
        <v>14</v>
      </c>
    </row>
    <row r="9" spans="1:4" ht="12.75" x14ac:dyDescent="0.2">
      <c r="A9" s="2" t="s">
        <v>24</v>
      </c>
      <c r="B9" s="9">
        <f>B7-B2</f>
        <v>25.76</v>
      </c>
      <c r="C9" s="9">
        <f>C7-C2</f>
        <v>25.76</v>
      </c>
      <c r="D9" s="9">
        <f>D7-D2</f>
        <v>25.76</v>
      </c>
    </row>
    <row r="10" spans="1:4" ht="12.75" x14ac:dyDescent="0.2">
      <c r="A10" s="2" t="s">
        <v>45</v>
      </c>
      <c r="B10" s="2">
        <v>0.6</v>
      </c>
      <c r="C10" s="2">
        <v>0.8</v>
      </c>
      <c r="D10" s="2">
        <v>1</v>
      </c>
    </row>
    <row r="11" spans="1:4" ht="12.75" x14ac:dyDescent="0.2">
      <c r="A11" s="2" t="s">
        <v>46</v>
      </c>
      <c r="B11" s="2">
        <v>0.4</v>
      </c>
      <c r="C11" s="2">
        <v>0.4</v>
      </c>
      <c r="D11" s="2">
        <v>0.4</v>
      </c>
    </row>
    <row r="12" spans="1:4" ht="12.75" x14ac:dyDescent="0.2">
      <c r="A12" s="2" t="s">
        <v>47</v>
      </c>
      <c r="B12" s="2">
        <f>B14/B13</f>
        <v>1.4999999999999996</v>
      </c>
      <c r="C12" s="2">
        <f t="shared" ref="C12:D12" si="2">C14/C13</f>
        <v>2</v>
      </c>
      <c r="D12" s="2">
        <f t="shared" si="2"/>
        <v>2.4999999999999996</v>
      </c>
    </row>
    <row r="13" spans="1:4" ht="12.75" x14ac:dyDescent="0.2">
      <c r="A13" s="2" t="s">
        <v>25</v>
      </c>
      <c r="B13" s="9">
        <f>B11*B9</f>
        <v>10.304000000000002</v>
      </c>
      <c r="C13" s="9">
        <f>C11*C9</f>
        <v>10.304000000000002</v>
      </c>
      <c r="D13" s="9">
        <f>D11*D9</f>
        <v>10.304000000000002</v>
      </c>
    </row>
    <row r="14" spans="1:4" ht="12.75" x14ac:dyDescent="0.2">
      <c r="A14" s="2" t="s">
        <v>26</v>
      </c>
      <c r="B14" s="9">
        <f>B9*B10</f>
        <v>15.456</v>
      </c>
      <c r="C14" s="9">
        <f>C9*C10</f>
        <v>20.608000000000004</v>
      </c>
      <c r="D14" s="9">
        <f>D9*D10</f>
        <v>25.76</v>
      </c>
    </row>
    <row r="15" spans="1:4" x14ac:dyDescent="0.2">
      <c r="A15" s="2" t="s">
        <v>14</v>
      </c>
      <c r="B15" s="2" t="s">
        <v>14</v>
      </c>
      <c r="C15" s="2" t="s">
        <v>14</v>
      </c>
      <c r="D15" s="2" t="s">
        <v>14</v>
      </c>
    </row>
    <row r="16" spans="1:4" x14ac:dyDescent="0.2">
      <c r="A16" s="2" t="s">
        <v>18</v>
      </c>
      <c r="B16" s="2">
        <v>7</v>
      </c>
      <c r="C16" s="2">
        <v>7</v>
      </c>
      <c r="D16" s="2">
        <v>7</v>
      </c>
    </row>
    <row r="17" spans="1:4" x14ac:dyDescent="0.2">
      <c r="A17" s="2" t="s">
        <v>22</v>
      </c>
      <c r="B17" s="2">
        <v>0.73499999999999999</v>
      </c>
      <c r="C17" s="2">
        <v>0.73499999999999999</v>
      </c>
      <c r="D17" s="2">
        <v>0.73499999999999999</v>
      </c>
    </row>
    <row r="18" spans="1:4" x14ac:dyDescent="0.2">
      <c r="A18" s="2" t="s">
        <v>12</v>
      </c>
      <c r="B18" s="3">
        <f>(SQRT(B17^2+1)+B17)^2</f>
        <v>3.904805284066128</v>
      </c>
      <c r="C18" s="3">
        <f t="shared" ref="C18:D18" si="3">(SQRT(C17^2+1)+C17)^2</f>
        <v>3.904805284066128</v>
      </c>
      <c r="D18" s="3">
        <f t="shared" si="3"/>
        <v>3.904805284066128</v>
      </c>
    </row>
    <row r="19" spans="1:4" ht="12.75" x14ac:dyDescent="0.2">
      <c r="A19" s="2" t="s">
        <v>27</v>
      </c>
      <c r="B19" s="2">
        <v>2</v>
      </c>
      <c r="C19" s="2">
        <v>2</v>
      </c>
      <c r="D19" s="2">
        <v>2</v>
      </c>
    </row>
    <row r="20" spans="1:4" x14ac:dyDescent="0.2">
      <c r="A20" s="2" t="s">
        <v>14</v>
      </c>
      <c r="B20" s="2" t="s">
        <v>14</v>
      </c>
      <c r="C20" s="2" t="s">
        <v>14</v>
      </c>
      <c r="D20" s="2" t="s">
        <v>14</v>
      </c>
    </row>
    <row r="21" spans="1:4" ht="12.75" x14ac:dyDescent="0.2">
      <c r="A21" s="2" t="s">
        <v>28</v>
      </c>
      <c r="B21" s="2">
        <v>45</v>
      </c>
      <c r="C21" s="2">
        <v>45</v>
      </c>
      <c r="D21" s="2">
        <v>45</v>
      </c>
    </row>
    <row r="22" spans="1:4" ht="12.75" x14ac:dyDescent="0.2">
      <c r="A22" s="2" t="s">
        <v>29</v>
      </c>
      <c r="B22" s="9">
        <f>ROUND(B2+((B14+B13)-((2*(B14-B13))*COS(RADIANS(180-B21)))-B16)/(1+B18),1)</f>
        <v>25.6</v>
      </c>
      <c r="C22" s="9">
        <f t="shared" ref="C22:D22" si="4">ROUND(C2+((C14+C13)-((2*(C14-C13))*COS(RADIANS(180-C21)))-C16)/(1+C18),1)</f>
        <v>28.1</v>
      </c>
      <c r="D22" s="9">
        <f t="shared" si="4"/>
        <v>30.6</v>
      </c>
    </row>
    <row r="23" spans="1:4" ht="12.75" x14ac:dyDescent="0.2">
      <c r="A23" s="2" t="s">
        <v>30</v>
      </c>
      <c r="B23" s="9">
        <f>ROUND(B2+((3*B14)-B13-B16)/(1+B18),1)</f>
        <v>26.2</v>
      </c>
      <c r="C23" s="9">
        <f t="shared" ref="C23:D23" si="5">ROUND(C2+((3*C14)-C13-C16)/(1+C18),1)</f>
        <v>29.3</v>
      </c>
      <c r="D23" s="9">
        <f t="shared" si="5"/>
        <v>32.5</v>
      </c>
    </row>
    <row r="24" spans="1:4" ht="12.75" x14ac:dyDescent="0.2">
      <c r="A24" s="2" t="s">
        <v>31</v>
      </c>
      <c r="B24" s="9">
        <f>ROUND(B2+(3*B13)-B14+B19,1)</f>
        <v>37.700000000000003</v>
      </c>
      <c r="C24" s="9">
        <f t="shared" ref="C24:D24" si="6">ROUND(C2+(3*C13)-C14+C19,1)</f>
        <v>32.5</v>
      </c>
      <c r="D24" s="9">
        <f t="shared" si="6"/>
        <v>27.4</v>
      </c>
    </row>
    <row r="25" spans="1:4" ht="12.75" x14ac:dyDescent="0.2">
      <c r="A25" s="2" t="s">
        <v>32</v>
      </c>
      <c r="B25" s="9">
        <f>ROUND(B22/0.052/23/B$4,1)</f>
        <v>10.7</v>
      </c>
      <c r="C25" s="9">
        <f t="shared" ref="C25:D25" si="7">ROUND(C22/0.052/23/C$4,1)</f>
        <v>11.7</v>
      </c>
      <c r="D25" s="9">
        <f t="shared" si="7"/>
        <v>12.8</v>
      </c>
    </row>
    <row r="26" spans="1:4" ht="12.75" x14ac:dyDescent="0.2">
      <c r="A26" s="2" t="s">
        <v>33</v>
      </c>
      <c r="B26" s="9">
        <f t="shared" ref="B26:D26" si="8">ROUND(B23/0.052/23/B$4,1)</f>
        <v>11</v>
      </c>
      <c r="C26" s="9">
        <f t="shared" si="8"/>
        <v>12.2</v>
      </c>
      <c r="D26" s="9">
        <f t="shared" si="8"/>
        <v>13.6</v>
      </c>
    </row>
    <row r="27" spans="1:4" ht="12.75" x14ac:dyDescent="0.2">
      <c r="A27" s="2" t="s">
        <v>34</v>
      </c>
      <c r="B27" s="9">
        <f t="shared" ref="B27:D27" si="9">ROUND(B24/0.052/23/B$4,1)</f>
        <v>15.8</v>
      </c>
      <c r="C27" s="9">
        <f t="shared" si="9"/>
        <v>13.6</v>
      </c>
      <c r="D27" s="9">
        <f t="shared" si="9"/>
        <v>11.5</v>
      </c>
    </row>
    <row r="28" spans="1:4" x14ac:dyDescent="0.2">
      <c r="A28" s="2" t="s">
        <v>14</v>
      </c>
      <c r="B28" s="2" t="s">
        <v>14</v>
      </c>
      <c r="C28" s="2" t="s">
        <v>14</v>
      </c>
      <c r="D28" s="2" t="s">
        <v>14</v>
      </c>
    </row>
    <row r="29" spans="1:4" ht="12.75" x14ac:dyDescent="0.2">
      <c r="A29" s="2" t="s">
        <v>28</v>
      </c>
      <c r="B29" s="2">
        <v>0</v>
      </c>
      <c r="C29" s="2">
        <v>0</v>
      </c>
      <c r="D29" s="2">
        <v>0</v>
      </c>
    </row>
    <row r="30" spans="1:4" ht="12.75" x14ac:dyDescent="0.2">
      <c r="A30" s="2" t="s">
        <v>29</v>
      </c>
      <c r="B30" s="9">
        <f>ROUND(B2+((B14+B13)-((2*(B14-B13))*COS(RADIANS(180-B29)))-B16)/(1+B18),1)</f>
        <v>26.2</v>
      </c>
      <c r="C30" s="9">
        <f t="shared" ref="C30:D30" si="10">ROUND(C2+((C14+C13)-((2*(C14-C13))*COS(RADIANS(180-C29)))-C16)/(1+C18),1)</f>
        <v>29.3</v>
      </c>
      <c r="D30" s="9">
        <f t="shared" si="10"/>
        <v>32.5</v>
      </c>
    </row>
    <row r="31" spans="1:4" ht="12.75" x14ac:dyDescent="0.2">
      <c r="A31" s="2" t="s">
        <v>30</v>
      </c>
      <c r="B31" s="9">
        <f>ROUND(B2+((3*B14)-B13-B16)/(1+B18),1)</f>
        <v>26.2</v>
      </c>
      <c r="C31" s="9">
        <f t="shared" ref="C31:D31" si="11">ROUND(C2+((3*C14)-C13-C16)/(1+C18),1)</f>
        <v>29.3</v>
      </c>
      <c r="D31" s="9">
        <f t="shared" si="11"/>
        <v>32.5</v>
      </c>
    </row>
    <row r="32" spans="1:4" ht="12.75" x14ac:dyDescent="0.2">
      <c r="A32" s="2" t="s">
        <v>31</v>
      </c>
      <c r="B32" s="9">
        <f>ROUND(B2+(3*B13)-B14+B19,1)</f>
        <v>37.700000000000003</v>
      </c>
      <c r="C32" s="9">
        <f t="shared" ref="C32:D32" si="12">ROUND(C2+(3*C13)-C14+C19,1)</f>
        <v>32.5</v>
      </c>
      <c r="D32" s="9">
        <f t="shared" si="12"/>
        <v>27.4</v>
      </c>
    </row>
    <row r="33" spans="1:4" ht="12.75" x14ac:dyDescent="0.2">
      <c r="A33" s="2" t="s">
        <v>32</v>
      </c>
      <c r="B33" s="9">
        <f>ROUND(B30/0.052/23/B$4,1)</f>
        <v>11</v>
      </c>
      <c r="C33" s="9">
        <f t="shared" ref="C33:D33" si="13">ROUND(C30/0.052/23/C$4,1)</f>
        <v>12.2</v>
      </c>
      <c r="D33" s="9">
        <f t="shared" si="13"/>
        <v>13.6</v>
      </c>
    </row>
    <row r="34" spans="1:4" ht="12.75" x14ac:dyDescent="0.2">
      <c r="A34" s="2" t="s">
        <v>33</v>
      </c>
      <c r="B34" s="9">
        <f t="shared" ref="B34:D35" si="14">ROUND(B31/0.052/23/B$4,1)</f>
        <v>11</v>
      </c>
      <c r="C34" s="9">
        <f t="shared" si="14"/>
        <v>12.2</v>
      </c>
      <c r="D34" s="9">
        <f t="shared" si="14"/>
        <v>13.6</v>
      </c>
    </row>
    <row r="35" spans="1:4" ht="12.75" x14ac:dyDescent="0.2">
      <c r="A35" s="2" t="s">
        <v>34</v>
      </c>
      <c r="B35" s="9">
        <f t="shared" si="14"/>
        <v>15.8</v>
      </c>
      <c r="C35" s="9">
        <f t="shared" si="14"/>
        <v>13.6</v>
      </c>
      <c r="D35" s="9">
        <f t="shared" si="14"/>
        <v>11.5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130" zoomScaleNormal="130" workbookViewId="0">
      <selection activeCell="H38" sqref="H38"/>
    </sheetView>
  </sheetViews>
  <sheetFormatPr defaultRowHeight="11.25" x14ac:dyDescent="0.2"/>
  <cols>
    <col min="1" max="1" width="7.1640625" style="5" bestFit="1" customWidth="1"/>
    <col min="2" max="2" width="9.1640625" style="5" bestFit="1" customWidth="1"/>
    <col min="3" max="3" width="6.6640625" style="5" bestFit="1" customWidth="1"/>
    <col min="4" max="4" width="10.5" style="5" bestFit="1" customWidth="1"/>
    <col min="5" max="5" width="12.83203125" style="5" bestFit="1" customWidth="1"/>
    <col min="6" max="6" width="8" style="5" bestFit="1" customWidth="1"/>
    <col min="7" max="9" width="12.1640625" style="5" bestFit="1" customWidth="1"/>
    <col min="10" max="10" width="8.83203125" style="5" customWidth="1"/>
    <col min="11" max="11" width="6.6640625" style="5" bestFit="1" customWidth="1"/>
    <col min="12" max="12" width="10.5" style="5" bestFit="1" customWidth="1"/>
    <col min="13" max="13" width="12.83203125" style="5" bestFit="1" customWidth="1"/>
    <col min="14" max="14" width="8" style="5" bestFit="1" customWidth="1"/>
    <col min="15" max="17" width="12.1640625" style="5" bestFit="1" customWidth="1"/>
    <col min="18" max="16384" width="9.33203125" style="5"/>
  </cols>
  <sheetData>
    <row r="1" spans="1:17" ht="12.75" x14ac:dyDescent="0.2">
      <c r="A1" s="2" t="s">
        <v>45</v>
      </c>
      <c r="B1" s="2" t="s">
        <v>47</v>
      </c>
      <c r="C1" s="5" t="str">
        <f t="array" ref="C1:I4">TRANSPOSE([0]!wBO_45_Q3)</f>
        <v>wBO [°]</v>
      </c>
      <c r="D1" s="5" t="str">
        <v>PwBO [MPa]</v>
      </c>
      <c r="E1" s="5" t="str">
        <v>Pwshear [MPa]</v>
      </c>
      <c r="F1" s="5" t="str">
        <v>Pb [MPa]</v>
      </c>
      <c r="G1" s="1" t="str">
        <v>PwBO [ppg]</v>
      </c>
      <c r="H1" s="5" t="str">
        <v>Pwshear [ppg]</v>
      </c>
      <c r="I1" s="5" t="str">
        <v>Pb [ppg]</v>
      </c>
      <c r="J1" s="5" t="s">
        <v>14</v>
      </c>
      <c r="K1" s="5" t="str">
        <f t="array" ref="K1:Q4">TRANSPOSE([0]!wBO_0_Q3)</f>
        <v>wBO [°]</v>
      </c>
      <c r="L1" s="5" t="str">
        <v>PwBO [MPa]</v>
      </c>
      <c r="M1" s="5" t="str">
        <v>Pwshear [MPa]</v>
      </c>
      <c r="N1" s="5" t="str">
        <v>Pb [MPa]</v>
      </c>
      <c r="O1" s="5" t="str">
        <v>PwBO [ppg]</v>
      </c>
      <c r="P1" s="5" t="str">
        <v>Pwshear [ppg]</v>
      </c>
      <c r="Q1" s="5" t="str">
        <v>Pb [ppg]</v>
      </c>
    </row>
    <row r="2" spans="1:17" x14ac:dyDescent="0.2">
      <c r="A2" s="2">
        <v>0.6</v>
      </c>
      <c r="B2" s="5">
        <v>1.4999999999999996</v>
      </c>
      <c r="C2" s="5">
        <v>45</v>
      </c>
      <c r="D2" s="6">
        <v>25.6</v>
      </c>
      <c r="E2" s="6">
        <v>26.2</v>
      </c>
      <c r="F2" s="6">
        <v>37.700000000000003</v>
      </c>
      <c r="G2" s="2">
        <v>10.7</v>
      </c>
      <c r="H2" s="5">
        <v>11</v>
      </c>
      <c r="I2" s="5">
        <v>15.8</v>
      </c>
      <c r="J2" s="5" t="s">
        <v>14</v>
      </c>
      <c r="K2" s="5">
        <v>0</v>
      </c>
      <c r="L2" s="6">
        <v>26.2</v>
      </c>
      <c r="M2" s="6">
        <v>26.2</v>
      </c>
      <c r="N2" s="6">
        <v>37.700000000000003</v>
      </c>
      <c r="O2" s="5">
        <v>11</v>
      </c>
      <c r="P2" s="5">
        <v>11</v>
      </c>
      <c r="Q2" s="5">
        <v>15.8</v>
      </c>
    </row>
    <row r="3" spans="1:17" x14ac:dyDescent="0.2">
      <c r="A3" s="2">
        <v>0.8</v>
      </c>
      <c r="B3" s="5">
        <v>2</v>
      </c>
      <c r="C3" s="5">
        <v>45</v>
      </c>
      <c r="D3" s="6">
        <v>28.1</v>
      </c>
      <c r="E3" s="6">
        <v>29.3</v>
      </c>
      <c r="F3" s="6">
        <v>32.5</v>
      </c>
      <c r="G3" s="2">
        <v>11.7</v>
      </c>
      <c r="H3" s="5">
        <v>12.2</v>
      </c>
      <c r="I3" s="5">
        <v>13.6</v>
      </c>
      <c r="J3" s="5" t="s">
        <v>14</v>
      </c>
      <c r="K3" s="5">
        <v>0</v>
      </c>
      <c r="L3" s="6">
        <v>29.3</v>
      </c>
      <c r="M3" s="6">
        <v>29.3</v>
      </c>
      <c r="N3" s="6">
        <v>32.5</v>
      </c>
      <c r="O3" s="5">
        <v>12.2</v>
      </c>
      <c r="P3" s="5">
        <v>12.2</v>
      </c>
      <c r="Q3" s="5">
        <v>13.6</v>
      </c>
    </row>
    <row r="4" spans="1:17" x14ac:dyDescent="0.2">
      <c r="A4" s="2">
        <v>1</v>
      </c>
      <c r="B4" s="5">
        <v>2.4999999999999996</v>
      </c>
      <c r="C4" s="5">
        <v>45</v>
      </c>
      <c r="D4" s="6">
        <v>30.6</v>
      </c>
      <c r="E4" s="6">
        <v>32.5</v>
      </c>
      <c r="F4" s="6">
        <v>27.4</v>
      </c>
      <c r="G4" s="2">
        <v>12.8</v>
      </c>
      <c r="H4" s="5">
        <v>13.6</v>
      </c>
      <c r="I4" s="5">
        <v>11.5</v>
      </c>
      <c r="J4" s="5" t="s">
        <v>14</v>
      </c>
      <c r="K4" s="5">
        <v>0</v>
      </c>
      <c r="L4" s="6">
        <v>32.5</v>
      </c>
      <c r="M4" s="6">
        <v>32.5</v>
      </c>
      <c r="N4" s="6">
        <v>27.4</v>
      </c>
      <c r="O4" s="5">
        <v>13.6</v>
      </c>
      <c r="P4" s="5">
        <v>13.6</v>
      </c>
      <c r="Q4" s="5">
        <v>11.5</v>
      </c>
    </row>
    <row r="5" spans="1:17" x14ac:dyDescent="0.2">
      <c r="A5" s="2"/>
      <c r="F5" s="2"/>
      <c r="G5" s="6"/>
      <c r="H5" s="6"/>
      <c r="I5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0" zoomScaleNormal="130" workbookViewId="0">
      <selection activeCell="E35" sqref="E35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0.51</v>
      </c>
    </row>
    <row r="2" spans="1:4" x14ac:dyDescent="0.2">
      <c r="A2" s="2" t="s">
        <v>17</v>
      </c>
      <c r="B2" s="9">
        <f>B7*B1</f>
        <v>20.134545000000003</v>
      </c>
      <c r="C2" s="9"/>
      <c r="D2" s="9"/>
    </row>
    <row r="3" spans="1:4" x14ac:dyDescent="0.2">
      <c r="A3" s="2" t="s">
        <v>14</v>
      </c>
      <c r="B3" s="2" t="s">
        <v>14</v>
      </c>
    </row>
    <row r="4" spans="1:4" x14ac:dyDescent="0.2">
      <c r="A4" s="2" t="s">
        <v>15</v>
      </c>
      <c r="B4" s="2">
        <v>2</v>
      </c>
    </row>
    <row r="5" spans="1:4" x14ac:dyDescent="0.2">
      <c r="A5" s="2" t="s">
        <v>16</v>
      </c>
      <c r="B5" s="2">
        <v>0.5</v>
      </c>
    </row>
    <row r="6" spans="1:4" x14ac:dyDescent="0.2">
      <c r="A6" s="2" t="s">
        <v>14</v>
      </c>
      <c r="B6" s="2" t="s">
        <v>14</v>
      </c>
    </row>
    <row r="7" spans="1:4" ht="12.75" x14ac:dyDescent="0.2">
      <c r="A7" s="2" t="s">
        <v>23</v>
      </c>
      <c r="B7" s="9">
        <f>B5*(23*0.433)+(B4-B5)*23</f>
        <v>39.479500000000002</v>
      </c>
      <c r="C7" s="9"/>
      <c r="D7" s="9"/>
    </row>
    <row r="8" spans="1:4" x14ac:dyDescent="0.2">
      <c r="A8" s="2" t="s">
        <v>14</v>
      </c>
      <c r="B8" s="2" t="s">
        <v>14</v>
      </c>
    </row>
    <row r="9" spans="1:4" ht="12.75" x14ac:dyDescent="0.2">
      <c r="A9" s="2" t="s">
        <v>24</v>
      </c>
      <c r="B9" s="9">
        <f>B7-B2</f>
        <v>19.344954999999999</v>
      </c>
      <c r="C9" s="9"/>
      <c r="D9" s="9"/>
    </row>
    <row r="10" spans="1:4" ht="12.75" x14ac:dyDescent="0.2">
      <c r="A10" s="2" t="s">
        <v>45</v>
      </c>
      <c r="B10" s="2">
        <v>0.8</v>
      </c>
    </row>
    <row r="11" spans="1:4" ht="12.75" x14ac:dyDescent="0.2">
      <c r="A11" s="2" t="s">
        <v>46</v>
      </c>
      <c r="B11" s="2">
        <v>0.4</v>
      </c>
    </row>
    <row r="12" spans="1:4" ht="12.75" x14ac:dyDescent="0.2">
      <c r="A12" s="2" t="s">
        <v>47</v>
      </c>
      <c r="B12" s="2">
        <f>B14/B13</f>
        <v>2</v>
      </c>
    </row>
    <row r="13" spans="1:4" ht="12.75" x14ac:dyDescent="0.2">
      <c r="A13" s="2" t="s">
        <v>25</v>
      </c>
      <c r="B13" s="9">
        <f>B11*B9</f>
        <v>7.7379819999999997</v>
      </c>
      <c r="C13" s="9"/>
      <c r="D13" s="9"/>
    </row>
    <row r="14" spans="1:4" ht="12.75" x14ac:dyDescent="0.2">
      <c r="A14" s="2" t="s">
        <v>26</v>
      </c>
      <c r="B14" s="9">
        <f>B9*B10</f>
        <v>15.475963999999999</v>
      </c>
      <c r="C14" s="9"/>
      <c r="D14" s="9"/>
    </row>
    <row r="15" spans="1:4" x14ac:dyDescent="0.2">
      <c r="A15" s="2" t="s">
        <v>14</v>
      </c>
      <c r="B15" s="2" t="s">
        <v>14</v>
      </c>
    </row>
    <row r="16" spans="1:4" x14ac:dyDescent="0.2">
      <c r="A16" s="2" t="s">
        <v>18</v>
      </c>
      <c r="B16" s="2">
        <v>7</v>
      </c>
    </row>
    <row r="17" spans="1:4" x14ac:dyDescent="0.2">
      <c r="A17" s="2" t="s">
        <v>12</v>
      </c>
      <c r="B17" s="10">
        <v>3.9</v>
      </c>
      <c r="C17" s="10"/>
      <c r="D17" s="10"/>
    </row>
    <row r="18" spans="1:4" ht="12.75" x14ac:dyDescent="0.2">
      <c r="A18" s="2" t="s">
        <v>27</v>
      </c>
      <c r="B18" s="2">
        <v>2</v>
      </c>
    </row>
    <row r="19" spans="1:4" x14ac:dyDescent="0.2">
      <c r="A19" s="2" t="s">
        <v>14</v>
      </c>
      <c r="B19" s="2" t="s">
        <v>14</v>
      </c>
    </row>
    <row r="20" spans="1:4" ht="12.75" x14ac:dyDescent="0.2">
      <c r="A20" s="2" t="s">
        <v>28</v>
      </c>
      <c r="B20" s="2">
        <v>45</v>
      </c>
    </row>
    <row r="21" spans="1:4" ht="12.75" x14ac:dyDescent="0.2">
      <c r="A21" s="2" t="s">
        <v>29</v>
      </c>
      <c r="B21" s="9">
        <f>ROUND(B2+((B14+B13)-((2*(B14-B13))*COS(RADIANS(180-B20)))-B16)/(1+B17),1)</f>
        <v>25.7</v>
      </c>
      <c r="C21" s="9"/>
      <c r="D21" s="9"/>
    </row>
    <row r="22" spans="1:4" ht="12.75" x14ac:dyDescent="0.2">
      <c r="A22" s="2" t="s">
        <v>30</v>
      </c>
      <c r="B22" s="9">
        <f>ROUND(B2+((3*B14)-B13-B16)/(1+B17),1)</f>
        <v>26.6</v>
      </c>
      <c r="C22" s="9"/>
      <c r="D22" s="9"/>
    </row>
    <row r="23" spans="1:4" ht="12.75" x14ac:dyDescent="0.2">
      <c r="A23" s="2" t="s">
        <v>31</v>
      </c>
      <c r="B23" s="9">
        <f>ROUND(B2+(3*B13)-B14+B18,1)</f>
        <v>29.9</v>
      </c>
      <c r="C23" s="9"/>
      <c r="D23" s="9"/>
    </row>
    <row r="24" spans="1:4" ht="12.75" x14ac:dyDescent="0.2">
      <c r="A24" s="2" t="s">
        <v>32</v>
      </c>
      <c r="B24" s="9">
        <f>ROUND(B21/0.052/23/B$4,1)</f>
        <v>10.7</v>
      </c>
      <c r="C24" s="9"/>
      <c r="D24" s="9"/>
    </row>
    <row r="25" spans="1:4" ht="12.75" x14ac:dyDescent="0.2">
      <c r="A25" s="2" t="s">
        <v>33</v>
      </c>
      <c r="B25" s="9">
        <f t="shared" ref="B25:B26" si="0">ROUND(B22/0.052/23/B$4,1)</f>
        <v>11.1</v>
      </c>
      <c r="C25" s="9"/>
      <c r="D25" s="9"/>
    </row>
    <row r="26" spans="1:4" ht="12.75" x14ac:dyDescent="0.2">
      <c r="A26" s="2" t="s">
        <v>34</v>
      </c>
      <c r="B26" s="9">
        <f t="shared" si="0"/>
        <v>12.5</v>
      </c>
      <c r="C26" s="9"/>
      <c r="D26" s="9"/>
    </row>
    <row r="27" spans="1:4" x14ac:dyDescent="0.2">
      <c r="A27" s="2" t="s">
        <v>14</v>
      </c>
      <c r="B27" s="2" t="s">
        <v>14</v>
      </c>
    </row>
    <row r="28" spans="1:4" ht="12.75" x14ac:dyDescent="0.2">
      <c r="A28" s="2" t="s">
        <v>28</v>
      </c>
      <c r="B28" s="2">
        <v>0</v>
      </c>
    </row>
    <row r="29" spans="1:4" ht="12.75" x14ac:dyDescent="0.2">
      <c r="A29" s="2" t="s">
        <v>29</v>
      </c>
      <c r="B29" s="9">
        <f>ROUND(B2+((B14+B13)-((2*(B14-B13))*COS(RADIANS(180-B28)))-B16)/(1+B17),1)</f>
        <v>26.6</v>
      </c>
      <c r="C29" s="9"/>
      <c r="D29" s="9"/>
    </row>
    <row r="30" spans="1:4" ht="12.75" x14ac:dyDescent="0.2">
      <c r="A30" s="2" t="s">
        <v>30</v>
      </c>
      <c r="B30" s="9">
        <f>ROUND(B2+((3*B14)-B13-B16)/(1+B17),1)</f>
        <v>26.6</v>
      </c>
      <c r="C30" s="9"/>
      <c r="D30" s="9"/>
    </row>
    <row r="31" spans="1:4" ht="12.75" x14ac:dyDescent="0.2">
      <c r="A31" s="2" t="s">
        <v>31</v>
      </c>
      <c r="B31" s="9">
        <f>ROUND(B2+(3*B13)-B14+B18,1)</f>
        <v>29.9</v>
      </c>
      <c r="C31" s="9"/>
      <c r="D31" s="9"/>
    </row>
    <row r="32" spans="1:4" ht="12.75" x14ac:dyDescent="0.2">
      <c r="A32" s="2" t="s">
        <v>32</v>
      </c>
      <c r="B32" s="9">
        <f>ROUND(B29/0.052/23/B$4,1)</f>
        <v>11.1</v>
      </c>
      <c r="C32" s="9"/>
      <c r="D32" s="9"/>
    </row>
    <row r="33" spans="1:4" ht="12.75" x14ac:dyDescent="0.2">
      <c r="A33" s="2" t="s">
        <v>33</v>
      </c>
      <c r="B33" s="9">
        <f t="shared" ref="B33:B34" si="1">ROUND(B30/0.052/23/B$4,1)</f>
        <v>11.1</v>
      </c>
      <c r="C33" s="9"/>
      <c r="D33" s="9"/>
    </row>
    <row r="34" spans="1:4" ht="12.75" x14ac:dyDescent="0.2">
      <c r="A34" s="2" t="s">
        <v>34</v>
      </c>
      <c r="B34" s="9">
        <f t="shared" si="1"/>
        <v>12.5</v>
      </c>
      <c r="C34" s="9"/>
      <c r="D34" s="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30" zoomScaleNormal="130" workbookViewId="0">
      <selection activeCell="C5" sqref="C5"/>
    </sheetView>
  </sheetViews>
  <sheetFormatPr defaultRowHeight="11.25" x14ac:dyDescent="0.2"/>
  <cols>
    <col min="1" max="1" width="6.6640625" style="5" bestFit="1" customWidth="1"/>
    <col min="2" max="2" width="12.1640625" style="5" bestFit="1" customWidth="1"/>
    <col min="3" max="3" width="12.83203125" style="5" bestFit="1" customWidth="1"/>
    <col min="4" max="4" width="12.1640625" style="5" bestFit="1" customWidth="1"/>
    <col min="5" max="5" width="11.1640625" style="5" bestFit="1" customWidth="1"/>
    <col min="6" max="7" width="12.1640625" style="5" bestFit="1" customWidth="1"/>
    <col min="8" max="8" width="7.1640625" style="5" bestFit="1" customWidth="1"/>
    <col min="9" max="9" width="6.6640625" style="5" bestFit="1" customWidth="1"/>
    <col min="10" max="10" width="9.33203125" style="5"/>
    <col min="11" max="11" width="11.6640625" style="5" bestFit="1" customWidth="1"/>
    <col min="12" max="12" width="6.83203125" style="5" bestFit="1" customWidth="1"/>
    <col min="13" max="15" width="12.1640625" style="5" bestFit="1" customWidth="1"/>
    <col min="16" max="16384" width="9.33203125" style="5"/>
  </cols>
  <sheetData>
    <row r="1" spans="1:7" x14ac:dyDescent="0.2">
      <c r="A1" s="5" t="s">
        <v>51</v>
      </c>
      <c r="B1" s="5" t="s">
        <v>19</v>
      </c>
      <c r="C1" s="5" t="s">
        <v>20</v>
      </c>
      <c r="D1" s="5" t="s">
        <v>21</v>
      </c>
      <c r="E1" s="5" t="s">
        <v>48</v>
      </c>
      <c r="F1" s="5" t="s">
        <v>49</v>
      </c>
      <c r="G1" s="5" t="s">
        <v>50</v>
      </c>
    </row>
    <row r="2" spans="1:7" x14ac:dyDescent="0.2">
      <c r="A2" s="5">
        <f t="array" ref="A2:G2">TRANSPOSE([0]!wBO_0_Q4)</f>
        <v>0</v>
      </c>
      <c r="B2" s="5">
        <v>26.6</v>
      </c>
      <c r="C2" s="5">
        <v>26.6</v>
      </c>
      <c r="D2" s="5">
        <v>29.9</v>
      </c>
      <c r="E2" s="5">
        <v>11.1</v>
      </c>
      <c r="F2" s="5">
        <v>11.1</v>
      </c>
      <c r="G2" s="5">
        <v>12.5</v>
      </c>
    </row>
    <row r="3" spans="1:7" x14ac:dyDescent="0.2">
      <c r="A3" s="5">
        <f t="array" ref="A3:G3">TRANSPOSE([0]!wBO_45_Q4)</f>
        <v>45</v>
      </c>
      <c r="B3" s="5">
        <v>25.7</v>
      </c>
      <c r="C3" s="5">
        <v>26.6</v>
      </c>
      <c r="D3" s="5">
        <v>29.9</v>
      </c>
      <c r="E3" s="5">
        <v>10.7</v>
      </c>
      <c r="F3" s="5">
        <v>11.1</v>
      </c>
      <c r="G3" s="5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0" zoomScaleNormal="130" workbookViewId="0">
      <selection activeCell="G37" sqref="G37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2" ht="12.75" x14ac:dyDescent="0.2">
      <c r="A1" s="1" t="s">
        <v>13</v>
      </c>
      <c r="B1" s="2">
        <v>0.6</v>
      </c>
    </row>
    <row r="2" spans="1:2" x14ac:dyDescent="0.2">
      <c r="A2" s="2" t="s">
        <v>5</v>
      </c>
      <c r="B2" s="2">
        <f>B7*B1</f>
        <v>4800</v>
      </c>
    </row>
    <row r="3" spans="1:2" x14ac:dyDescent="0.2">
      <c r="A3" s="2" t="s">
        <v>14</v>
      </c>
      <c r="B3" s="2" t="s">
        <v>14</v>
      </c>
    </row>
    <row r="4" spans="1:2" x14ac:dyDescent="0.2">
      <c r="A4" s="2" t="s">
        <v>6</v>
      </c>
      <c r="B4" s="2">
        <v>8000</v>
      </c>
    </row>
    <row r="5" spans="1:2" x14ac:dyDescent="0.2">
      <c r="A5" s="2" t="s">
        <v>7</v>
      </c>
      <c r="B5" s="2">
        <v>0</v>
      </c>
    </row>
    <row r="6" spans="1:2" x14ac:dyDescent="0.2">
      <c r="A6" s="2" t="s">
        <v>14</v>
      </c>
      <c r="B6" s="2" t="s">
        <v>14</v>
      </c>
    </row>
    <row r="7" spans="1:2" ht="12.75" x14ac:dyDescent="0.2">
      <c r="A7" s="2" t="s">
        <v>42</v>
      </c>
      <c r="B7" s="2">
        <f>B4*1</f>
        <v>8000</v>
      </c>
    </row>
    <row r="8" spans="1:2" ht="12.75" x14ac:dyDescent="0.2">
      <c r="A8" s="2" t="s">
        <v>43</v>
      </c>
      <c r="B8" s="2">
        <v>7250</v>
      </c>
    </row>
    <row r="9" spans="1:2" ht="12.75" x14ac:dyDescent="0.2">
      <c r="A9" s="2" t="s">
        <v>44</v>
      </c>
      <c r="B9" s="2">
        <v>10150</v>
      </c>
    </row>
    <row r="10" spans="1:2" x14ac:dyDescent="0.2">
      <c r="A10" s="2" t="s">
        <v>14</v>
      </c>
      <c r="B10" s="2" t="s">
        <v>14</v>
      </c>
    </row>
    <row r="11" spans="1:2" ht="12.75" x14ac:dyDescent="0.2">
      <c r="A11" s="2" t="s">
        <v>35</v>
      </c>
      <c r="B11" s="2">
        <f>B7-B2</f>
        <v>3200</v>
      </c>
    </row>
    <row r="12" spans="1:2" ht="12.75" x14ac:dyDescent="0.2">
      <c r="A12" s="2" t="s">
        <v>36</v>
      </c>
      <c r="B12" s="2">
        <f>B8-B2</f>
        <v>2450</v>
      </c>
    </row>
    <row r="13" spans="1:2" ht="12.75" x14ac:dyDescent="0.2">
      <c r="A13" s="2" t="s">
        <v>37</v>
      </c>
      <c r="B13" s="2">
        <f>B9-B2</f>
        <v>5350</v>
      </c>
    </row>
    <row r="14" spans="1:2" x14ac:dyDescent="0.2">
      <c r="A14" s="2" t="s">
        <v>14</v>
      </c>
      <c r="B14" s="2" t="s">
        <v>14</v>
      </c>
    </row>
    <row r="15" spans="1:2" x14ac:dyDescent="0.2">
      <c r="A15" s="2" t="s">
        <v>4</v>
      </c>
      <c r="B15" s="2">
        <v>8500</v>
      </c>
    </row>
    <row r="16" spans="1:2" x14ac:dyDescent="0.2">
      <c r="A16" s="2" t="s">
        <v>22</v>
      </c>
      <c r="B16" s="2">
        <v>1</v>
      </c>
    </row>
    <row r="17" spans="1:2" x14ac:dyDescent="0.2">
      <c r="A17" s="2" t="s">
        <v>12</v>
      </c>
      <c r="B17" s="3">
        <f>(SQRT(B16^2+1)+B16)^2</f>
        <v>5.8284271247461898</v>
      </c>
    </row>
    <row r="18" spans="1:2" ht="12.75" x14ac:dyDescent="0.2">
      <c r="A18" s="2" t="s">
        <v>38</v>
      </c>
      <c r="B18" s="2">
        <v>0</v>
      </c>
    </row>
    <row r="19" spans="1:2" x14ac:dyDescent="0.2">
      <c r="A19" s="2" t="s">
        <v>14</v>
      </c>
      <c r="B19" s="2" t="s">
        <v>14</v>
      </c>
    </row>
    <row r="20" spans="1:2" ht="12.75" x14ac:dyDescent="0.2">
      <c r="A20" s="2" t="s">
        <v>28</v>
      </c>
      <c r="B20" s="2">
        <v>45</v>
      </c>
    </row>
    <row r="21" spans="1:2" ht="12.75" x14ac:dyDescent="0.2">
      <c r="A21" s="2" t="s">
        <v>39</v>
      </c>
      <c r="B21" s="4">
        <f>ROUND(B2+((B11+B12)-((2*(B11-B12))*COS(RADIANS(180-B20)))-B15)/(1+B17),0)</f>
        <v>4538</v>
      </c>
    </row>
    <row r="22" spans="1:2" ht="12.75" x14ac:dyDescent="0.2">
      <c r="A22" s="2" t="s">
        <v>40</v>
      </c>
      <c r="B22" s="4">
        <f>ROUND(B2+((3*B11)-B12-B15)/(1+B17),0)</f>
        <v>4602</v>
      </c>
    </row>
    <row r="23" spans="1:2" ht="12.75" x14ac:dyDescent="0.2">
      <c r="A23" s="2" t="s">
        <v>41</v>
      </c>
      <c r="B23" s="2">
        <f>ROUND(B2+(3*B12)-B11+B18,0)</f>
        <v>8950</v>
      </c>
    </row>
    <row r="24" spans="1:2" ht="12.75" x14ac:dyDescent="0.2">
      <c r="A24" s="2" t="s">
        <v>32</v>
      </c>
      <c r="B24" s="9">
        <f>ROUND(B21/0.052/B$4,1)</f>
        <v>10.9</v>
      </c>
    </row>
    <row r="25" spans="1:2" ht="12.75" x14ac:dyDescent="0.2">
      <c r="A25" s="2" t="s">
        <v>33</v>
      </c>
      <c r="B25" s="9">
        <f t="shared" ref="B25:B26" si="0">ROUND(B22/0.052/B$4,1)</f>
        <v>11.1</v>
      </c>
    </row>
    <row r="26" spans="1:2" ht="12.75" x14ac:dyDescent="0.2">
      <c r="A26" s="2" t="s">
        <v>34</v>
      </c>
      <c r="B26" s="9">
        <f t="shared" si="0"/>
        <v>21.5</v>
      </c>
    </row>
    <row r="27" spans="1:2" x14ac:dyDescent="0.2">
      <c r="A27" s="2" t="s">
        <v>14</v>
      </c>
      <c r="B27" s="2" t="s">
        <v>14</v>
      </c>
    </row>
    <row r="28" spans="1:2" ht="12.75" x14ac:dyDescent="0.2">
      <c r="A28" s="2" t="s">
        <v>28</v>
      </c>
      <c r="B28" s="2">
        <v>45</v>
      </c>
    </row>
    <row r="29" spans="1:2" ht="12.75" x14ac:dyDescent="0.2">
      <c r="A29" s="2" t="s">
        <v>39</v>
      </c>
      <c r="B29" s="4">
        <f>ROUND(B2+((B13+B11)-((2*(B13-B11))*COS(RADIANS(180-B28)))-B15)/(1+B17),0)</f>
        <v>5253</v>
      </c>
    </row>
    <row r="30" spans="1:2" ht="12.75" x14ac:dyDescent="0.2">
      <c r="A30" s="2" t="s">
        <v>40</v>
      </c>
      <c r="B30" s="4">
        <f>ROUND(B2+((3*B13)-B11-B15)/(1+B17),0)</f>
        <v>5437</v>
      </c>
    </row>
    <row r="31" spans="1:2" ht="12.75" x14ac:dyDescent="0.2">
      <c r="A31" s="2" t="s">
        <v>41</v>
      </c>
      <c r="B31" s="4">
        <f>ROUND(B2+(3*B11)-B13+B18,0)</f>
        <v>9050</v>
      </c>
    </row>
    <row r="32" spans="1:2" ht="12.75" x14ac:dyDescent="0.2">
      <c r="A32" s="2" t="s">
        <v>32</v>
      </c>
      <c r="B32" s="9">
        <f>ROUND(B29/0.052/B$4,1)</f>
        <v>12.6</v>
      </c>
    </row>
    <row r="33" spans="1:2" ht="12.75" x14ac:dyDescent="0.2">
      <c r="A33" s="2" t="s">
        <v>33</v>
      </c>
      <c r="B33" s="9">
        <f t="shared" ref="B33:B34" si="1">ROUND(B30/0.052/B$4,1)</f>
        <v>13.1</v>
      </c>
    </row>
    <row r="34" spans="1:2" ht="12.75" x14ac:dyDescent="0.2">
      <c r="A34" s="2" t="s">
        <v>34</v>
      </c>
      <c r="B34" s="9">
        <f t="shared" si="1"/>
        <v>21.8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30" zoomScaleNormal="130" workbookViewId="0">
      <selection activeCell="K25" sqref="K25"/>
    </sheetView>
  </sheetViews>
  <sheetFormatPr defaultRowHeight="11.25" x14ac:dyDescent="0.2"/>
  <cols>
    <col min="1" max="1" width="26.6640625" style="2" bestFit="1" customWidth="1"/>
    <col min="2" max="2" width="8" style="2" customWidth="1"/>
    <col min="3" max="3" width="6.6640625" style="2" bestFit="1" customWidth="1"/>
    <col min="4" max="9" width="12.1640625" style="2" bestFit="1" customWidth="1"/>
    <col min="10" max="10" width="9.33203125" style="2"/>
    <col min="11" max="11" width="11.6640625" style="2" bestFit="1" customWidth="1"/>
    <col min="12" max="12" width="6.83203125" style="2" bestFit="1" customWidth="1"/>
    <col min="13" max="15" width="12.1640625" style="2" bestFit="1" customWidth="1"/>
    <col min="16" max="16384" width="9.33203125" style="2"/>
  </cols>
  <sheetData>
    <row r="1" spans="1:10" ht="12.75" x14ac:dyDescent="0.2">
      <c r="A1" s="2" t="s">
        <v>56</v>
      </c>
      <c r="B1" s="2" t="s">
        <v>52</v>
      </c>
      <c r="C1" s="2" t="s">
        <v>53</v>
      </c>
      <c r="D1" s="5" t="str">
        <f t="array" ref="D1:J1">TRANSPOSE([0]!wBO_70_Q2)</f>
        <v>wBO [°]</v>
      </c>
      <c r="E1" s="5" t="str">
        <v>PwBO [psi]</v>
      </c>
      <c r="F1" s="5" t="str">
        <v>Pwshear [psi]</v>
      </c>
      <c r="G1" s="5" t="str">
        <v>Pb [psi]</v>
      </c>
      <c r="H1" s="1" t="str">
        <v>PwBO [ppg]</v>
      </c>
      <c r="I1" s="5" t="str">
        <v>Pwshear [ppg]</v>
      </c>
      <c r="J1" s="5" t="str">
        <v>Pb [ppg]</v>
      </c>
    </row>
    <row r="2" spans="1:10" x14ac:dyDescent="0.2">
      <c r="A2" s="2" t="s">
        <v>55</v>
      </c>
      <c r="B2" s="2">
        <f>'Q5'!B11</f>
        <v>3200</v>
      </c>
      <c r="C2" s="2">
        <f>'Q5'!B12</f>
        <v>2450</v>
      </c>
      <c r="D2" s="2">
        <f t="array" ref="D2:J2">TRANSPOSE([0]!Q5_SHmax)</f>
        <v>45</v>
      </c>
      <c r="E2" s="2">
        <v>4538</v>
      </c>
      <c r="F2" s="2">
        <v>4602</v>
      </c>
      <c r="G2" s="2">
        <v>8950</v>
      </c>
      <c r="H2" s="2">
        <v>10.9</v>
      </c>
      <c r="I2" s="2">
        <v>11.1</v>
      </c>
      <c r="J2" s="2">
        <v>21.5</v>
      </c>
    </row>
    <row r="3" spans="1:10" x14ac:dyDescent="0.2">
      <c r="A3" s="2" t="s">
        <v>54</v>
      </c>
      <c r="B3" s="2">
        <f>'Q5'!B13</f>
        <v>5350</v>
      </c>
      <c r="C3" s="2">
        <f>'Q5'!B11</f>
        <v>3200</v>
      </c>
      <c r="D3" s="2">
        <f t="array" ref="D3:J3">TRANSPOSE([0]!Q5_Shmin)</f>
        <v>45</v>
      </c>
      <c r="E3" s="2">
        <v>5253</v>
      </c>
      <c r="F3" s="2">
        <v>5437</v>
      </c>
      <c r="G3" s="2">
        <v>9050</v>
      </c>
      <c r="H3" s="2">
        <v>12.6</v>
      </c>
      <c r="I3" s="2">
        <v>13.1</v>
      </c>
      <c r="J3" s="2">
        <v>21.8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Q1</vt:lpstr>
      <vt:lpstr>Q2</vt:lpstr>
      <vt:lpstr>Q2_Summary</vt:lpstr>
      <vt:lpstr>Q3</vt:lpstr>
      <vt:lpstr>Q3_Summary</vt:lpstr>
      <vt:lpstr>Q4</vt:lpstr>
      <vt:lpstr>Q4_Summary</vt:lpstr>
      <vt:lpstr>Q5</vt:lpstr>
      <vt:lpstr>Q5_Summary</vt:lpstr>
      <vt:lpstr>'Q1'!a</vt:lpstr>
      <vt:lpstr>'Q1'!Pp</vt:lpstr>
      <vt:lpstr>'Q1'!Pw</vt:lpstr>
      <vt:lpstr>Q5_SHmax</vt:lpstr>
      <vt:lpstr>Q5_Shmin</vt:lpstr>
      <vt:lpstr>'Q1'!SHmax</vt:lpstr>
      <vt:lpstr>'Q1'!Shmin</vt:lpstr>
      <vt:lpstr>'Q1'!sigma_Hmax</vt:lpstr>
      <vt:lpstr>'Q1'!sigma_hmin</vt:lpstr>
      <vt:lpstr>wBO_0_Q2</vt:lpstr>
      <vt:lpstr>wBO_0_Q3</vt:lpstr>
      <vt:lpstr>wBO_0_Q4</vt:lpstr>
      <vt:lpstr>wBO_45_Q3</vt:lpstr>
      <vt:lpstr>wBO_45_Q4</vt:lpstr>
      <vt:lpstr>wBO_70_Q2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Jeffery S</dc:creator>
  <cp:lastModifiedBy>Luo, Jeffery S</cp:lastModifiedBy>
  <dcterms:created xsi:type="dcterms:W3CDTF">2018-11-05T22:45:51Z</dcterms:created>
  <dcterms:modified xsi:type="dcterms:W3CDTF">2018-11-09T16:56:54Z</dcterms:modified>
</cp:coreProperties>
</file>