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cercises\excercises\"/>
    </mc:Choice>
  </mc:AlternateContent>
  <xr:revisionPtr revIDLastSave="0" documentId="13_ncr:1_{2A53AE57-FA08-4AAD-8521-B80213B91D98}" xr6:coauthVersionLast="43" xr6:coauthVersionMax="43" xr10:uidLastSave="{00000000-0000-0000-0000-000000000000}"/>
  <bookViews>
    <workbookView xWindow="-110" yWindow="-110" windowWidth="25820" windowHeight="14020" tabRatio="422" xr2:uid="{00000000-000D-0000-FFFF-FFFF00000000}"/>
  </bookViews>
  <sheets>
    <sheet name="IPR" sheetId="110" r:id="rId1"/>
  </sheets>
  <externalReferences>
    <externalReference r:id="rId2"/>
  </externalReferences>
  <definedNames>
    <definedName name="Bob_" localSheetId="0">IPR!$C$14</definedName>
    <definedName name="fw_">IPR!$C$16</definedName>
    <definedName name="gamma_gas_" localSheetId="0">IPR!$C$9</definedName>
    <definedName name="gamma_oil_" localSheetId="0">IPR!$C$7</definedName>
    <definedName name="gamma_wat_">IPR!$C$8</definedName>
    <definedName name="muob_">IPR!$C$15</definedName>
    <definedName name="N_" localSheetId="0">IPR!$C$29</definedName>
    <definedName name="Pb_">IPR!$C$17</definedName>
    <definedName name="Pb_cal_">IPR!$C$12</definedName>
    <definedName name="PI_" localSheetId="0">IPR!$C$25</definedName>
    <definedName name="Pres_" localSheetId="0">IPR!$C$24</definedName>
    <definedName name="Pwftest_">IPR!$C$21</definedName>
    <definedName name="qltest_">IPR!$C$20</definedName>
    <definedName name="qmax_">IPR!$C$26</definedName>
    <definedName name="Rp_" localSheetId="0">IPR!$C$11</definedName>
    <definedName name="Rsb_" localSheetId="0">IPR!$C$10</definedName>
    <definedName name="Tres_" localSheetId="0">IPR!$C$13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4" i="110" l="1"/>
  <c r="D50" i="110"/>
  <c r="D56" i="110"/>
  <c r="D59" i="110"/>
  <c r="D48" i="110"/>
  <c r="D55" i="110"/>
  <c r="E55" i="110" s="1"/>
  <c r="E44" i="110"/>
  <c r="E50" i="110"/>
  <c r="E56" i="110"/>
  <c r="D45" i="110"/>
  <c r="D51" i="110"/>
  <c r="E51" i="110" s="1"/>
  <c r="D57" i="110"/>
  <c r="E45" i="110"/>
  <c r="E57" i="110"/>
  <c r="D53" i="110"/>
  <c r="E53" i="110" s="1"/>
  <c r="E59" i="110"/>
  <c r="D54" i="110"/>
  <c r="E48" i="110"/>
  <c r="D49" i="110"/>
  <c r="E49" i="110" s="1"/>
  <c r="D46" i="110"/>
  <c r="D52" i="110"/>
  <c r="D58" i="110"/>
  <c r="E46" i="110"/>
  <c r="E52" i="110"/>
  <c r="E58" i="110"/>
  <c r="D41" i="110"/>
  <c r="D47" i="110"/>
  <c r="E47" i="110" s="1"/>
  <c r="E41" i="110"/>
  <c r="D42" i="110"/>
  <c r="E42" i="110" s="1"/>
  <c r="D60" i="110"/>
  <c r="E60" i="110" s="1"/>
  <c r="E54" i="110"/>
  <c r="D43" i="110"/>
  <c r="E43" i="110" s="1"/>
  <c r="E40" i="110"/>
  <c r="D40" i="110"/>
  <c r="C26" i="110"/>
  <c r="G1" i="110"/>
  <c r="C17" i="110"/>
  <c r="C25" i="110" s="1"/>
  <c r="E12" i="110" l="1"/>
  <c r="E17" i="110" l="1"/>
  <c r="E16" i="110" l="1"/>
  <c r="E13" i="110"/>
  <c r="E11" i="110"/>
  <c r="E10" i="110"/>
  <c r="E9" i="110"/>
  <c r="E8" i="110"/>
  <c r="E7" i="110"/>
  <c r="C41" i="110" l="1"/>
  <c r="C42" i="110" l="1"/>
  <c r="C43" i="110" l="1"/>
  <c r="C44" i="110" l="1"/>
  <c r="C45" i="110" l="1"/>
  <c r="C46" i="110" l="1"/>
  <c r="C47" i="110" l="1"/>
  <c r="C48" i="110" l="1"/>
  <c r="C49" i="110" l="1"/>
  <c r="C50" i="110" l="1"/>
  <c r="C51" i="110" l="1"/>
  <c r="C52" i="110" l="1"/>
  <c r="C53" i="110" l="1"/>
  <c r="C54" i="110" l="1"/>
  <c r="C55" i="110" l="1"/>
  <c r="C56" i="110" l="1"/>
  <c r="C57" i="110" l="1"/>
  <c r="C58" i="110" l="1"/>
  <c r="C59" i="110" l="1"/>
  <c r="C60" i="110" l="1"/>
</calcChain>
</file>

<file path=xl/sharedStrings.xml><?xml version="1.0" encoding="utf-8"?>
<sst xmlns="http://schemas.openxmlformats.org/spreadsheetml/2006/main" count="51" uniqueCount="41">
  <si>
    <t>Параметры пласта</t>
  </si>
  <si>
    <t>Q</t>
  </si>
  <si>
    <t>Pwf</t>
  </si>
  <si>
    <t>%</t>
  </si>
  <si>
    <t>N</t>
  </si>
  <si>
    <t>Измеренные значение дебита и забойного давления</t>
  </si>
  <si>
    <t>Упражнения по работе с макросами Unifloc VBA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</si>
  <si>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</si>
  <si>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</si>
  <si>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</si>
  <si>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</si>
  <si>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</si>
  <si>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</si>
  <si>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</si>
  <si>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</si>
  <si>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</si>
  <si>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</si>
  <si>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</si>
  <si>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</si>
  <si>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</si>
  <si>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</si>
  <si>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</si>
  <si>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</si>
  <si>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r>
      <t>f</t>
    </r>
    <r>
      <rPr>
        <vertAlign val="subscript"/>
        <sz val="10"/>
        <rFont val="Arial Cyr"/>
        <charset val="204"/>
      </rPr>
      <t>w</t>
    </r>
  </si>
  <si>
    <r>
      <t>Q</t>
    </r>
    <r>
      <rPr>
        <vertAlign val="subscript"/>
        <sz val="10"/>
        <rFont val="Arial Cyr"/>
        <charset val="204"/>
      </rPr>
      <t>l test</t>
    </r>
  </si>
  <si>
    <r>
      <t>P</t>
    </r>
    <r>
      <rPr>
        <vertAlign val="subscript"/>
        <sz val="10"/>
        <rFont val="Arial Cyr"/>
        <charset val="204"/>
      </rPr>
      <t>wf test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</si>
  <si>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</si>
  <si>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</si>
  <si>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r>
      <rPr>
        <sz val="11"/>
        <color theme="1"/>
        <rFont val="Calibri"/>
        <family val="2"/>
        <charset val="204"/>
      </rPr>
      <t>°</t>
    </r>
    <r>
      <rPr>
        <sz val="10"/>
        <rFont val="Arial Cyr"/>
        <charset val="204"/>
      </rPr>
      <t>С</t>
    </r>
  </si>
  <si>
    <t>атма</t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</si>
  <si>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</si>
  <si>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/сут/атм</t>
    </r>
  </si>
  <si>
    <r>
      <t>Q</t>
    </r>
    <r>
      <rPr>
        <vertAlign val="subscript"/>
        <sz val="10"/>
        <rFont val="Arial Cyr"/>
        <charset val="204"/>
      </rPr>
      <t>max</t>
    </r>
  </si>
  <si>
    <t>Настройка графика</t>
  </si>
  <si>
    <t>Упражнение</t>
  </si>
  <si>
    <t>Постройте индикаторную кривую</t>
  </si>
  <si>
    <t>Построение индикаторной кривой</t>
  </si>
  <si>
    <t>версия</t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</si>
  <si>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</si>
  <si>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</si>
  <si>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t>д.ед.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</si>
</sst>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sz val="10"/>
      <name val="Arial Cyr"/>
      <family val="2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5" fillId="0" borderId="0" xfId="0" applyFont="1"/>
    <xf numFmtId="0" fontId="0" fillId="2" borderId="2" xfId="0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3" borderId="0" xfId="0" applyFont="1" applyFill="1" applyAlignment="1">
      <alignment horizontal="center" vertical="center"/>
    </xf>
    <xf numFmtId="1" fontId="0" fillId="4" borderId="2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2" fontId="0" fillId="4" borderId="2" xfId="0" applyNumberFormat="1" applyFont="1" applyFill="1" applyBorder="1" applyAlignment="1">
      <alignment horizontal="center"/>
    </xf>
    <xf numFmtId="1" fontId="0" fillId="2" borderId="2" xfId="0" applyNumberFormat="1" applyFill="1" applyBorder="1" applyAlignment="1">
      <alignment horizontal="center" vertic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Индикаторная</a:t>
            </a:r>
            <a:r>
              <a:rPr lang="ru-RU" baseline="0"/>
              <a:t> кривая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282688271518871E-2"/>
          <c:y val="0.10465538417239591"/>
          <c:w val="0.79459995901803337"/>
          <c:h val="0.705314592802898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IPR!$C$40:$C$60</c:f>
              <c:numCache>
                <c:formatCode>0</c:formatCode>
                <c:ptCount val="21"/>
                <c:pt idx="0">
                  <c:v>0</c:v>
                </c:pt>
                <c:pt idx="1">
                  <c:v>9.9187474546011547</c:v>
                </c:pt>
                <c:pt idx="2">
                  <c:v>19.837494909202309</c:v>
                </c:pt>
                <c:pt idx="3">
                  <c:v>29.756242363803466</c:v>
                </c:pt>
                <c:pt idx="4">
                  <c:v>39.674989818404619</c:v>
                </c:pt>
                <c:pt idx="5">
                  <c:v>49.593737273005772</c:v>
                </c:pt>
                <c:pt idx="6">
                  <c:v>59.512484727606925</c:v>
                </c:pt>
                <c:pt idx="7">
                  <c:v>69.431232182208078</c:v>
                </c:pt>
                <c:pt idx="8">
                  <c:v>79.349979636809238</c:v>
                </c:pt>
                <c:pt idx="9">
                  <c:v>89.268727091410398</c:v>
                </c:pt>
                <c:pt idx="10">
                  <c:v>99.187474546011558</c:v>
                </c:pt>
                <c:pt idx="11">
                  <c:v>109.10622200061272</c:v>
                </c:pt>
                <c:pt idx="12">
                  <c:v>119.02496945521388</c:v>
                </c:pt>
                <c:pt idx="13">
                  <c:v>128.94371690981504</c:v>
                </c:pt>
                <c:pt idx="14">
                  <c:v>138.86246436441618</c:v>
                </c:pt>
                <c:pt idx="15">
                  <c:v>148.78121181901733</c:v>
                </c:pt>
                <c:pt idx="16">
                  <c:v>158.69995927361848</c:v>
                </c:pt>
                <c:pt idx="17">
                  <c:v>168.61870672821962</c:v>
                </c:pt>
                <c:pt idx="18">
                  <c:v>178.53745418282077</c:v>
                </c:pt>
                <c:pt idx="19">
                  <c:v>188.45620163742191</c:v>
                </c:pt>
                <c:pt idx="20">
                  <c:v>198.37494909202306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110.89439013405214</c:v>
                </c:pt>
                <c:pt idx="15">
                  <c:v>100.02727433529388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59.833402917957898</c:v>
                </c:pt>
                <c:pt idx="19">
                  <c:v>40.383204097085397</c:v>
                </c:pt>
                <c:pt idx="20">
                  <c:v>2.8181536965155018E-13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575-AD62-0EA9CB906778}"/>
            </c:ext>
          </c:extLst>
        </c:ser>
        <c:ser>
          <c:idx val="1"/>
          <c:order val="1"/>
          <c:xVal>
            <c:numRef>
              <c:f>IPR!$E$40:$E$60</c:f>
              <c:numCache>
                <c:formatCode>0</c:formatCode>
                <c:ptCount val="21"/>
                <c:pt idx="0">
                  <c:v>0</c:v>
                </c:pt>
                <c:pt idx="1">
                  <c:v>9.9187474546011458</c:v>
                </c:pt>
                <c:pt idx="2">
                  <c:v>19.83749490920232</c:v>
                </c:pt>
                <c:pt idx="3">
                  <c:v>29.756242363803466</c:v>
                </c:pt>
                <c:pt idx="4">
                  <c:v>39.674989818404612</c:v>
                </c:pt>
                <c:pt idx="5">
                  <c:v>49.593737273005786</c:v>
                </c:pt>
                <c:pt idx="6">
                  <c:v>59.512484727606932</c:v>
                </c:pt>
                <c:pt idx="7">
                  <c:v>69.431232182208078</c:v>
                </c:pt>
                <c:pt idx="8">
                  <c:v>79.349979636809223</c:v>
                </c:pt>
                <c:pt idx="9">
                  <c:v>89.268727091410398</c:v>
                </c:pt>
                <c:pt idx="10">
                  <c:v>99.187474546011572</c:v>
                </c:pt>
                <c:pt idx="11">
                  <c:v>109.10622200061272</c:v>
                </c:pt>
                <c:pt idx="12">
                  <c:v>119.02496945521386</c:v>
                </c:pt>
                <c:pt idx="13">
                  <c:v>128.94371690981504</c:v>
                </c:pt>
                <c:pt idx="14">
                  <c:v>138.86246436441624</c:v>
                </c:pt>
                <c:pt idx="15">
                  <c:v>148.78121181901744</c:v>
                </c:pt>
                <c:pt idx="16">
                  <c:v>158.69995927361836</c:v>
                </c:pt>
                <c:pt idx="17">
                  <c:v>168.61870672821959</c:v>
                </c:pt>
                <c:pt idx="18">
                  <c:v>178.53745418282082</c:v>
                </c:pt>
                <c:pt idx="19">
                  <c:v>188.45620163742174</c:v>
                </c:pt>
                <c:pt idx="20">
                  <c:v>198.37494909202306</c:v>
                </c:pt>
              </c:numCache>
            </c:numRef>
          </c:xVal>
          <c:yVal>
            <c:numRef>
              <c:f>IPR!$D$40:$D$60</c:f>
              <c:numCache>
                <c:formatCode>0</c:formatCode>
                <c:ptCount val="21"/>
                <c:pt idx="0">
                  <c:v>250</c:v>
                </c:pt>
                <c:pt idx="1">
                  <c:v>240.08125254539885</c:v>
                </c:pt>
                <c:pt idx="2">
                  <c:v>230.16250509079768</c:v>
                </c:pt>
                <c:pt idx="3">
                  <c:v>220.24375763619653</c:v>
                </c:pt>
                <c:pt idx="4">
                  <c:v>210.32501018159539</c:v>
                </c:pt>
                <c:pt idx="5">
                  <c:v>200.40626272699421</c:v>
                </c:pt>
                <c:pt idx="6">
                  <c:v>190.48751527239307</c:v>
                </c:pt>
                <c:pt idx="7">
                  <c:v>180.56876781779192</c:v>
                </c:pt>
                <c:pt idx="8">
                  <c:v>170.65002036319078</c:v>
                </c:pt>
                <c:pt idx="9">
                  <c:v>160.7312729085896</c:v>
                </c:pt>
                <c:pt idx="10">
                  <c:v>150.81252545398843</c:v>
                </c:pt>
                <c:pt idx="11">
                  <c:v>140.89377799938728</c:v>
                </c:pt>
                <c:pt idx="12">
                  <c:v>130.97503054478614</c:v>
                </c:pt>
                <c:pt idx="13">
                  <c:v>121.05628309018496</c:v>
                </c:pt>
                <c:pt idx="14">
                  <c:v>110.89439013405214</c:v>
                </c:pt>
                <c:pt idx="15">
                  <c:v>100.02727433529388</c:v>
                </c:pt>
                <c:pt idx="16">
                  <c:v>88.220870330268156</c:v>
                </c:pt>
                <c:pt idx="17">
                  <c:v>75.082562520816197</c:v>
                </c:pt>
                <c:pt idx="18">
                  <c:v>59.833402917957898</c:v>
                </c:pt>
                <c:pt idx="19">
                  <c:v>40.383204097085397</c:v>
                </c:pt>
                <c:pt idx="20">
                  <c:v>2.8181536965155018E-13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575-AD62-0EA9CB906778}"/>
            </c:ext>
          </c:extLst>
        </c:ser>
        <c:ser>
          <c:idx val="2"/>
          <c:order val="2"/>
          <c:tx>
            <c:v>Измеренные значение давления и дебита</c:v>
          </c:tx>
          <c:marker>
            <c:symbol val="circle"/>
            <c:size val="10"/>
            <c:spPr>
              <a:solidFill>
                <a:srgbClr val="0070C0"/>
              </a:solidFill>
            </c:spPr>
          </c:marker>
          <c:xVal>
            <c:numRef>
              <c:f>IPR!$C$20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IPR!$C$21</c:f>
              <c:numCache>
                <c:formatCode>General</c:formatCode>
                <c:ptCount val="1"/>
                <c:pt idx="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34-4575-AD62-0EA9CB906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04864"/>
        <c:axId val="228805440"/>
      </c:scatterChart>
      <c:valAx>
        <c:axId val="228804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 </a:t>
                </a:r>
                <a:r>
                  <a:rPr lang="ru-RU" baseline="0"/>
                  <a:t>м3/сут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9625196877125629"/>
              <c:y val="0.864770932005086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5440"/>
        <c:crosses val="autoZero"/>
        <c:crossBetween val="midCat"/>
      </c:valAx>
      <c:valAx>
        <c:axId val="2288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 на забое,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27809283506698373"/>
          <c:y val="0.91188603978379823"/>
          <c:w val="0.32308472960995593"/>
          <c:h val="4.6826789834569935E-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10984</xdr:colOff>
      <xdr:row>6</xdr:row>
      <xdr:rowOff>24473</xdr:rowOff>
    </xdr:from>
    <xdr:to>
      <xdr:col>15</xdr:col>
      <xdr:colOff>583407</xdr:colOff>
      <xdr:row>16</xdr:row>
      <xdr:rowOff>18739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811584" y="996023"/>
          <a:ext cx="5868323" cy="226121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/>
            <a:t>Постройте</a:t>
          </a:r>
          <a:r>
            <a:rPr lang="ru-RU" sz="1100" baseline="0"/>
            <a:t> индикаторную кривую для заданных параметров пласта и флюида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упражению: </a:t>
          </a:r>
        </a:p>
        <a:p>
          <a:endParaRPr lang="ru-RU" sz="1100" baseline="0"/>
        </a:p>
        <a:p>
          <a:r>
            <a:rPr lang="ru-RU" sz="1100" baseline="0"/>
            <a:t>1. Какие данные нужны для оценки продуктивность скважины?</a:t>
          </a:r>
        </a:p>
        <a:p>
          <a:r>
            <a:rPr lang="ru-RU" sz="1100" baseline="0"/>
            <a:t>2. Зависит ли вид индикаторной кривой от газового фактора?</a:t>
          </a:r>
        </a:p>
        <a:p>
          <a:endParaRPr lang="ru-RU" sz="1100" baseline="0"/>
        </a:p>
      </xdr:txBody>
    </xdr:sp>
    <xdr:clientData/>
  </xdr:twoCellAnchor>
  <xdr:twoCellAnchor>
    <xdr:from>
      <xdr:col>6</xdr:col>
      <xdr:colOff>305535</xdr:colOff>
      <xdr:row>37</xdr:row>
      <xdr:rowOff>2932</xdr:rowOff>
    </xdr:from>
    <xdr:to>
      <xdr:col>15</xdr:col>
      <xdr:colOff>323851</xdr:colOff>
      <xdr:row>61</xdr:row>
      <xdr:rowOff>38100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IPR_p_wf_atma"/>
      <definedName name="IPR_pi_sm3dayatm"/>
      <definedName name="IPR_q_liq_sm3day"/>
      <definedName name="PVT_pb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F2CB-CA9A-4D36-8FBB-912A5C123D3A}">
  <sheetPr codeName="Worksheet_IPR">
    <outlinePr summaryBelow="0"/>
  </sheetPr>
  <dimension ref="A1:G60"/>
  <sheetViews>
    <sheetView tabSelected="1" topLeftCell="A16" zoomScale="85" zoomScaleNormal="85" workbookViewId="0">
      <selection activeCell="F31" sqref="F31"/>
    </sheetView>
  </sheetViews>
  <sheetFormatPr defaultRowHeight="12.5" outlineLevelRow="1" x14ac:dyDescent="0.25"/>
  <cols>
    <col min="2" max="2" width="11" customWidth="1"/>
    <col min="3" max="3" width="10.54296875" customWidth="1"/>
    <col min="4" max="4" width="9.81640625" customWidth="1"/>
    <col min="5" max="5" width="11.26953125" customWidth="1"/>
    <col min="6" max="6" width="9.81640625" customWidth="1"/>
    <col min="7" max="7" width="10.26953125" customWidth="1"/>
    <col min="8" max="8" width="12.26953125" customWidth="1"/>
    <col min="10" max="10" width="11.26953125" customWidth="1"/>
    <col min="11" max="11" width="10.1796875" customWidth="1"/>
    <col min="22" max="32" width="9.1796875" customWidth="1"/>
  </cols>
  <sheetData>
    <row r="1" spans="1:7" ht="13" x14ac:dyDescent="0.3">
      <c r="A1" s="1" t="s">
        <v>6</v>
      </c>
      <c r="F1" t="s">
        <v>37</v>
      </c>
      <c r="G1" t="str">
        <f>[1]!getUFVersion()</f>
        <v>7.10</v>
      </c>
    </row>
    <row r="2" spans="1:7" x14ac:dyDescent="0.25">
      <c r="A2" t="s">
        <v>36</v>
      </c>
    </row>
    <row r="6" spans="1:7" ht="13" x14ac:dyDescent="0.3">
      <c r="A6" s="1" t="s">
        <v>7</v>
      </c>
    </row>
    <row r="7" spans="1:7" ht="17.5" outlineLevel="1" x14ac:dyDescent="0.45">
      <c r="B7" s="3" t="s">
        <v>8</v>
      </c>
      <c r="C7" s="2">
        <v>0.87</v>
      </c>
      <c r="D7" s="4"/>
      <c r="E7" s="11">
        <f>gamma_oil_*1000</f>
        <v>870</v>
      </c>
      <c r="F7" s="12" t="s">
        <v>38</v>
      </c>
    </row>
    <row r="8" spans="1:7" ht="17.5" outlineLevel="1" x14ac:dyDescent="0.45">
      <c r="B8" s="5" t="s">
        <v>9</v>
      </c>
      <c r="C8" s="2">
        <v>1</v>
      </c>
      <c r="D8" s="4"/>
      <c r="E8" s="11">
        <f>gamma_wat_*1000</f>
        <v>1000</v>
      </c>
      <c r="F8" s="12" t="s">
        <v>38</v>
      </c>
    </row>
    <row r="9" spans="1:7" ht="17.5" outlineLevel="1" x14ac:dyDescent="0.45">
      <c r="B9" s="5" t="s">
        <v>10</v>
      </c>
      <c r="C9" s="2">
        <v>0.8</v>
      </c>
      <c r="D9" s="4"/>
      <c r="E9" s="11">
        <f>gamma_gas_*1.22</f>
        <v>0.97599999999999998</v>
      </c>
      <c r="F9" s="12" t="s">
        <v>38</v>
      </c>
    </row>
    <row r="10" spans="1:7" ht="17.5" outlineLevel="1" x14ac:dyDescent="0.45">
      <c r="B10" s="6" t="s">
        <v>11</v>
      </c>
      <c r="C10" s="2">
        <v>80</v>
      </c>
      <c r="D10" s="5" t="s">
        <v>12</v>
      </c>
      <c r="E10" s="11">
        <f>Rsb_/gamma_oil_</f>
        <v>91.954022988505741</v>
      </c>
      <c r="F10" s="12" t="s">
        <v>39</v>
      </c>
    </row>
    <row r="11" spans="1:7" ht="17.5" outlineLevel="1" x14ac:dyDescent="0.45">
      <c r="B11" s="6" t="s">
        <v>13</v>
      </c>
      <c r="C11" s="2">
        <v>80</v>
      </c>
      <c r="D11" s="5" t="s">
        <v>12</v>
      </c>
      <c r="E11" s="11">
        <f>Rsb_/gamma_oil_</f>
        <v>91.954022988505741</v>
      </c>
      <c r="F11" s="12" t="s">
        <v>39</v>
      </c>
    </row>
    <row r="12" spans="1:7" ht="16.5" outlineLevel="1" x14ac:dyDescent="0.45">
      <c r="B12" s="5" t="s">
        <v>14</v>
      </c>
      <c r="C12" s="2">
        <v>120</v>
      </c>
      <c r="D12" s="5" t="s">
        <v>15</v>
      </c>
      <c r="E12" s="11">
        <f>Pb_cal_*1.01325/10</f>
        <v>12.159000000000001</v>
      </c>
      <c r="F12" s="12" t="s">
        <v>16</v>
      </c>
    </row>
    <row r="13" spans="1:7" ht="16.5" outlineLevel="1" x14ac:dyDescent="0.45">
      <c r="B13" s="5" t="s">
        <v>17</v>
      </c>
      <c r="C13" s="2">
        <v>100</v>
      </c>
      <c r="D13" s="8" t="s">
        <v>28</v>
      </c>
      <c r="E13" s="11">
        <f>Tres_*9/5+32</f>
        <v>212</v>
      </c>
      <c r="F13" s="12" t="s">
        <v>18</v>
      </c>
    </row>
    <row r="14" spans="1:7" ht="17.5" outlineLevel="1" x14ac:dyDescent="0.45">
      <c r="B14" s="6" t="s">
        <v>19</v>
      </c>
      <c r="C14" s="2">
        <v>1.2</v>
      </c>
      <c r="D14" s="5" t="s">
        <v>12</v>
      </c>
      <c r="E14" s="5"/>
      <c r="F14" s="4"/>
    </row>
    <row r="15" spans="1:7" ht="16.5" outlineLevel="1" x14ac:dyDescent="0.45">
      <c r="B15" s="7" t="s">
        <v>20</v>
      </c>
      <c r="C15" s="2">
        <v>1</v>
      </c>
      <c r="D15" s="5" t="s">
        <v>21</v>
      </c>
      <c r="E15" s="5"/>
      <c r="F15" s="4"/>
    </row>
    <row r="16" spans="1:7" ht="15.5" x14ac:dyDescent="0.4">
      <c r="B16" s="7" t="s">
        <v>23</v>
      </c>
      <c r="C16" s="2">
        <v>22</v>
      </c>
      <c r="D16" s="5" t="s">
        <v>3</v>
      </c>
      <c r="E16" s="13">
        <f>fw_/100</f>
        <v>0.22</v>
      </c>
      <c r="F16" s="12" t="s">
        <v>40</v>
      </c>
    </row>
    <row r="17" spans="1:6" ht="16.5" x14ac:dyDescent="0.45">
      <c r="B17" s="5" t="s">
        <v>22</v>
      </c>
      <c r="C17" s="9">
        <f>[1]!PVT_pb_atma(Tres_,gamma_gas_,gamma_oil_,gamma_wat_,Rsb_,Rp_,Pb_cal_,Tres_,Bob_,muob_)</f>
        <v>120</v>
      </c>
      <c r="D17" s="5" t="s">
        <v>15</v>
      </c>
      <c r="E17" s="11">
        <f>Pb_*1.01325/10</f>
        <v>12.159000000000001</v>
      </c>
      <c r="F17" s="12" t="s">
        <v>16</v>
      </c>
    </row>
    <row r="19" spans="1:6" ht="13" x14ac:dyDescent="0.3">
      <c r="A19" s="1" t="s">
        <v>5</v>
      </c>
      <c r="B19" s="1"/>
      <c r="C19" s="1"/>
      <c r="D19" s="1"/>
    </row>
    <row r="20" spans="1:6" ht="18" customHeight="1" x14ac:dyDescent="0.4">
      <c r="B20" s="7" t="s">
        <v>24</v>
      </c>
      <c r="C20" s="2">
        <v>100</v>
      </c>
      <c r="D20" s="5" t="s">
        <v>30</v>
      </c>
    </row>
    <row r="21" spans="1:6" ht="18" customHeight="1" x14ac:dyDescent="0.4">
      <c r="B21" s="7" t="s">
        <v>25</v>
      </c>
      <c r="C21" s="2">
        <v>150</v>
      </c>
      <c r="D21" s="5" t="s">
        <v>29</v>
      </c>
    </row>
    <row r="23" spans="1:6" ht="13" x14ac:dyDescent="0.3">
      <c r="A23" s="1" t="s">
        <v>0</v>
      </c>
    </row>
    <row r="24" spans="1:6" ht="19.5" customHeight="1" x14ac:dyDescent="0.4">
      <c r="B24" s="7" t="s">
        <v>27</v>
      </c>
      <c r="C24" s="2">
        <v>250</v>
      </c>
      <c r="D24" s="5" t="s">
        <v>29</v>
      </c>
    </row>
    <row r="25" spans="1:6" ht="19.5" customHeight="1" x14ac:dyDescent="0.35">
      <c r="B25" s="7" t="s">
        <v>26</v>
      </c>
      <c r="C25" s="10">
        <f>[1]!IPR_pi_sm3dayatm(qltest_,Pwftest_,Pres_,fw_,Pb_)</f>
        <v>1</v>
      </c>
      <c r="D25" s="5" t="s">
        <v>31</v>
      </c>
    </row>
    <row r="26" spans="1:6" ht="19.5" customHeight="1" x14ac:dyDescent="0.4">
      <c r="B26" s="5" t="s">
        <v>32</v>
      </c>
      <c r="C26" s="9">
        <f>[1]!IPR_q_liq_sm3day(PI_,Pres_,0,fw_,Pb_)</f>
        <v>198.37494909202309</v>
      </c>
      <c r="D26" s="5" t="s">
        <v>30</v>
      </c>
    </row>
    <row r="28" spans="1:6" x14ac:dyDescent="0.25">
      <c r="A28" t="s">
        <v>33</v>
      </c>
    </row>
    <row r="29" spans="1:6" ht="14.5" x14ac:dyDescent="0.35">
      <c r="B29" s="7" t="s">
        <v>4</v>
      </c>
      <c r="C29" s="2">
        <v>20</v>
      </c>
      <c r="D29" s="4"/>
    </row>
    <row r="34" spans="1:5" x14ac:dyDescent="0.25">
      <c r="A34" t="s">
        <v>34</v>
      </c>
    </row>
    <row r="35" spans="1:5" x14ac:dyDescent="0.25">
      <c r="A35" t="s">
        <v>35</v>
      </c>
    </row>
    <row r="39" spans="1:5" x14ac:dyDescent="0.25">
      <c r="C39" s="5" t="s">
        <v>1</v>
      </c>
      <c r="D39" s="4" t="s">
        <v>2</v>
      </c>
      <c r="E39" s="4" t="s">
        <v>1</v>
      </c>
    </row>
    <row r="40" spans="1:5" x14ac:dyDescent="0.25">
      <c r="C40" s="14">
        <v>0</v>
      </c>
      <c r="D40" s="9">
        <f>[1]!IPR_p_wf_atma(PI_,Pres_,C40,fw_,Pb_)</f>
        <v>250</v>
      </c>
      <c r="E40" s="9">
        <f>[1]!IPR_q_liq_sm3day(PI_,Pres_,D40,fw_,Pb_)</f>
        <v>0</v>
      </c>
    </row>
    <row r="41" spans="1:5" x14ac:dyDescent="0.25">
      <c r="C41" s="14">
        <f t="shared" ref="C41:C60" si="0">C40+qmax_/N_</f>
        <v>9.9187474546011547</v>
      </c>
      <c r="D41" s="9">
        <f>[1]!IPR_p_wf_atma(PI_,Pres_,C41,fw_,Pb_)</f>
        <v>240.08125254539885</v>
      </c>
      <c r="E41" s="9">
        <f>[1]!IPR_q_liq_sm3day(PI_,Pres_,D41,fw_,Pb_)</f>
        <v>9.9187474546011458</v>
      </c>
    </row>
    <row r="42" spans="1:5" x14ac:dyDescent="0.25">
      <c r="C42" s="14">
        <f t="shared" si="0"/>
        <v>19.837494909202309</v>
      </c>
      <c r="D42" s="9">
        <f>[1]!IPR_p_wf_atma(PI_,Pres_,C42,fw_,Pb_)</f>
        <v>230.16250509079768</v>
      </c>
      <c r="E42" s="9">
        <f>[1]!IPR_q_liq_sm3day(PI_,Pres_,D42,fw_,Pb_)</f>
        <v>19.83749490920232</v>
      </c>
    </row>
    <row r="43" spans="1:5" x14ac:dyDescent="0.25">
      <c r="C43" s="14">
        <f t="shared" si="0"/>
        <v>29.756242363803466</v>
      </c>
      <c r="D43" s="9">
        <f>[1]!IPR_p_wf_atma(PI_,Pres_,C43,fw_,Pb_)</f>
        <v>220.24375763619653</v>
      </c>
      <c r="E43" s="9">
        <f>[1]!IPR_q_liq_sm3day(PI_,Pres_,D43,fw_,Pb_)</f>
        <v>29.756242363803466</v>
      </c>
    </row>
    <row r="44" spans="1:5" x14ac:dyDescent="0.25">
      <c r="C44" s="14">
        <f t="shared" si="0"/>
        <v>39.674989818404619</v>
      </c>
      <c r="D44" s="9">
        <f>[1]!IPR_p_wf_atma(PI_,Pres_,C44,fw_,Pb_)</f>
        <v>210.32501018159539</v>
      </c>
      <c r="E44" s="9">
        <f>[1]!IPR_q_liq_sm3day(PI_,Pres_,D44,fw_,Pb_)</f>
        <v>39.674989818404612</v>
      </c>
    </row>
    <row r="45" spans="1:5" x14ac:dyDescent="0.25">
      <c r="C45" s="14">
        <f t="shared" si="0"/>
        <v>49.593737273005772</v>
      </c>
      <c r="D45" s="9">
        <f>[1]!IPR_p_wf_atma(PI_,Pres_,C45,fw_,Pb_)</f>
        <v>200.40626272699421</v>
      </c>
      <c r="E45" s="9">
        <f>[1]!IPR_q_liq_sm3day(PI_,Pres_,D45,fw_,Pb_)</f>
        <v>49.593737273005786</v>
      </c>
    </row>
    <row r="46" spans="1:5" x14ac:dyDescent="0.25">
      <c r="C46" s="14">
        <f t="shared" si="0"/>
        <v>59.512484727606925</v>
      </c>
      <c r="D46" s="9">
        <f>[1]!IPR_p_wf_atma(PI_,Pres_,C46,fw_,Pb_)</f>
        <v>190.48751527239307</v>
      </c>
      <c r="E46" s="9">
        <f>[1]!IPR_q_liq_sm3day(PI_,Pres_,D46,fw_,Pb_)</f>
        <v>59.512484727606932</v>
      </c>
    </row>
    <row r="47" spans="1:5" x14ac:dyDescent="0.25">
      <c r="C47" s="14">
        <f t="shared" si="0"/>
        <v>69.431232182208078</v>
      </c>
      <c r="D47" s="9">
        <f>[1]!IPR_p_wf_atma(PI_,Pres_,C47,fw_,Pb_)</f>
        <v>180.56876781779192</v>
      </c>
      <c r="E47" s="9">
        <f>[1]!IPR_q_liq_sm3day(PI_,Pres_,D47,fw_,Pb_)</f>
        <v>69.431232182208078</v>
      </c>
    </row>
    <row r="48" spans="1:5" x14ac:dyDescent="0.25">
      <c r="C48" s="14">
        <f t="shared" si="0"/>
        <v>79.349979636809238</v>
      </c>
      <c r="D48" s="9">
        <f>[1]!IPR_p_wf_atma(PI_,Pres_,C48,fw_,Pb_)</f>
        <v>170.65002036319078</v>
      </c>
      <c r="E48" s="9">
        <f>[1]!IPR_q_liq_sm3day(PI_,Pres_,D48,fw_,Pb_)</f>
        <v>79.349979636809223</v>
      </c>
    </row>
    <row r="49" spans="3:5" x14ac:dyDescent="0.25">
      <c r="C49" s="14">
        <f t="shared" si="0"/>
        <v>89.268727091410398</v>
      </c>
      <c r="D49" s="9">
        <f>[1]!IPR_p_wf_atma(PI_,Pres_,C49,fw_,Pb_)</f>
        <v>160.7312729085896</v>
      </c>
      <c r="E49" s="9">
        <f>[1]!IPR_q_liq_sm3day(PI_,Pres_,D49,fw_,Pb_)</f>
        <v>89.268727091410398</v>
      </c>
    </row>
    <row r="50" spans="3:5" x14ac:dyDescent="0.25">
      <c r="C50" s="14">
        <f t="shared" si="0"/>
        <v>99.187474546011558</v>
      </c>
      <c r="D50" s="9">
        <f>[1]!IPR_p_wf_atma(PI_,Pres_,C50,fw_,Pb_)</f>
        <v>150.81252545398843</v>
      </c>
      <c r="E50" s="9">
        <f>[1]!IPR_q_liq_sm3day(PI_,Pres_,D50,fw_,Pb_)</f>
        <v>99.187474546011572</v>
      </c>
    </row>
    <row r="51" spans="3:5" x14ac:dyDescent="0.25">
      <c r="C51" s="14">
        <f t="shared" si="0"/>
        <v>109.10622200061272</v>
      </c>
      <c r="D51" s="9">
        <f>[1]!IPR_p_wf_atma(PI_,Pres_,C51,fw_,Pb_)</f>
        <v>140.89377799938728</v>
      </c>
      <c r="E51" s="9">
        <f>[1]!IPR_q_liq_sm3day(PI_,Pres_,D51,fw_,Pb_)</f>
        <v>109.10622200061272</v>
      </c>
    </row>
    <row r="52" spans="3:5" x14ac:dyDescent="0.25">
      <c r="C52" s="14">
        <f t="shared" si="0"/>
        <v>119.02496945521388</v>
      </c>
      <c r="D52" s="9">
        <f>[1]!IPR_p_wf_atma(PI_,Pres_,C52,fw_,Pb_)</f>
        <v>130.97503054478614</v>
      </c>
      <c r="E52" s="9">
        <f>[1]!IPR_q_liq_sm3day(PI_,Pres_,D52,fw_,Pb_)</f>
        <v>119.02496945521386</v>
      </c>
    </row>
    <row r="53" spans="3:5" x14ac:dyDescent="0.25">
      <c r="C53" s="14">
        <f t="shared" si="0"/>
        <v>128.94371690981504</v>
      </c>
      <c r="D53" s="9">
        <f>[1]!IPR_p_wf_atma(PI_,Pres_,C53,fw_,Pb_)</f>
        <v>121.05628309018496</v>
      </c>
      <c r="E53" s="9">
        <f>[1]!IPR_q_liq_sm3day(PI_,Pres_,D53,fw_,Pb_)</f>
        <v>128.94371690981504</v>
      </c>
    </row>
    <row r="54" spans="3:5" x14ac:dyDescent="0.25">
      <c r="C54" s="14">
        <f t="shared" si="0"/>
        <v>138.86246436441618</v>
      </c>
      <c r="D54" s="9">
        <f>[1]!IPR_p_wf_atma(PI_,Pres_,C54,fw_,Pb_)</f>
        <v>110.89439013405214</v>
      </c>
      <c r="E54" s="9">
        <f>[1]!IPR_q_liq_sm3day(PI_,Pres_,D54,fw_,Pb_)</f>
        <v>138.86246436441624</v>
      </c>
    </row>
    <row r="55" spans="3:5" x14ac:dyDescent="0.25">
      <c r="C55" s="14">
        <f t="shared" si="0"/>
        <v>148.78121181901733</v>
      </c>
      <c r="D55" s="9">
        <f>[1]!IPR_p_wf_atma(PI_,Pres_,C55,fw_,Pb_)</f>
        <v>100.02727433529388</v>
      </c>
      <c r="E55" s="9">
        <f>[1]!IPR_q_liq_sm3day(PI_,Pres_,D55,fw_,Pb_)</f>
        <v>148.78121181901744</v>
      </c>
    </row>
    <row r="56" spans="3:5" x14ac:dyDescent="0.25">
      <c r="C56" s="14">
        <f t="shared" si="0"/>
        <v>158.69995927361848</v>
      </c>
      <c r="D56" s="9">
        <f>[1]!IPR_p_wf_atma(PI_,Pres_,C56,fw_,Pb_)</f>
        <v>88.220870330268156</v>
      </c>
      <c r="E56" s="9">
        <f>[1]!IPR_q_liq_sm3day(PI_,Pres_,D56,fw_,Pb_)</f>
        <v>158.69995927361836</v>
      </c>
    </row>
    <row r="57" spans="3:5" x14ac:dyDescent="0.25">
      <c r="C57" s="14">
        <f t="shared" si="0"/>
        <v>168.61870672821962</v>
      </c>
      <c r="D57" s="9">
        <f>[1]!IPR_p_wf_atma(PI_,Pres_,C57,fw_,Pb_)</f>
        <v>75.082562520816197</v>
      </c>
      <c r="E57" s="9">
        <f>[1]!IPR_q_liq_sm3day(PI_,Pres_,D57,fw_,Pb_)</f>
        <v>168.61870672821959</v>
      </c>
    </row>
    <row r="58" spans="3:5" x14ac:dyDescent="0.25">
      <c r="C58" s="14">
        <f t="shared" si="0"/>
        <v>178.53745418282077</v>
      </c>
      <c r="D58" s="9">
        <f>[1]!IPR_p_wf_atma(PI_,Pres_,C58,fw_,Pb_)</f>
        <v>59.833402917957898</v>
      </c>
      <c r="E58" s="9">
        <f>[1]!IPR_q_liq_sm3day(PI_,Pres_,D58,fw_,Pb_)</f>
        <v>178.53745418282082</v>
      </c>
    </row>
    <row r="59" spans="3:5" x14ac:dyDescent="0.25">
      <c r="C59" s="14">
        <f t="shared" si="0"/>
        <v>188.45620163742191</v>
      </c>
      <c r="D59" s="9">
        <f>[1]!IPR_p_wf_atma(PI_,Pres_,C59,fw_,Pb_)</f>
        <v>40.383204097085397</v>
      </c>
      <c r="E59" s="9">
        <f>[1]!IPR_q_liq_sm3day(PI_,Pres_,D59,fw_,Pb_)</f>
        <v>188.45620163742174</v>
      </c>
    </row>
    <row r="60" spans="3:5" x14ac:dyDescent="0.25">
      <c r="C60" s="14">
        <f t="shared" si="0"/>
        <v>198.37494909202306</v>
      </c>
      <c r="D60" s="9">
        <f>[1]!IPR_p_wf_atma(PI_,Pres_,C60,fw_,Pb_)</f>
        <v>2.8181536965155018E-13</v>
      </c>
      <c r="E60" s="9">
        <f>[1]!IPR_q_liq_sm3day(PI_,Pres_,D60,fw_,Pb_)</f>
        <v>198.37494909202306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IPR</vt:lpstr>
      <vt:lpstr>IPR!Bob_</vt:lpstr>
      <vt:lpstr>fw_</vt:lpstr>
      <vt:lpstr>IPR!gamma_gas_</vt:lpstr>
      <vt:lpstr>IPR!gamma_oil_</vt:lpstr>
      <vt:lpstr>gamma_wat_</vt:lpstr>
      <vt:lpstr>muob_</vt:lpstr>
      <vt:lpstr>IPR!N_</vt:lpstr>
      <vt:lpstr>Pb_</vt:lpstr>
      <vt:lpstr>Pb_cal_</vt:lpstr>
      <vt:lpstr>IPR!PI_</vt:lpstr>
      <vt:lpstr>IPR!Pres_</vt:lpstr>
      <vt:lpstr>Pwftest_</vt:lpstr>
      <vt:lpstr>qltest_</vt:lpstr>
      <vt:lpstr>qmax_</vt:lpstr>
      <vt:lpstr>IPR!Rp_</vt:lpstr>
      <vt:lpstr>IPR!Rsb_</vt:lpstr>
      <vt:lpstr>IPR!Tres_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2019-08-19T17:03:11Z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