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 2\"/>
    </mc:Choice>
  </mc:AlternateContent>
  <xr:revisionPtr revIDLastSave="0" documentId="13_ncr:1_{70BC0317-6DE1-4F24-AC79-122DAC06B6A1}" xr6:coauthVersionLast="43" xr6:coauthVersionMax="43" xr10:uidLastSave="{00000000-0000-0000-0000-000000000000}"/>
  <bookViews>
    <workbookView xWindow="1470" yWindow="465" windowWidth="28335" windowHeight="17625" tabRatio="422" xr2:uid="{00000000-000D-0000-FFFF-FFFF00000000}"/>
  </bookViews>
  <sheets>
    <sheet name="IPR" sheetId="110" r:id="rId1"/>
  </sheets>
  <externalReferences>
    <externalReference r:id="rId2"/>
  </externalReferences>
  <definedNames>
    <definedName name="Bob_" localSheetId="0">IPR!$C$14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b_cal_">IPR!$C$12</definedName>
    <definedName name="PI_" localSheetId="0">IPR!$C$25</definedName>
    <definedName name="Pres_" localSheetId="0">IPR!$C$24</definedName>
    <definedName name="PVT_str_">IPR!$C$31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0" l="1"/>
  <c r="C31" i="110"/>
  <c r="C17" i="110"/>
  <c r="G1" i="110"/>
  <c r="C25" i="110"/>
  <c r="C26" i="110" s="1"/>
  <c r="D40" i="110"/>
  <c r="E40" i="110" s="1"/>
  <c r="G40" i="110"/>
  <c r="H40" i="110"/>
  <c r="E17" i="110" l="1"/>
  <c r="E16" i="110" l="1"/>
  <c r="E13" i="110"/>
  <c r="E11" i="110"/>
  <c r="E10" i="110"/>
  <c r="E9" i="110"/>
  <c r="E8" i="110"/>
  <c r="E7" i="110"/>
  <c r="C41" i="110" l="1"/>
  <c r="D41" i="110"/>
  <c r="H41" i="110"/>
  <c r="C42" i="110" l="1"/>
  <c r="E41" i="110"/>
  <c r="G41" i="110" s="1"/>
  <c r="D42" i="110"/>
  <c r="H42" i="110"/>
  <c r="C43" i="110" l="1"/>
  <c r="E42" i="110"/>
  <c r="G42" i="110" s="1"/>
  <c r="D43" i="110"/>
  <c r="H43" i="110"/>
  <c r="C44" i="110" l="1"/>
  <c r="E43" i="110"/>
  <c r="G43" i="110" s="1"/>
  <c r="D44" i="110"/>
  <c r="H44" i="110"/>
  <c r="C45" i="110" l="1"/>
  <c r="E44" i="110"/>
  <c r="G44" i="110" s="1"/>
  <c r="D45" i="110"/>
  <c r="H45" i="110"/>
  <c r="C46" i="110" l="1"/>
  <c r="E45" i="110"/>
  <c r="G45" i="110" s="1"/>
  <c r="D46" i="110"/>
  <c r="H46" i="110"/>
  <c r="C47" i="110" l="1"/>
  <c r="E46" i="110"/>
  <c r="G46" i="110" s="1"/>
  <c r="D47" i="110"/>
  <c r="H47" i="110"/>
  <c r="C48" i="110" l="1"/>
  <c r="E47" i="110"/>
  <c r="G47" i="110" s="1"/>
  <c r="D48" i="110"/>
  <c r="H48" i="110"/>
  <c r="C49" i="110" l="1"/>
  <c r="E48" i="110"/>
  <c r="G48" i="110" s="1"/>
  <c r="D49" i="110"/>
  <c r="H49" i="110"/>
  <c r="C50" i="110" l="1"/>
  <c r="E49" i="110"/>
  <c r="G49" i="110" s="1"/>
  <c r="D50" i="110"/>
  <c r="H50" i="110"/>
  <c r="C51" i="110" l="1"/>
  <c r="E50" i="110"/>
  <c r="G50" i="110" s="1"/>
  <c r="D51" i="110"/>
  <c r="H51" i="110"/>
  <c r="C52" i="110" l="1"/>
  <c r="E51" i="110"/>
  <c r="G51" i="110" s="1"/>
  <c r="D52" i="110"/>
  <c r="H52" i="110"/>
  <c r="C53" i="110" l="1"/>
  <c r="E52" i="110"/>
  <c r="G52" i="110" s="1"/>
  <c r="D53" i="110"/>
  <c r="H53" i="110"/>
  <c r="C54" i="110" l="1"/>
  <c r="E53" i="110"/>
  <c r="G53" i="110" s="1"/>
  <c r="D54" i="110"/>
  <c r="H54" i="110"/>
  <c r="C55" i="110" l="1"/>
  <c r="E54" i="110"/>
  <c r="G54" i="110" s="1"/>
  <c r="D55" i="110"/>
  <c r="H55" i="110"/>
  <c r="C56" i="110" l="1"/>
  <c r="E55" i="110"/>
  <c r="G55" i="110" s="1"/>
  <c r="D56" i="110"/>
  <c r="H56" i="110"/>
  <c r="C57" i="110" l="1"/>
  <c r="E56" i="110"/>
  <c r="G56" i="110" s="1"/>
  <c r="D57" i="110"/>
  <c r="H57" i="110"/>
  <c r="C58" i="110" l="1"/>
  <c r="E57" i="110"/>
  <c r="G57" i="110" s="1"/>
  <c r="D58" i="110"/>
  <c r="H58" i="110"/>
  <c r="C59" i="110" l="1"/>
  <c r="E58" i="110"/>
  <c r="G58" i="110" s="1"/>
  <c r="D59" i="110"/>
  <c r="H59" i="110"/>
  <c r="C60" i="110" l="1"/>
  <c r="E59" i="110"/>
  <c r="G59" i="110" s="1"/>
  <c r="D60" i="110"/>
  <c r="E60" i="110" l="1"/>
</calcChain>
</file>

<file path=xl/sharedStrings.xml><?xml version="1.0" encoding="utf-8"?>
<sst xmlns="http://schemas.openxmlformats.org/spreadsheetml/2006/main" count="53" uniqueCount="43">
  <si>
    <t>Параметры пласта</t>
  </si>
  <si>
    <t>Q</t>
  </si>
  <si>
    <t>Pwf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</si>
  <si>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</si>
  <si>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</si>
  <si>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</si>
  <si>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</si>
  <si>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</si>
  <si>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</si>
  <si>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</si>
  <si>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</si>
  <si>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</si>
  <si>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</si>
  <si>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</si>
  <si>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</si>
  <si>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</si>
  <si>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</si>
  <si>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</si>
  <si>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</si>
  <si>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</si>
  <si>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</si>
  <si>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</si>
  <si>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</si>
  <si>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</si>
  <si>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</si>
  <si>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</si>
  <si>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</si>
  <si>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</si>
  <si>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</si>
  <si>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</si>
  <si>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</si>
  <si>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</si>
  <si>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</si>
  <si>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</si>
  <si>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Упражнение</t>
  </si>
  <si>
    <t>Постройте индикаторную кривую</t>
  </si>
  <si>
    <t>Построение индикаторной кривой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</si>
  <si>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</si>
  <si>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</si>
  <si>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</si>
  <si>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д.ед.</t>
  </si>
  <si>
    <t>PVTstr</t>
  </si>
  <si>
    <t>Q ГЖС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</si>
</sst>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3" borderId="0" xfId="0" applyFont="1" applyFill="1" applyAlignment="1">
      <alignment horizontal="center" vertic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1" fontId="0" fillId="4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2" fontId="0" fillId="4" borderId="2" xfId="0" applyNumberFormat="1" applyFont="1" applyFill="1" applyBorder="1" applyAlignment="1">
      <alignment horizontal="center"/>
    </xf>
    <xf numFmtId="1" fontId="0" fillId="2" borderId="2" xfId="0" applyNumberFormat="1" applyFill="1" applyBorder="1" applyAlignment="1">
      <alignment horizontal="center" vertical="center"/>
    </xf>
    <xf numFmtId="0" fontId="0" fillId="5" borderId="3" xfId="0" applyFill="1" applyBorder="1"/>
    <xf numFmtId="0" fontId="0" fillId="5" borderId="4" xfId="0" applyFill="1" applyBorder="1"/>
    <xf numFmtId="0" fontId="0" fillId="5" borderId="2" xfId="0" applyFill="1" applyBorder="1" applyAlignment="1">
      <alignment horizontal="left"/>
    </xf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IPR!$C$40:$C$60</c:f>
              <c:numCache>
                <c:formatCode>0</c:formatCode>
                <c:ptCount val="21"/>
                <c:pt idx="0">
                  <c:v>0</c:v>
                </c:pt>
                <c:pt idx="1">
                  <c:v>9.9187474546011547</c:v>
                </c:pt>
                <c:pt idx="2">
                  <c:v>19.837494909202309</c:v>
                </c:pt>
                <c:pt idx="3">
                  <c:v>29.756242363803466</c:v>
                </c:pt>
                <c:pt idx="4">
                  <c:v>39.674989818404619</c:v>
                </c:pt>
                <c:pt idx="5">
                  <c:v>49.593737273005772</c:v>
                </c:pt>
                <c:pt idx="6">
                  <c:v>59.512484727606925</c:v>
                </c:pt>
                <c:pt idx="7">
                  <c:v>69.431232182208078</c:v>
                </c:pt>
                <c:pt idx="8">
                  <c:v>79.349979636809238</c:v>
                </c:pt>
                <c:pt idx="9">
                  <c:v>89.268727091410398</c:v>
                </c:pt>
                <c:pt idx="10">
                  <c:v>99.187474546011558</c:v>
                </c:pt>
                <c:pt idx="11">
                  <c:v>109.10622200061272</c:v>
                </c:pt>
                <c:pt idx="12">
                  <c:v>119.02496945521388</c:v>
                </c:pt>
                <c:pt idx="13">
                  <c:v>128.94371690981504</c:v>
                </c:pt>
                <c:pt idx="14">
                  <c:v>138.86246436441618</c:v>
                </c:pt>
                <c:pt idx="15">
                  <c:v>148.78121181901733</c:v>
                </c:pt>
                <c:pt idx="16">
                  <c:v>158.69995927361848</c:v>
                </c:pt>
                <c:pt idx="17">
                  <c:v>168.61870672821962</c:v>
                </c:pt>
                <c:pt idx="18">
                  <c:v>178.53745418282077</c:v>
                </c:pt>
                <c:pt idx="19">
                  <c:v>188.45620163742191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IPR!$E$40:$E$60</c:f>
              <c:numCache>
                <c:formatCode>0</c:formatCode>
                <c:ptCount val="21"/>
                <c:pt idx="0">
                  <c:v>0</c:v>
                </c:pt>
                <c:pt idx="1">
                  <c:v>9.9187474546011458</c:v>
                </c:pt>
                <c:pt idx="2">
                  <c:v>19.83749490920232</c:v>
                </c:pt>
                <c:pt idx="3">
                  <c:v>29.756242363803466</c:v>
                </c:pt>
                <c:pt idx="4">
                  <c:v>39.674989818404612</c:v>
                </c:pt>
                <c:pt idx="5">
                  <c:v>49.593737273005786</c:v>
                </c:pt>
                <c:pt idx="6">
                  <c:v>59.512484727606932</c:v>
                </c:pt>
                <c:pt idx="7">
                  <c:v>69.431232182208078</c:v>
                </c:pt>
                <c:pt idx="8">
                  <c:v>79.349979636809223</c:v>
                </c:pt>
                <c:pt idx="9">
                  <c:v>89.268727091410398</c:v>
                </c:pt>
                <c:pt idx="10">
                  <c:v>99.187474546011572</c:v>
                </c:pt>
                <c:pt idx="11">
                  <c:v>109.10622200061272</c:v>
                </c:pt>
                <c:pt idx="12">
                  <c:v>119.02496945521386</c:v>
                </c:pt>
                <c:pt idx="13">
                  <c:v>128.94371690981504</c:v>
                </c:pt>
                <c:pt idx="14">
                  <c:v>138.86246436441624</c:v>
                </c:pt>
                <c:pt idx="15">
                  <c:v>148.78121181901744</c:v>
                </c:pt>
                <c:pt idx="16">
                  <c:v>158.69995927361836</c:v>
                </c:pt>
                <c:pt idx="17">
                  <c:v>168.61870672821959</c:v>
                </c:pt>
                <c:pt idx="18">
                  <c:v>178.53745418282082</c:v>
                </c:pt>
                <c:pt idx="19">
                  <c:v>188.45620163742174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IPR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ser>
          <c:idx val="3"/>
          <c:order val="3"/>
          <c:tx>
            <c:v>ГЖС от давления</c:v>
          </c:tx>
          <c:xVal>
            <c:numRef>
              <c:f>IPR!$G$40:$G$60</c:f>
              <c:numCache>
                <c:formatCode>0</c:formatCode>
                <c:ptCount val="21"/>
                <c:pt idx="0">
                  <c:v>0</c:v>
                </c:pt>
                <c:pt idx="1">
                  <c:v>11.368418855343721</c:v>
                </c:pt>
                <c:pt idx="2">
                  <c:v>22.753693311341493</c:v>
                </c:pt>
                <c:pt idx="3">
                  <c:v>34.157814817970888</c:v>
                </c:pt>
                <c:pt idx="4">
                  <c:v>45.583169097694871</c:v>
                </c:pt>
                <c:pt idx="5">
                  <c:v>57.032634834885613</c:v>
                </c:pt>
                <c:pt idx="6">
                  <c:v>68.509713569228055</c:v>
                </c:pt>
                <c:pt idx="7">
                  <c:v>80.018702943340585</c:v>
                </c:pt>
                <c:pt idx="8">
                  <c:v>91.564931179940118</c:v>
                </c:pt>
                <c:pt idx="9">
                  <c:v>103.15507961351499</c:v>
                </c:pt>
                <c:pt idx="10">
                  <c:v>114.79763442816692</c:v>
                </c:pt>
                <c:pt idx="11">
                  <c:v>126.50353230307131</c:v>
                </c:pt>
                <c:pt idx="12">
                  <c:v>138.287104544736</c:v>
                </c:pt>
                <c:pt idx="13">
                  <c:v>150.16749411795843</c:v>
                </c:pt>
                <c:pt idx="14">
                  <c:v>169.43647302473826</c:v>
                </c:pt>
                <c:pt idx="15">
                  <c:v>192.75304291394997</c:v>
                </c:pt>
                <c:pt idx="16">
                  <c:v>222.094070855702</c:v>
                </c:pt>
                <c:pt idx="17">
                  <c:v>262.23047457210657</c:v>
                </c:pt>
                <c:pt idx="18">
                  <c:v>325.78606278517208</c:v>
                </c:pt>
                <c:pt idx="19">
                  <c:v>465.75856271997071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6-4062-B3CF-2406567D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7383125365765967"/>
          <c:y val="0.9018607521159262"/>
          <c:w val="0.61696292906975947"/>
          <c:h val="8.811384229589681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газа в потоке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3"/>
          <c:order val="0"/>
          <c:xVal>
            <c:numRef>
              <c:f>IPR!$H$40:$H$60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5.4969555207744616E-2</c:v>
                </c:pt>
                <c:pt idx="15">
                  <c:v>0.1198770739868955</c:v>
                </c:pt>
                <c:pt idx="16">
                  <c:v>0.194852955458755</c:v>
                </c:pt>
                <c:pt idx="17">
                  <c:v>0.28468458401074792</c:v>
                </c:pt>
                <c:pt idx="18">
                  <c:v>0.39896468138768959</c:v>
                </c:pt>
                <c:pt idx="19">
                  <c:v>0.56366548959158924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27-4E77-AD3E-9AA2B0CC3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83125365765967"/>
          <c:y val="0.9018607521159262"/>
          <c:w val="0.61696292906975947"/>
          <c:h val="8.811384229589681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11584" y="996023"/>
          <a:ext cx="5868323" cy="22612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Какие данные нужны для оценки продуктивность скважины?</a:t>
          </a:r>
        </a:p>
        <a:p>
          <a:r>
            <a:rPr lang="ru-RU" sz="1100" baseline="0"/>
            <a:t>2. Зависит ли вид индикаторной кривой от газового фактора?</a:t>
          </a:r>
        </a:p>
        <a:p>
          <a:endParaRPr lang="ru-RU" sz="1100" baseline="0"/>
        </a:p>
      </xdr:txBody>
    </xdr:sp>
    <xdr:clientData/>
  </xdr:twoCellAnchor>
  <xdr:twoCellAnchor>
    <xdr:from>
      <xdr:col>10</xdr:col>
      <xdr:colOff>103829</xdr:colOff>
      <xdr:row>36</xdr:row>
      <xdr:rowOff>81373</xdr:rowOff>
    </xdr:from>
    <xdr:to>
      <xdr:col>19</xdr:col>
      <xdr:colOff>559174</xdr:colOff>
      <xdr:row>60</xdr:row>
      <xdr:rowOff>116541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89646</xdr:colOff>
      <xdr:row>36</xdr:row>
      <xdr:rowOff>67234</xdr:rowOff>
    </xdr:from>
    <xdr:to>
      <xdr:col>30</xdr:col>
      <xdr:colOff>7109</xdr:colOff>
      <xdr:row>60</xdr:row>
      <xdr:rowOff>102402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5ED0DBD-D908-4217-B04D-442446C70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bi/AppData/Roaming/Microsoft/AddIns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IPR_qliq_sm3day"/>
      <definedName name="MF_gas_fraction_d"/>
      <definedName name="MF_q_mix_rc_m3day"/>
      <definedName name="PVT_encode_string"/>
      <definedName name="PVT_pb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2CB-CA9A-4D36-8FBB-912A5C123D3A}">
  <sheetPr codeName="Worksheet_IPR">
    <outlinePr summaryBelow="0"/>
  </sheetPr>
  <dimension ref="A1:T60"/>
  <sheetViews>
    <sheetView tabSelected="1" topLeftCell="A10" zoomScale="85" zoomScaleNormal="85" workbookViewId="0">
      <selection activeCell="X32" sqref="X32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1" t="s">
        <v>6</v>
      </c>
      <c r="F1" t="s">
        <v>37</v>
      </c>
      <c r="G1" t="str">
        <f>[1]!getUFVersion()</f>
        <v>7.9</v>
      </c>
    </row>
    <row r="2" spans="1:7" x14ac:dyDescent="0.2">
      <c r="A2" t="s">
        <v>36</v>
      </c>
    </row>
    <row r="6" spans="1:7" x14ac:dyDescent="0.2">
      <c r="A6" s="1" t="s">
        <v>7</v>
      </c>
    </row>
    <row r="7" spans="1:7" ht="18.75" outlineLevel="1" x14ac:dyDescent="0.35">
      <c r="B7" s="3" t="s">
        <v>8</v>
      </c>
      <c r="C7" s="2">
        <v>0.87</v>
      </c>
      <c r="D7" s="4"/>
      <c r="E7" s="11">
        <f>gamma_oil_*1000</f>
        <v>870</v>
      </c>
      <c r="F7" s="12" t="s">
        <v>38</v>
      </c>
    </row>
    <row r="8" spans="1:7" ht="18.75" outlineLevel="1" x14ac:dyDescent="0.35">
      <c r="B8" s="5" t="s">
        <v>9</v>
      </c>
      <c r="C8" s="2">
        <v>1</v>
      </c>
      <c r="D8" s="4"/>
      <c r="E8" s="11">
        <f>gamma_wat_*1000</f>
        <v>1000</v>
      </c>
      <c r="F8" s="12" t="s">
        <v>38</v>
      </c>
    </row>
    <row r="9" spans="1:7" ht="18.75" outlineLevel="1" x14ac:dyDescent="0.35">
      <c r="B9" s="5" t="s">
        <v>10</v>
      </c>
      <c r="C9" s="2">
        <v>0.8</v>
      </c>
      <c r="D9" s="4"/>
      <c r="E9" s="11">
        <f>gamma_gas_*1.22</f>
        <v>0.97599999999999998</v>
      </c>
      <c r="F9" s="12" t="s">
        <v>38</v>
      </c>
    </row>
    <row r="10" spans="1:7" ht="18.75" outlineLevel="1" x14ac:dyDescent="0.35">
      <c r="B10" s="6" t="s">
        <v>11</v>
      </c>
      <c r="C10" s="2">
        <v>80</v>
      </c>
      <c r="D10" s="5" t="s">
        <v>12</v>
      </c>
      <c r="E10" s="11">
        <f>Rsb_/gamma_oil_</f>
        <v>91.954022988505741</v>
      </c>
      <c r="F10" s="12" t="s">
        <v>39</v>
      </c>
    </row>
    <row r="11" spans="1:7" ht="18.75" outlineLevel="1" x14ac:dyDescent="0.35">
      <c r="B11" s="6" t="s">
        <v>13</v>
      </c>
      <c r="C11" s="2">
        <v>80</v>
      </c>
      <c r="D11" s="5" t="s">
        <v>12</v>
      </c>
      <c r="E11" s="11">
        <f>Rsb_/gamma_oil_</f>
        <v>91.954022988505741</v>
      </c>
      <c r="F11" s="12" t="s">
        <v>39</v>
      </c>
    </row>
    <row r="12" spans="1:7" ht="18" outlineLevel="1" x14ac:dyDescent="0.35">
      <c r="B12" s="5" t="s">
        <v>14</v>
      </c>
      <c r="C12" s="2">
        <v>120</v>
      </c>
      <c r="D12" s="5" t="s">
        <v>15</v>
      </c>
      <c r="E12" s="11">
        <f>Pb_cal_*1.01325/10</f>
        <v>12.159000000000001</v>
      </c>
      <c r="F12" s="12" t="s">
        <v>16</v>
      </c>
    </row>
    <row r="13" spans="1:7" ht="18" outlineLevel="1" x14ac:dyDescent="0.35">
      <c r="B13" s="5" t="s">
        <v>17</v>
      </c>
      <c r="C13" s="2">
        <v>100</v>
      </c>
      <c r="D13" s="8" t="s">
        <v>28</v>
      </c>
      <c r="E13" s="11">
        <f>Tres_*9/5+32</f>
        <v>212</v>
      </c>
      <c r="F13" s="12" t="s">
        <v>18</v>
      </c>
    </row>
    <row r="14" spans="1:7" ht="18.75" outlineLevel="1" x14ac:dyDescent="0.35">
      <c r="B14" s="6" t="s">
        <v>19</v>
      </c>
      <c r="C14" s="2">
        <v>1.2</v>
      </c>
      <c r="D14" s="5" t="s">
        <v>12</v>
      </c>
      <c r="E14" s="5"/>
      <c r="F14" s="4"/>
    </row>
    <row r="15" spans="1:7" ht="18" outlineLevel="1" x14ac:dyDescent="0.35">
      <c r="B15" s="7" t="s">
        <v>20</v>
      </c>
      <c r="C15" s="2">
        <v>1</v>
      </c>
      <c r="D15" s="5" t="s">
        <v>21</v>
      </c>
      <c r="E15" s="5"/>
      <c r="F15" s="4"/>
    </row>
    <row r="16" spans="1:7" ht="15.75" x14ac:dyDescent="0.3">
      <c r="B16" s="7" t="s">
        <v>23</v>
      </c>
      <c r="C16" s="2">
        <v>22</v>
      </c>
      <c r="D16" s="5" t="s">
        <v>3</v>
      </c>
      <c r="E16" s="13">
        <f>fw_/100</f>
        <v>0.22</v>
      </c>
      <c r="F16" s="12" t="s">
        <v>40</v>
      </c>
    </row>
    <row r="17" spans="1:20" ht="18" x14ac:dyDescent="0.35">
      <c r="B17" s="5" t="s">
        <v>22</v>
      </c>
      <c r="C17" s="9">
        <f>[1]!PVT_pb_atma(Tres_,gamma_gas_,gamma_oil_,gamma_wat_,Rsb_,Rp_,Pb_cal_,Tres_,Bob_,muob_)</f>
        <v>120</v>
      </c>
      <c r="D17" s="5" t="s">
        <v>15</v>
      </c>
      <c r="E17" s="11">
        <f>Pb_*1.01325/10</f>
        <v>12.159000000000001</v>
      </c>
      <c r="F17" s="12" t="s">
        <v>16</v>
      </c>
    </row>
    <row r="19" spans="1:20" x14ac:dyDescent="0.2">
      <c r="A19" s="1" t="s">
        <v>5</v>
      </c>
      <c r="B19" s="1"/>
      <c r="C19" s="1"/>
      <c r="D19" s="1"/>
    </row>
    <row r="20" spans="1:20" ht="18" customHeight="1" x14ac:dyDescent="0.3">
      <c r="B20" s="7" t="s">
        <v>24</v>
      </c>
      <c r="C20" s="2">
        <v>100</v>
      </c>
      <c r="D20" s="5" t="s">
        <v>30</v>
      </c>
    </row>
    <row r="21" spans="1:20" ht="18" customHeight="1" x14ac:dyDescent="0.3">
      <c r="B21" s="7" t="s">
        <v>25</v>
      </c>
      <c r="C21" s="2">
        <v>150</v>
      </c>
      <c r="D21" s="5" t="s">
        <v>29</v>
      </c>
    </row>
    <row r="23" spans="1:20" x14ac:dyDescent="0.2">
      <c r="A23" s="1" t="s">
        <v>0</v>
      </c>
    </row>
    <row r="24" spans="1:20" ht="19.5" customHeight="1" x14ac:dyDescent="0.3">
      <c r="B24" s="7" t="s">
        <v>27</v>
      </c>
      <c r="C24" s="2">
        <v>250</v>
      </c>
      <c r="D24" s="5" t="s">
        <v>29</v>
      </c>
    </row>
    <row r="25" spans="1:20" ht="19.5" customHeight="1" x14ac:dyDescent="0.25">
      <c r="B25" s="7" t="s">
        <v>26</v>
      </c>
      <c r="C25" s="10">
        <f>[1]!IPR_pi_sm3dayatm(qltest_,Pwftest_,Pres_,fw_,Pb_)</f>
        <v>1</v>
      </c>
      <c r="D25" s="5" t="s">
        <v>31</v>
      </c>
    </row>
    <row r="26" spans="1:20" ht="19.5" customHeight="1" x14ac:dyDescent="0.3">
      <c r="B26" s="5" t="s">
        <v>32</v>
      </c>
      <c r="C26" s="9">
        <f>[1]!IPR_qliq_sm3day(PI_,Pres_,0,fw_,Pb_)</f>
        <v>198.37494909202309</v>
      </c>
      <c r="D26" s="5" t="s">
        <v>30</v>
      </c>
    </row>
    <row r="28" spans="1:20" x14ac:dyDescent="0.2">
      <c r="A28" t="s">
        <v>33</v>
      </c>
    </row>
    <row r="29" spans="1:20" ht="15" x14ac:dyDescent="0.25">
      <c r="B29" s="7" t="s">
        <v>4</v>
      </c>
      <c r="C29" s="2">
        <v>20</v>
      </c>
      <c r="D29" s="4"/>
    </row>
    <row r="31" spans="1:20" ht="15" x14ac:dyDescent="0.25">
      <c r="B31" s="7" t="s">
        <v>41</v>
      </c>
      <c r="C31" s="17" t="str">
        <f>[1]!PVT_encode_string(gamma_gas_,gamma_oil_,gamma_wat_,Rsb_,Rp_,Pb_cal_,Tres_,Bob_,muob_)</f>
        <v>gamma_gas:0,800;gamma_oil:0,870;gamma_wat:1,000;rsb_m3m3:80,000;rp_m3m3:80,000;pb_atma:120,000;tres_C:100,000;bob_m3m3:1,200;muob_cP:1,000;PVTcorr:0;ksep_fr:0,000;pksep_atma:-1,000;tksep_C:-1,000;fluid:0;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6"/>
    </row>
    <row r="34" spans="1:8" x14ac:dyDescent="0.2">
      <c r="A34" t="s">
        <v>34</v>
      </c>
    </row>
    <row r="35" spans="1:8" x14ac:dyDescent="0.2">
      <c r="A35" t="s">
        <v>35</v>
      </c>
    </row>
    <row r="39" spans="1:8" x14ac:dyDescent="0.2">
      <c r="C39" s="5" t="s">
        <v>1</v>
      </c>
      <c r="D39" s="4" t="s">
        <v>2</v>
      </c>
      <c r="E39" s="4" t="s">
        <v>1</v>
      </c>
      <c r="G39" s="4" t="s">
        <v>42</v>
      </c>
    </row>
    <row r="40" spans="1:8" x14ac:dyDescent="0.2">
      <c r="C40" s="14">
        <v>0</v>
      </c>
      <c r="D40" s="9">
        <f>[1]!IPR_pwf_atma(PI_,Pres_,C40,fw_,Pb_)</f>
        <v>250</v>
      </c>
      <c r="E40" s="9">
        <f>[1]!IPR_qliq_sm3day(PI_,Pres_,D40,fw_,Pb_)</f>
        <v>0</v>
      </c>
      <c r="G40" s="9">
        <f>[1]!MF_q_mix_rc_m3day(E40,fw_,D40,Tres_,PVT_str_)</f>
        <v>0</v>
      </c>
      <c r="H40">
        <f>[1]!MF_gas_fraction_d(D40,Tres_,fw_,PVT_str_)</f>
        <v>0</v>
      </c>
    </row>
    <row r="41" spans="1:8" x14ac:dyDescent="0.2">
      <c r="C41" s="14">
        <f t="shared" ref="C41:C60" si="0">C40+qmax_/N_</f>
        <v>9.9187474546011547</v>
      </c>
      <c r="D41" s="9">
        <f>[1]!IPR_pwf_atma(PI_,Pres_,C41,fw_,Pb_)</f>
        <v>240.08125254539885</v>
      </c>
      <c r="E41" s="9">
        <f>[1]!IPR_qliq_sm3day(PI_,Pres_,D41,fw_,Pb_)</f>
        <v>9.9187474546011458</v>
      </c>
      <c r="G41" s="9">
        <f>[1]!MF_q_mix_rc_m3day(E41,fw_,D41,Tres_,PVT_str_)</f>
        <v>11.368418855343721</v>
      </c>
      <c r="H41">
        <f>[1]!MF_gas_fraction_d(D41,Tres_,fw_,PVT_str_)</f>
        <v>0</v>
      </c>
    </row>
    <row r="42" spans="1:8" x14ac:dyDescent="0.2">
      <c r="C42" s="14">
        <f t="shared" si="0"/>
        <v>19.837494909202309</v>
      </c>
      <c r="D42" s="9">
        <f>[1]!IPR_pwf_atma(PI_,Pres_,C42,fw_,Pb_)</f>
        <v>230.16250509079768</v>
      </c>
      <c r="E42" s="9">
        <f>[1]!IPR_qliq_sm3day(PI_,Pres_,D42,fw_,Pb_)</f>
        <v>19.83749490920232</v>
      </c>
      <c r="G42" s="9">
        <f>[1]!MF_q_mix_rc_m3day(E42,fw_,D42,Tres_,PVT_str_)</f>
        <v>22.753693311341493</v>
      </c>
      <c r="H42">
        <f>[1]!MF_gas_fraction_d(D42,Tres_,fw_,PVT_str_)</f>
        <v>0</v>
      </c>
    </row>
    <row r="43" spans="1:8" x14ac:dyDescent="0.2">
      <c r="C43" s="14">
        <f t="shared" si="0"/>
        <v>29.756242363803466</v>
      </c>
      <c r="D43" s="9">
        <f>[1]!IPR_pwf_atma(PI_,Pres_,C43,fw_,Pb_)</f>
        <v>220.24375763619653</v>
      </c>
      <c r="E43" s="9">
        <f>[1]!IPR_qliq_sm3day(PI_,Pres_,D43,fw_,Pb_)</f>
        <v>29.756242363803466</v>
      </c>
      <c r="G43" s="9">
        <f>[1]!MF_q_mix_rc_m3day(E43,fw_,D43,Tres_,PVT_str_)</f>
        <v>34.157814817970888</v>
      </c>
      <c r="H43">
        <f>[1]!MF_gas_fraction_d(D43,Tres_,fw_,PVT_str_)</f>
        <v>0</v>
      </c>
    </row>
    <row r="44" spans="1:8" x14ac:dyDescent="0.2">
      <c r="C44" s="14">
        <f t="shared" si="0"/>
        <v>39.674989818404619</v>
      </c>
      <c r="D44" s="9">
        <f>[1]!IPR_pwf_atma(PI_,Pres_,C44,fw_,Pb_)</f>
        <v>210.32501018159539</v>
      </c>
      <c r="E44" s="9">
        <f>[1]!IPR_qliq_sm3day(PI_,Pres_,D44,fw_,Pb_)</f>
        <v>39.674989818404612</v>
      </c>
      <c r="G44" s="9">
        <f>[1]!MF_q_mix_rc_m3day(E44,fw_,D44,Tres_,PVT_str_)</f>
        <v>45.583169097694871</v>
      </c>
      <c r="H44">
        <f>[1]!MF_gas_fraction_d(D44,Tres_,fw_,PVT_str_)</f>
        <v>0</v>
      </c>
    </row>
    <row r="45" spans="1:8" x14ac:dyDescent="0.2">
      <c r="C45" s="14">
        <f t="shared" si="0"/>
        <v>49.593737273005772</v>
      </c>
      <c r="D45" s="9">
        <f>[1]!IPR_pwf_atma(PI_,Pres_,C45,fw_,Pb_)</f>
        <v>200.40626272699421</v>
      </c>
      <c r="E45" s="9">
        <f>[1]!IPR_qliq_sm3day(PI_,Pres_,D45,fw_,Pb_)</f>
        <v>49.593737273005786</v>
      </c>
      <c r="G45" s="9">
        <f>[1]!MF_q_mix_rc_m3day(E45,fw_,D45,Tres_,PVT_str_)</f>
        <v>57.032634834885613</v>
      </c>
      <c r="H45">
        <f>[1]!MF_gas_fraction_d(D45,Tres_,fw_,PVT_str_)</f>
        <v>0</v>
      </c>
    </row>
    <row r="46" spans="1:8" x14ac:dyDescent="0.2">
      <c r="C46" s="14">
        <f t="shared" si="0"/>
        <v>59.512484727606925</v>
      </c>
      <c r="D46" s="9">
        <f>[1]!IPR_pwf_atma(PI_,Pres_,C46,fw_,Pb_)</f>
        <v>190.48751527239307</v>
      </c>
      <c r="E46" s="9">
        <f>[1]!IPR_qliq_sm3day(PI_,Pres_,D46,fw_,Pb_)</f>
        <v>59.512484727606932</v>
      </c>
      <c r="G46" s="9">
        <f>[1]!MF_q_mix_rc_m3day(E46,fw_,D46,Tres_,PVT_str_)</f>
        <v>68.509713569228055</v>
      </c>
      <c r="H46">
        <f>[1]!MF_gas_fraction_d(D46,Tres_,fw_,PVT_str_)</f>
        <v>0</v>
      </c>
    </row>
    <row r="47" spans="1:8" x14ac:dyDescent="0.2">
      <c r="C47" s="14">
        <f t="shared" si="0"/>
        <v>69.431232182208078</v>
      </c>
      <c r="D47" s="9">
        <f>[1]!IPR_pwf_atma(PI_,Pres_,C47,fw_,Pb_)</f>
        <v>180.56876781779192</v>
      </c>
      <c r="E47" s="9">
        <f>[1]!IPR_qliq_sm3day(PI_,Pres_,D47,fw_,Pb_)</f>
        <v>69.431232182208078</v>
      </c>
      <c r="G47" s="9">
        <f>[1]!MF_q_mix_rc_m3day(E47,fw_,D47,Tres_,PVT_str_)</f>
        <v>80.018702943340585</v>
      </c>
      <c r="H47">
        <f>[1]!MF_gas_fraction_d(D47,Tres_,fw_,PVT_str_)</f>
        <v>0</v>
      </c>
    </row>
    <row r="48" spans="1:8" x14ac:dyDescent="0.2">
      <c r="C48" s="14">
        <f t="shared" si="0"/>
        <v>79.349979636809238</v>
      </c>
      <c r="D48" s="9">
        <f>[1]!IPR_pwf_atma(PI_,Pres_,C48,fw_,Pb_)</f>
        <v>170.65002036319078</v>
      </c>
      <c r="E48" s="9">
        <f>[1]!IPR_qliq_sm3day(PI_,Pres_,D48,fw_,Pb_)</f>
        <v>79.349979636809223</v>
      </c>
      <c r="G48" s="9">
        <f>[1]!MF_q_mix_rc_m3day(E48,fw_,D48,Tres_,PVT_str_)</f>
        <v>91.564931179940118</v>
      </c>
      <c r="H48">
        <f>[1]!MF_gas_fraction_d(D48,Tres_,fw_,PVT_str_)</f>
        <v>0</v>
      </c>
    </row>
    <row r="49" spans="3:8" x14ac:dyDescent="0.2">
      <c r="C49" s="14">
        <f t="shared" si="0"/>
        <v>89.268727091410398</v>
      </c>
      <c r="D49" s="9">
        <f>[1]!IPR_pwf_atma(PI_,Pres_,C49,fw_,Pb_)</f>
        <v>160.7312729085896</v>
      </c>
      <c r="E49" s="9">
        <f>[1]!IPR_qliq_sm3day(PI_,Pres_,D49,fw_,Pb_)</f>
        <v>89.268727091410398</v>
      </c>
      <c r="G49" s="9">
        <f>[1]!MF_q_mix_rc_m3day(E49,fw_,D49,Tres_,PVT_str_)</f>
        <v>103.15507961351499</v>
      </c>
      <c r="H49">
        <f>[1]!MF_gas_fraction_d(D49,Tres_,fw_,PVT_str_)</f>
        <v>0</v>
      </c>
    </row>
    <row r="50" spans="3:8" x14ac:dyDescent="0.2">
      <c r="C50" s="14">
        <f t="shared" si="0"/>
        <v>99.187474546011558</v>
      </c>
      <c r="D50" s="9">
        <f>[1]!IPR_pwf_atma(PI_,Pres_,C50,fw_,Pb_)</f>
        <v>150.81252545398843</v>
      </c>
      <c r="E50" s="9">
        <f>[1]!IPR_qliq_sm3day(PI_,Pres_,D50,fw_,Pb_)</f>
        <v>99.187474546011572</v>
      </c>
      <c r="G50" s="9">
        <f>[1]!MF_q_mix_rc_m3day(E50,fw_,D50,Tres_,PVT_str_)</f>
        <v>114.79763442816692</v>
      </c>
      <c r="H50">
        <f>[1]!MF_gas_fraction_d(D50,Tres_,fw_,PVT_str_)</f>
        <v>0</v>
      </c>
    </row>
    <row r="51" spans="3:8" x14ac:dyDescent="0.2">
      <c r="C51" s="14">
        <f t="shared" si="0"/>
        <v>109.10622200061272</v>
      </c>
      <c r="D51" s="9">
        <f>[1]!IPR_pwf_atma(PI_,Pres_,C51,fw_,Pb_)</f>
        <v>140.89377799938728</v>
      </c>
      <c r="E51" s="9">
        <f>[1]!IPR_qliq_sm3day(PI_,Pres_,D51,fw_,Pb_)</f>
        <v>109.10622200061272</v>
      </c>
      <c r="G51" s="9">
        <f>[1]!MF_q_mix_rc_m3day(E51,fw_,D51,Tres_,PVT_str_)</f>
        <v>126.50353230307131</v>
      </c>
      <c r="H51">
        <f>[1]!MF_gas_fraction_d(D51,Tres_,fw_,PVT_str_)</f>
        <v>0</v>
      </c>
    </row>
    <row r="52" spans="3:8" x14ac:dyDescent="0.2">
      <c r="C52" s="14">
        <f t="shared" si="0"/>
        <v>119.02496945521388</v>
      </c>
      <c r="D52" s="9">
        <f>[1]!IPR_pwf_atma(PI_,Pres_,C52,fw_,Pb_)</f>
        <v>130.97503054478614</v>
      </c>
      <c r="E52" s="9">
        <f>[1]!IPR_qliq_sm3day(PI_,Pres_,D52,fw_,Pb_)</f>
        <v>119.02496945521386</v>
      </c>
      <c r="G52" s="9">
        <f>[1]!MF_q_mix_rc_m3day(E52,fw_,D52,Tres_,PVT_str_)</f>
        <v>138.287104544736</v>
      </c>
      <c r="H52">
        <f>[1]!MF_gas_fraction_d(D52,Tres_,fw_,PVT_str_)</f>
        <v>0</v>
      </c>
    </row>
    <row r="53" spans="3:8" x14ac:dyDescent="0.2">
      <c r="C53" s="14">
        <f t="shared" si="0"/>
        <v>128.94371690981504</v>
      </c>
      <c r="D53" s="9">
        <f>[1]!IPR_pwf_atma(PI_,Pres_,C53,fw_,Pb_)</f>
        <v>121.05628309018496</v>
      </c>
      <c r="E53" s="9">
        <f>[1]!IPR_qliq_sm3day(PI_,Pres_,D53,fw_,Pb_)</f>
        <v>128.94371690981504</v>
      </c>
      <c r="G53" s="9">
        <f>[1]!MF_q_mix_rc_m3day(E53,fw_,D53,Tres_,PVT_str_)</f>
        <v>150.16749411795843</v>
      </c>
      <c r="H53">
        <f>[1]!MF_gas_fraction_d(D53,Tres_,fw_,PVT_str_)</f>
        <v>0</v>
      </c>
    </row>
    <row r="54" spans="3:8" x14ac:dyDescent="0.2">
      <c r="C54" s="14">
        <f t="shared" si="0"/>
        <v>138.86246436441618</v>
      </c>
      <c r="D54" s="9">
        <f>[1]!IPR_pwf_atma(PI_,Pres_,C54,fw_,Pb_)</f>
        <v>110.89439013405214</v>
      </c>
      <c r="E54" s="9">
        <f>[1]!IPR_qliq_sm3day(PI_,Pres_,D54,fw_,Pb_)</f>
        <v>138.86246436441624</v>
      </c>
      <c r="G54" s="9">
        <f>[1]!MF_q_mix_rc_m3day(E54,fw_,D54,Tres_,PVT_str_)</f>
        <v>169.43647302473826</v>
      </c>
      <c r="H54">
        <f>[1]!MF_gas_fraction_d(D54,Tres_,fw_,PVT_str_)</f>
        <v>5.4969555207744616E-2</v>
      </c>
    </row>
    <row r="55" spans="3:8" x14ac:dyDescent="0.2">
      <c r="C55" s="14">
        <f t="shared" si="0"/>
        <v>148.78121181901733</v>
      </c>
      <c r="D55" s="9">
        <f>[1]!IPR_pwf_atma(PI_,Pres_,C55,fw_,Pb_)</f>
        <v>100.02727433529388</v>
      </c>
      <c r="E55" s="9">
        <f>[1]!IPR_qliq_sm3day(PI_,Pres_,D55,fw_,Pb_)</f>
        <v>148.78121181901744</v>
      </c>
      <c r="G55" s="9">
        <f>[1]!MF_q_mix_rc_m3day(E55,fw_,D55,Tres_,PVT_str_)</f>
        <v>192.75304291394997</v>
      </c>
      <c r="H55">
        <f>[1]!MF_gas_fraction_d(D55,Tres_,fw_,PVT_str_)</f>
        <v>0.1198770739868955</v>
      </c>
    </row>
    <row r="56" spans="3:8" x14ac:dyDescent="0.2">
      <c r="C56" s="14">
        <f t="shared" si="0"/>
        <v>158.69995927361848</v>
      </c>
      <c r="D56" s="9">
        <f>[1]!IPR_pwf_atma(PI_,Pres_,C56,fw_,Pb_)</f>
        <v>88.220870330268156</v>
      </c>
      <c r="E56" s="9">
        <f>[1]!IPR_qliq_sm3day(PI_,Pres_,D56,fw_,Pb_)</f>
        <v>158.69995927361836</v>
      </c>
      <c r="G56" s="9">
        <f>[1]!MF_q_mix_rc_m3day(E56,fw_,D56,Tres_,PVT_str_)</f>
        <v>222.094070855702</v>
      </c>
      <c r="H56">
        <f>[1]!MF_gas_fraction_d(D56,Tres_,fw_,PVT_str_)</f>
        <v>0.194852955458755</v>
      </c>
    </row>
    <row r="57" spans="3:8" x14ac:dyDescent="0.2">
      <c r="C57" s="14">
        <f t="shared" si="0"/>
        <v>168.61870672821962</v>
      </c>
      <c r="D57" s="9">
        <f>[1]!IPR_pwf_atma(PI_,Pres_,C57,fw_,Pb_)</f>
        <v>75.082562520816197</v>
      </c>
      <c r="E57" s="9">
        <f>[1]!IPR_qliq_sm3day(PI_,Pres_,D57,fw_,Pb_)</f>
        <v>168.61870672821959</v>
      </c>
      <c r="G57" s="9">
        <f>[1]!MF_q_mix_rc_m3day(E57,fw_,D57,Tres_,PVT_str_)</f>
        <v>262.23047457210657</v>
      </c>
      <c r="H57">
        <f>[1]!MF_gas_fraction_d(D57,Tres_,fw_,PVT_str_)</f>
        <v>0.28468458401074792</v>
      </c>
    </row>
    <row r="58" spans="3:8" x14ac:dyDescent="0.2">
      <c r="C58" s="14">
        <f t="shared" si="0"/>
        <v>178.53745418282077</v>
      </c>
      <c r="D58" s="9">
        <f>[1]!IPR_pwf_atma(PI_,Pres_,C58,fw_,Pb_)</f>
        <v>59.833402917957898</v>
      </c>
      <c r="E58" s="9">
        <f>[1]!IPR_qliq_sm3day(PI_,Pres_,D58,fw_,Pb_)</f>
        <v>178.53745418282082</v>
      </c>
      <c r="G58" s="9">
        <f>[1]!MF_q_mix_rc_m3day(E58,fw_,D58,Tres_,PVT_str_)</f>
        <v>325.78606278517208</v>
      </c>
      <c r="H58">
        <f>[1]!MF_gas_fraction_d(D58,Tres_,fw_,PVT_str_)</f>
        <v>0.39896468138768959</v>
      </c>
    </row>
    <row r="59" spans="3:8" x14ac:dyDescent="0.2">
      <c r="C59" s="14">
        <f t="shared" si="0"/>
        <v>188.45620163742191</v>
      </c>
      <c r="D59" s="9">
        <f>[1]!IPR_pwf_atma(PI_,Pres_,C59,fw_,Pb_)</f>
        <v>40.383204097085397</v>
      </c>
      <c r="E59" s="9">
        <f>[1]!IPR_qliq_sm3day(PI_,Pres_,D59,fw_,Pb_)</f>
        <v>188.45620163742174</v>
      </c>
      <c r="G59" s="9">
        <f>[1]!MF_q_mix_rc_m3day(E59,fw_,D59,Tres_,PVT_str_)</f>
        <v>465.75856271997071</v>
      </c>
      <c r="H59">
        <f>[1]!MF_gas_fraction_d(D59,Tres_,fw_,PVT_str_)</f>
        <v>0.56366548959158924</v>
      </c>
    </row>
    <row r="60" spans="3:8" x14ac:dyDescent="0.2">
      <c r="C60" s="14">
        <f t="shared" si="0"/>
        <v>198.37494909202306</v>
      </c>
      <c r="D60" s="9">
        <f>[1]!IPR_pwf_atma(PI_,Pres_,C60,fw_,Pb_)</f>
        <v>2.8181536965155018E-13</v>
      </c>
      <c r="E60" s="9">
        <f>[1]!IPR_qliq_sm3day(PI_,Pres_,D60,fw_,Pb_)</f>
        <v>198.37494909202306</v>
      </c>
      <c r="G60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18</vt:i4>
      </vt:variant>
    </vt:vector>
  </HeadingPairs>
  <TitlesOfParts>
    <vt:vector size="19" baseType="lpstr">
      <vt:lpstr>IPR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Pb_cal_</vt:lpstr>
      <vt:lpstr>IPR!PI_</vt:lpstr>
      <vt:lpstr>IPR!Pres_</vt:lpstr>
      <vt:lpstr>PVT_str_</vt:lpstr>
      <vt:lpstr>Pwftest_</vt:lpstr>
      <vt:lpstr>qltest_</vt:lpstr>
      <vt:lpstr>qmax_</vt:lpstr>
      <vt:lpstr>IPR!Rp_</vt:lpstr>
      <vt:lpstr>IPR!Rsb_</vt:lpstr>
      <vt:lpstr>IPR!Tres_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2019-08-01T11:38:01Z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