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 простые\"/>
    </mc:Choice>
  </mc:AlternateContent>
  <xr:revisionPtr revIDLastSave="0" documentId="13_ncr:1_{AF6017C9-2D15-4777-ABE4-9556C61955F0}" xr6:coauthVersionLast="41" xr6:coauthVersionMax="41" xr10:uidLastSave="{00000000-0000-0000-0000-000000000000}"/>
  <bookViews>
    <workbookView xWindow="-103" yWindow="-103" windowWidth="22149" windowHeight="12103" tabRatio="591" firstSheet="1" activeTab="1" xr2:uid="{00000000-000D-0000-FFFF-FFFF00000000}"/>
  </bookViews>
  <sheets>
    <sheet name="База насосов" sheetId="104" state="hidden" r:id="rId1"/>
    <sheet name="PVT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PVT!$C$14</definedName>
    <definedName name="gamma_gas_" localSheetId="1">PVT!$C$9</definedName>
    <definedName name="gamma_oil_" localSheetId="1">PVT!$C$7</definedName>
    <definedName name="gamma_wat_">PVT!$C$8</definedName>
    <definedName name="muob_">PVT!$C$15</definedName>
    <definedName name="Pb_" localSheetId="1">PVT!$C$12</definedName>
    <definedName name="PVT_str_">PVT!$B$27</definedName>
    <definedName name="Rp_" localSheetId="1">PVT!$C$11</definedName>
    <definedName name="Rsb_" localSheetId="1">PVT!$C$10</definedName>
    <definedName name="Tres_" localSheetId="1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I22" i="112"/>
  <c r="E22" i="112"/>
  <c r="G22" i="112"/>
  <c r="J22" i="112"/>
  <c r="B27" i="112"/>
  <c r="H22" i="112"/>
  <c r="D22" i="112"/>
  <c r="D33" i="112"/>
  <c r="F22" i="112"/>
  <c r="I33" i="112"/>
  <c r="E33" i="112"/>
  <c r="K22" i="112"/>
  <c r="H33" i="112"/>
  <c r="F33" i="112"/>
  <c r="J33" i="112"/>
  <c r="B28" i="112"/>
  <c r="G33" i="112"/>
  <c r="K33" i="112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<sst xmlns="http://schemas.openxmlformats.org/spreadsheetml/2006/main" count="2605" uniqueCount="163">
  <si>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</si>
  <si>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</si>
  <si>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</si>
  <si>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</si>
  <si>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</si>
  <si>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</si>
  <si>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</si>
  <si>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</si>
  <si>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</si>
  <si>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</si>
  <si>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</si>
  <si>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</si>
  <si>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</si>
  <si>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</si>
  <si>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</si>
  <si>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</si>
  <si>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</si>
  <si>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</si>
  <si>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</si>
  <si>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</si>
  <si>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</si>
  <si>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</si>
  <si>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</si>
  <si>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</si>
  <si>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</si>
  <si>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</si>
  <si>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</si>
  <si>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</si>
  <si>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</si>
  <si>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</si>
  <si>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</si>
  <si>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</si>
  <si>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</si>
  <si>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</si>
  <si>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</si>
  <si>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</si>
  <si>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</si>
  <si>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</si>
  <si>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</si>
  <si>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</si>
  <si>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</si>
  <si>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</si>
  <si>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</si>
  <si>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</si>
  <si>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</si>
  <si>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</si>
  <si>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</si>
  <si>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</si>
  <si>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</si>
  <si>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</si>
  <si>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</si>
  <si>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</si>
  <si>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</si>
  <si>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</si>
  <si>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</si>
  <si>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</si>
  <si>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</si>
  <si>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</si>
  <si>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</si>
  <si>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</si>
  <si>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</si>
  <si>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</si>
  <si>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</si>
  <si>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</si>
  <si>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</si>
  <si>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</si>
  <si>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</si>
  <si>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</si>
  <si>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</si>
  <si>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</si>
  <si>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</si>
  <si>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</si>
  <si>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</si>
  <si>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</si>
  <si>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</si>
  <si>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</si>
  <si>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</si>
  <si>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</si>
  <si>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</si>
  <si>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</si>
  <si>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</si>
  <si>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</si>
  <si>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</si>
  <si>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</si>
  <si>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</si>
  <si>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</si>
  <si>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</si>
  <si>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</si>
  <si>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</si>
  <si>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</si>
  <si>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</si>
  <si>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</si>
  <si>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</si>
  <si>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</si>
  <si>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</si>
  <si>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</si>
  <si>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</si>
  <si>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</si>
  <si>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</si>
  <si>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</si>
  <si>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</si>
  <si>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</si>
  <si>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</si>
  <si>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</si>
  <si>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</si>
  <si>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</si>
  <si>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</si>
  <si>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</si>
  <si>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</si>
  <si>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</si>
  <si>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</si>
  <si>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</si>
  <si>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</si>
  <si>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</si>
  <si>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</si>
  <si>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</si>
  <si>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</si>
  <si>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</si>
  <si>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</si>
  <si>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</si>
  <si>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</si>
  <si>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</si>
  <si>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</si>
  <si>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</si>
  <si>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</si>
  <si>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</si>
  <si>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</si>
  <si>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</si>
  <si>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</si>
  <si>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T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</si>
  <si>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</si>
  <si>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</si>
  <si>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</si>
  <si>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</si>
  <si>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</si>
  <si>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</si>
  <si>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</si>
  <si>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</si>
  <si>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</si>
  <si>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</si>
  <si>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</si>
  <si>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</si>
  <si>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</si>
  <si>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</si>
  <si>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</si>
  <si>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</si>
  <si>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</si>
  <si>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</si>
  <si>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</si>
  <si>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</si>
  <si>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</si>
  <si>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</si>
  <si>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</si>
  <si>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Basic PVT calculations</t>
  </si>
  <si>
    <t>PVT data</t>
  </si>
  <si>
    <t>cP</t>
  </si>
  <si>
    <t>atma</t>
  </si>
  <si>
    <t>PVT function call example</t>
  </si>
  <si>
    <t>Exercises for working with Unifloc VBA macroses</t>
  </si>
  <si>
    <t>°С</t>
  </si>
  <si>
    <t>String</t>
  </si>
  <si>
    <t>Check</t>
  </si>
  <si>
    <t>PVT parameters in one string (PVTstring)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</si>
</sst>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/>
    </xf>
    <xf numFmtId="0" fontId="17" fillId="0" borderId="0" xfId="0" applyFont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3" borderId="0" xfId="0" applyFill="1"/>
    <xf numFmtId="14" fontId="0" fillId="0" borderId="0" xfId="0" applyNumberFormat="1"/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492676</xdr:colOff>
      <xdr:row>1</xdr:row>
      <xdr:rowOff>152400</xdr:rowOff>
    </xdr:from>
    <xdr:to>
      <xdr:col>20</xdr:col>
      <xdr:colOff>13606</xdr:colOff>
      <xdr:row>18</xdr:row>
      <xdr:rowOff>104774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150776" y="314325"/>
          <a:ext cx="5007330" cy="33527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use PVT and</a:t>
          </a:r>
          <a:r>
            <a:rPr lang="en-US" sz="1100" baseline="0"/>
            <a:t> MF macroses for PVT exploring and calculatiing fluid properties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type "=PVT" or "=MF"  to explore function names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/>
        </a:p>
        <a:p>
          <a:pPr marL="0" indent="0">
            <a:buFontTx/>
            <a:buNone/>
          </a:pPr>
          <a:r>
            <a:rPr lang="en-US" sz="1100" baseline="0"/>
            <a:t>PVT_Rs_m3m3</a:t>
          </a:r>
        </a:p>
        <a:p>
          <a:pPr marL="0" indent="0">
            <a:buFontTx/>
            <a:buNone/>
          </a:pPr>
          <a:r>
            <a:rPr lang="en-US" sz="1100" baseline="0"/>
            <a:t>PVT_Bo_m3m3</a:t>
          </a:r>
          <a:endParaRPr lang="ru-RU" sz="1100" baseline="0"/>
        </a:p>
        <a:p>
          <a:r>
            <a:rPr lang="en-US" sz="1100" baseline="0"/>
            <a:t>PVT_Muo_cP</a:t>
          </a:r>
        </a:p>
        <a:p>
          <a:r>
            <a:rPr lang="en-US" sz="1100" baseline="0"/>
            <a:t>PVT_Mug_cP</a:t>
          </a:r>
        </a:p>
        <a:p>
          <a:r>
            <a:rPr lang="en-US" sz="1100" baseline="0"/>
            <a:t>PVT_Muw_cP</a:t>
          </a:r>
        </a:p>
        <a:p>
          <a:r>
            <a:rPr lang="en-US" sz="1100" baseline="0"/>
            <a:t>PVT_Rhog_kgm3</a:t>
          </a:r>
        </a:p>
        <a:p>
          <a:r>
            <a:rPr lang="en-US" sz="1100" baseline="0"/>
            <a:t>PVT_Rhow_kgm3</a:t>
          </a:r>
        </a:p>
        <a:p>
          <a:r>
            <a:rPr lang="en-US" sz="1100" baseline="0"/>
            <a:t>PVT_Rhoo_kgm3</a:t>
          </a:r>
        </a:p>
        <a:p>
          <a:r>
            <a:rPr lang="en-US" sz="1100" baseline="0"/>
            <a:t>MF_Qmix_m3day</a:t>
          </a:r>
        </a:p>
        <a:p>
          <a:r>
            <a:rPr lang="en-US" sz="1100" baseline="0"/>
            <a:t>MF_Rhomix_kgm3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PVT properties required by all (almost) functions in reservoir engineering calculation. Sometimes it is convinient to send one param to identify PVT props. Next functions do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</a:rPr>
            <a:t>PVT_Encode_string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</a:rPr>
            <a:t>PVT_Decode_string</a:t>
          </a:r>
          <a:endParaRPr lang="ru-RU" sz="1100">
            <a:effectLst/>
          </a:endParaRPr>
        </a:p>
        <a:p>
          <a:endParaRPr lang="ru-RU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PVT_Bo_m3m3"/>
      <definedName name="PVT_Decode_string"/>
      <definedName name="PVT_Encode_string"/>
      <definedName name="PVT_Mug_cP"/>
      <definedName name="PVT_Muo_cP"/>
      <definedName name="PVT_Muw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5234375" defaultRowHeight="14.6" x14ac:dyDescent="0.4"/>
  <cols>
    <col min="1" max="1" width="9.15234375" style="1"/>
    <col min="2" max="2" width="5" style="1" bestFit="1" customWidth="1"/>
    <col min="3" max="3" width="19" style="1" bestFit="1" customWidth="1"/>
    <col min="4" max="4" width="28.84375" style="1" bestFit="1" customWidth="1"/>
    <col min="5" max="5" width="14.84375" style="1" bestFit="1" customWidth="1"/>
    <col min="6" max="6" width="12" style="1" bestFit="1" customWidth="1"/>
    <col min="7" max="7" width="14.15234375" style="1" bestFit="1" customWidth="1"/>
    <col min="8" max="8" width="15.15234375" style="1" bestFit="1" customWidth="1"/>
    <col min="9" max="9" width="23.382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5234375" style="1" customWidth="1"/>
    <col min="18" max="18" width="12.3828125" style="1" customWidth="1"/>
    <col min="19" max="19" width="15.15234375" style="1" customWidth="1"/>
    <col min="20" max="21" width="9.15234375" style="1"/>
    <col min="22" max="22" width="14.15234375" style="1" customWidth="1"/>
    <col min="23" max="23" width="15.15234375" style="1" customWidth="1"/>
    <col min="24" max="24" width="19.53515625" style="1" customWidth="1"/>
    <col min="25" max="25" width="17.84375" style="1" customWidth="1"/>
    <col min="26" max="16384" width="9.15234375" style="1"/>
  </cols>
  <sheetData>
    <row r="2" spans="2:25" x14ac:dyDescent="0.4">
      <c r="B2" s="25" t="s">
        <v>1</v>
      </c>
      <c r="C2" s="25"/>
      <c r="D2" s="25"/>
      <c r="E2" s="25"/>
      <c r="F2" s="25"/>
      <c r="G2" s="25"/>
      <c r="H2" s="25"/>
      <c r="I2" s="25"/>
      <c r="J2" s="25"/>
      <c r="K2" s="25"/>
      <c r="L2" s="25" t="s">
        <v>2</v>
      </c>
      <c r="M2" s="25"/>
      <c r="N2" s="25"/>
      <c r="O2" s="25"/>
      <c r="V2" s="26" t="s">
        <v>3</v>
      </c>
      <c r="W2" s="26"/>
      <c r="X2" s="26"/>
    </row>
    <row r="3" spans="2:25" s="3" customFormat="1" ht="43.75" x14ac:dyDescent="0.4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4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4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4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4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4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4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4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4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4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4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4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4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4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4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4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4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4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4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4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4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4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4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4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4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4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4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4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4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4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4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4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4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4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4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4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4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4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4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4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4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4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4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4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4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4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4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4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4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4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4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4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4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4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4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4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4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4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4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4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4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4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4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4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4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4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4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4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4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4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4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4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4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4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4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4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4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4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4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4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4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4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4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4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4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4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4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4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4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4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4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4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4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4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4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4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4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4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4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4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4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4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4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4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4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4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4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4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4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4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4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4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4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4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4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4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4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4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4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4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4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4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4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4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4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4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4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4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4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4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4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4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4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4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4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4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4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4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4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4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4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4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4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4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4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4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4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4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4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4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4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4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4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4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4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4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4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4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4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4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4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4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4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4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4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4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4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4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4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4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4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4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4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4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4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4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4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4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4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4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4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4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4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4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4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4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4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4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4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4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4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4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4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4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4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4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4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4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4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4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4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4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4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4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4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4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4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4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4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4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4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4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4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4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4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4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4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4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4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4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4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4">
      <c r="B224" s="1">
        <v>753</v>
      </c>
      <c r="C224" s="1" t="s">
        <v>28</v>
      </c>
      <c r="D224" s="1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4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4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4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4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4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4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4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4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4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4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4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4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4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4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4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4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4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4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4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4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4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4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4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4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4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4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4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4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4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4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4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4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4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4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4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4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4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4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4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4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4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4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4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4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4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4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4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4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4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4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4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4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4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4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4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4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4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4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4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4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4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4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4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4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4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4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4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4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4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4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4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4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4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4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4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4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4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4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4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4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4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4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4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4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4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4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4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4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4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4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4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4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4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4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4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4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4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4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4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4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4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4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4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4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4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4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4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4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4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4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4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4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4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4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4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4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4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4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4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4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4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4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4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4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4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4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4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4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4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4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4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4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4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4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4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4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4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4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4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4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4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4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4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4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4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4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4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4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4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4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4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4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4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4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4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4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4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4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4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4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4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4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4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4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4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4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4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4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4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4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4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4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4">
      <c r="B397" s="1">
        <v>766</v>
      </c>
      <c r="C397" s="1" t="s">
        <v>28</v>
      </c>
      <c r="D397" s="1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4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4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4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4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4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4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4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4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4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4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4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4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4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4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4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4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4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4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4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4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4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4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4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4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4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4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4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4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4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4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4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4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4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4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4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4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4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4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4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4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4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4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4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4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4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4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4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4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4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4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4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4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4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4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4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4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4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4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4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4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4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4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4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4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4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4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4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4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4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4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4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4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4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4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4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4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4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4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4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4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4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4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4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4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4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4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4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4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4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4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4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4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4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4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4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4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4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4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4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4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4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4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4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4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4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4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4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4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4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4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4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4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4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4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4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4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4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4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4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4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4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4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4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4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4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4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4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4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4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4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4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4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4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4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4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4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4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4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4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4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4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4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4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4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4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4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4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4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4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4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4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4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4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4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4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4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4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4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4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4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4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4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4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4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4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4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4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4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4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4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4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4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4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4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4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4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4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4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4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4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4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4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4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4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4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4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4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4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4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4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4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4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4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4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4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4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4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4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4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4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4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4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4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4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4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4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4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4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4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4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4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4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4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4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4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4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4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4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4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4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4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4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4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4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4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4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4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4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4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4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4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4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4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4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4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4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4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4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4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4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4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4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4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4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4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4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4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4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4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4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4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4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4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4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4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4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4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4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4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4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4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4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4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4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4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4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4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4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4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4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4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4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4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4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4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4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4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4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4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4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4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4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4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4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4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4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4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4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4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4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4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4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4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4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4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4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4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4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4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4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4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4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4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4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4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4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4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4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4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4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4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4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4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4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4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4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4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4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4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4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4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4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4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4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4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4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4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4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4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4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4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4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4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4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4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4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4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4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4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4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4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4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4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4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4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4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4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4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4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4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4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4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4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4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4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4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4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4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4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4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4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4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4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4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4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4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4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4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4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4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4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4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4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4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4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4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4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4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4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4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4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4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4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4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4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4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4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4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4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4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4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4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4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4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4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4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4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4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4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4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4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4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4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4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4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4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4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4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4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4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4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4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4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4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4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4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4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4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4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4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4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4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4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4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4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4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4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4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4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4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4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4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4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4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4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4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4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4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4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4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4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4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4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4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4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4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4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4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4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4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4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4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4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4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4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4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4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4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4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4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4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4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4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4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4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4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4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4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4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4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4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4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4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4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4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4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4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4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4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4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4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4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4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4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4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4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4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4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4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4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4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4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4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4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4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4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4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4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4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4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4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4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4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4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4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4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4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4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4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4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4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4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4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4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4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4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4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4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4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4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4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4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4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4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4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4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4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4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4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4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4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4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4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4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4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4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4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4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4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4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4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4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4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4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4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4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4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4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4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4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4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4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4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4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4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4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4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4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4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4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4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4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4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4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4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4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4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4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4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4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4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4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4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4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4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4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4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4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4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4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4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4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4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4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4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4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4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4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4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4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4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4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4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4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4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4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4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4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4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4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4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4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4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4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4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4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4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4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4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4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4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4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4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4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4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4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4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4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4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4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4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4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4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4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4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4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4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4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4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4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4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4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4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4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4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4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4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4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4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4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4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4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4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4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4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4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4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4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4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4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4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4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4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4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4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4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4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4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4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4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4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4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4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4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4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4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4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4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4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4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4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4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4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4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4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4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4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4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4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4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4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4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4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4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4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4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4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4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4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4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4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4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4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4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4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4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4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4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4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4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4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4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4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4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4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4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4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4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4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4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4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4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4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4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4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4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4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4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4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4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4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4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4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4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4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4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4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4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4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4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4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4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4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4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4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4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4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4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4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4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4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4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4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4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4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4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4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4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4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4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4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4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4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4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4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4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4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4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4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4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4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4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4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4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4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4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4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4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4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4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4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4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4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4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4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4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4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4">
      <c r="B1175" s="1">
        <v>1024</v>
      </c>
      <c r="C1175" s="1" t="s">
        <v>28</v>
      </c>
      <c r="D1175" s="1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4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4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4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4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4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4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4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4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4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4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4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4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4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4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4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4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4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4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4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4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4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4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4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4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4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4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4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4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4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4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4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4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4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4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4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4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4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4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4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4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4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4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4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4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4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4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4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4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4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4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4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4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4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4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4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4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4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4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4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4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4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4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4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4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4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4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4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4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4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4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4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4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4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4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4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4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4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4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4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4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4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4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4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4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4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4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4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4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4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4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4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4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1:T34"/>
  <sheetViews>
    <sheetView tabSelected="1" zoomScale="85" zoomScaleNormal="85" workbookViewId="0">
      <selection activeCell="I14" sqref="I14"/>
    </sheetView>
  </sheetViews>
  <sheetFormatPr defaultRowHeight="12.45" outlineLevelRow="1" x14ac:dyDescent="0.3"/>
  <cols>
    <col min="2" max="2" width="11" customWidth="1"/>
    <col min="3" max="3" width="10.53515625" customWidth="1"/>
    <col min="4" max="4" width="9.84375" customWidth="1"/>
    <col min="5" max="5" width="11.3046875" customWidth="1"/>
    <col min="6" max="6" width="9.84375" customWidth="1"/>
    <col min="7" max="7" width="10.3046875" customWidth="1"/>
    <col min="8" max="8" width="12.3046875" customWidth="1"/>
    <col min="10" max="10" width="11.3046875" customWidth="1"/>
    <col min="11" max="11" width="10.15234375" customWidth="1"/>
    <col min="22" max="32" width="9.15234375" customWidth="1"/>
  </cols>
  <sheetData>
    <row r="1" spans="1:8" x14ac:dyDescent="0.3">
      <c r="A1" s="4" t="s">
        <v>158</v>
      </c>
      <c r="H1" s="24">
        <v>43492</v>
      </c>
    </row>
    <row r="2" spans="1:8" x14ac:dyDescent="0.3">
      <c r="A2" s="4" t="s">
        <v>153</v>
      </c>
    </row>
    <row r="6" spans="1:8" x14ac:dyDescent="0.3">
      <c r="B6" s="4" t="s">
        <v>154</v>
      </c>
    </row>
    <row r="7" spans="1:8" ht="17.600000000000001" outlineLevel="1" x14ac:dyDescent="0.55000000000000004">
      <c r="B7" s="12" t="s">
        <v>133</v>
      </c>
      <c r="C7" s="5">
        <v>0.86</v>
      </c>
      <c r="D7" s="13"/>
      <c r="E7" s="8">
        <f>gamma_oil_*1000</f>
        <v>860</v>
      </c>
      <c r="F7" s="9" t="s">
        <v>144</v>
      </c>
    </row>
    <row r="8" spans="1:8" ht="17.600000000000001" outlineLevel="1" x14ac:dyDescent="0.55000000000000004">
      <c r="B8" s="9" t="s">
        <v>135</v>
      </c>
      <c r="C8" s="5">
        <v>1</v>
      </c>
      <c r="D8" s="13"/>
      <c r="E8" s="8">
        <f>gamma_wat_*1000</f>
        <v>1000</v>
      </c>
      <c r="F8" s="9" t="s">
        <v>144</v>
      </c>
    </row>
    <row r="9" spans="1:8" ht="17.600000000000001" outlineLevel="1" x14ac:dyDescent="0.55000000000000004">
      <c r="B9" s="9" t="s">
        <v>134</v>
      </c>
      <c r="C9" s="5">
        <v>0.8</v>
      </c>
      <c r="D9" s="13"/>
      <c r="E9" s="8">
        <f>gamma_gas_*1.22</f>
        <v>0.97599999999999998</v>
      </c>
      <c r="F9" s="9" t="s">
        <v>144</v>
      </c>
    </row>
    <row r="10" spans="1:8" ht="17.600000000000001" outlineLevel="1" x14ac:dyDescent="0.55000000000000004">
      <c r="B10" s="14" t="s">
        <v>136</v>
      </c>
      <c r="C10" s="5">
        <v>80</v>
      </c>
      <c r="D10" s="9" t="s">
        <v>137</v>
      </c>
      <c r="E10" s="11">
        <f>Rsb_/gamma_oil_</f>
        <v>93.023255813953483</v>
      </c>
      <c r="F10" s="9" t="s">
        <v>139</v>
      </c>
    </row>
    <row r="11" spans="1:8" ht="17.600000000000001" outlineLevel="1" x14ac:dyDescent="0.55000000000000004">
      <c r="B11" s="14" t="s">
        <v>138</v>
      </c>
      <c r="C11" s="5">
        <v>80</v>
      </c>
      <c r="D11" s="9" t="s">
        <v>156</v>
      </c>
      <c r="E11" s="11">
        <f>Rsb_/gamma_oil_</f>
        <v>93.023255813953483</v>
      </c>
      <c r="F11" s="9" t="s">
        <v>139</v>
      </c>
    </row>
    <row r="12" spans="1:8" ht="17.149999999999999" outlineLevel="1" x14ac:dyDescent="0.55000000000000004">
      <c r="B12" s="9" t="s">
        <v>141</v>
      </c>
      <c r="C12" s="5">
        <v>120</v>
      </c>
      <c r="D12" s="9" t="s">
        <v>130</v>
      </c>
      <c r="E12" s="11">
        <f>Pb_*1.01325/10</f>
        <v>12.159000000000001</v>
      </c>
      <c r="F12" s="10" t="s">
        <v>131</v>
      </c>
    </row>
    <row r="13" spans="1:8" ht="17.149999999999999" outlineLevel="1" x14ac:dyDescent="0.55000000000000004">
      <c r="B13" s="9" t="s">
        <v>140</v>
      </c>
      <c r="C13" s="5">
        <v>100</v>
      </c>
      <c r="D13" s="9" t="s">
        <v>159</v>
      </c>
      <c r="E13" s="11">
        <f>Tres_*9/5+32</f>
        <v>212</v>
      </c>
      <c r="F13" s="10" t="s">
        <v>132</v>
      </c>
    </row>
    <row r="14" spans="1:8" ht="17.149999999999999" outlineLevel="1" x14ac:dyDescent="0.55000000000000004">
      <c r="B14" s="14" t="s">
        <v>142</v>
      </c>
      <c r="C14" s="5">
        <v>1.2</v>
      </c>
      <c r="D14" s="9" t="s">
        <v>128</v>
      </c>
      <c r="E14" s="7"/>
      <c r="F14" s="13"/>
    </row>
    <row r="15" spans="1:8" ht="17.149999999999999" outlineLevel="1" x14ac:dyDescent="0.55000000000000004">
      <c r="B15" s="15" t="s">
        <v>143</v>
      </c>
      <c r="C15" s="5">
        <v>1</v>
      </c>
      <c r="D15" s="9" t="s">
        <v>155</v>
      </c>
      <c r="E15" s="7"/>
      <c r="F15" s="13"/>
    </row>
    <row r="18" spans="1:20" x14ac:dyDescent="0.3">
      <c r="B18" s="4" t="s">
        <v>157</v>
      </c>
    </row>
    <row r="19" spans="1:20" outlineLevel="1" x14ac:dyDescent="0.3"/>
    <row r="20" spans="1:20" ht="12.9" outlineLevel="1" x14ac:dyDescent="0.35">
      <c r="H20" s="6"/>
    </row>
    <row r="21" spans="1:20" ht="14.6" outlineLevel="1" x14ac:dyDescent="0.3">
      <c r="B21" s="16" t="s">
        <v>0</v>
      </c>
      <c r="C21" s="16" t="s">
        <v>129</v>
      </c>
      <c r="D21" s="16" t="s">
        <v>145</v>
      </c>
      <c r="E21" s="16" t="s">
        <v>146</v>
      </c>
      <c r="F21" s="17" t="s">
        <v>147</v>
      </c>
      <c r="G21" s="18" t="s">
        <v>148</v>
      </c>
      <c r="H21" s="18" t="s">
        <v>149</v>
      </c>
      <c r="I21" s="16" t="s">
        <v>150</v>
      </c>
      <c r="J21" s="16" t="s">
        <v>151</v>
      </c>
      <c r="K21" s="16" t="s">
        <v>152</v>
      </c>
    </row>
    <row r="22" spans="1:20" outlineLevel="1" x14ac:dyDescent="0.3">
      <c r="B22" s="19">
        <v>1</v>
      </c>
      <c r="C22" s="19">
        <v>80</v>
      </c>
      <c r="D22" s="21">
        <f>[1]!PVT_Rs_m3m3(B22,C22,gamma_gas_,gamma_oil_,gamma_wat_,Rsb_,Rp_,Pb_,Tres_,Bob_,muob_)</f>
        <v>0.27348943697138201</v>
      </c>
      <c r="E22" s="21">
        <f>[1]!PVT_Bo_m3m3(B22,C22,gamma_gas_,gamma_oil_,gamma_wat_,Rsb_,Rp_,Pb_,Tres_,Bob_,muob_)</f>
        <v>1.0376527596788165</v>
      </c>
      <c r="F22" s="20">
        <f>[1]!PVT_Muo_cP(B22,C22,gamma_gas_,gamma_oil_,gamma_wat_,Rsb_,Rp_,Pb_,Tres_,Bob_,muob_)</f>
        <v>3.4463445519065772</v>
      </c>
      <c r="G22" s="22">
        <f>[1]!PVT_Mug_cP(B22,C22,gamma_gas_,gamma_oil_,gamma_wat_,Rsb_,Rp_,Pb_,Pb_,Bob_,muob_)</f>
        <v>1.2105546241270334E-2</v>
      </c>
      <c r="H22" s="21">
        <f>[1]!PVT_Muw_cP(B22,C22,gamma_gas_,gamma_oil_,gamma_wat_,Rsb_,Rp_,Pb_,Tres_,Bob_,muob_)</f>
        <v>0.33586886209810729</v>
      </c>
      <c r="I22" s="20">
        <f>[1]!PVT_Rhog_kgm3(B22,C22,gamma_gas_,gamma_oil_,gamma_wat_,Rsb_,Rp_,Pb_,Tres_,Bob_,muob_)</f>
        <v>0.80923453779557586</v>
      </c>
      <c r="J22" s="20">
        <f>[1]!PVT_Rhow_kgm3(B22,C22,gamma_gas_,gamma_oil_,gamma_wat_,Rsb_,Rp_,Pb_,Tres_,Bob_,muob_)</f>
        <v>970.56653980677311</v>
      </c>
      <c r="K22" s="20">
        <f>[1]!PVT_Rhoo_kgm3(B22,C22,gamma_gas_,gamma_oil_,gamma_wat_,Rsb_,Rp_,Pb_,Tres_,Bob_,muob_)</f>
        <v>829.05123087842594</v>
      </c>
    </row>
    <row r="24" spans="1:20" x14ac:dyDescent="0.3">
      <c r="B24" s="4" t="s">
        <v>162</v>
      </c>
    </row>
    <row r="25" spans="1:20" outlineLevel="1" x14ac:dyDescent="0.3"/>
    <row r="26" spans="1:20" outlineLevel="1" x14ac:dyDescent="0.3"/>
    <row r="27" spans="1:20" outlineLevel="1" x14ac:dyDescent="0.3">
      <c r="A27" t="s">
        <v>160</v>
      </c>
      <c r="B27" s="23" t="str">
        <f>[1]!PVT_Encode_string(gamma_gas_,gamma_oil_,gamma_gas_,Rsb_,Rp_,Pb_,Tres_,Bob_,muob_)</f>
        <v>gamma_gas:0,800;gamma_oil:0,860;gamma_wat:0,800;rsb_m3m3:80,000;Rp_m3m3:80,000;Pb_atma:120,000;Tres_C:100,000;Bob_m3m3:1,200;Muob_cP:1,000;PVTcorr:0;Ksep_fr:0,000;PKsep_atma:-1,000;TKsep_C:-1,000;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</row>
    <row r="28" spans="1:20" outlineLevel="1" x14ac:dyDescent="0.3">
      <c r="A28" t="s">
        <v>161</v>
      </c>
      <c r="B28" s="23" t="str">
        <f>[1]!PVT_Decode_string(B27,1)</f>
        <v>gamma_gas:0,800;gamma_oil:0,860;gamma_wat:0,800;rsb_m3m3:80,000;Rp_m3m3:80,000;Pb_atma:120,000;Tres_C:100,000;Bob_m3m3:1,200;Muob_cP:1,000;PVTcorr:0;Ksep_fr:0,000;PKsep_atma:-1,000;TKsep_C:-1,000;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</row>
    <row r="29" spans="1:20" outlineLevel="1" x14ac:dyDescent="0.3"/>
    <row r="30" spans="1:20" outlineLevel="1" x14ac:dyDescent="0.3">
      <c r="A30" t="s">
        <v>157</v>
      </c>
    </row>
    <row r="31" spans="1:20" outlineLevel="1" x14ac:dyDescent="0.3"/>
    <row r="32" spans="1:20" ht="14.6" outlineLevel="1" x14ac:dyDescent="0.3">
      <c r="B32" s="16" t="s">
        <v>0</v>
      </c>
      <c r="C32" s="16" t="s">
        <v>129</v>
      </c>
      <c r="D32" s="16" t="s">
        <v>145</v>
      </c>
      <c r="E32" s="16" t="s">
        <v>146</v>
      </c>
      <c r="F32" s="17" t="s">
        <v>147</v>
      </c>
      <c r="G32" s="18" t="s">
        <v>148</v>
      </c>
      <c r="H32" s="18" t="s">
        <v>149</v>
      </c>
      <c r="I32" s="16" t="s">
        <v>150</v>
      </c>
      <c r="J32" s="16" t="s">
        <v>151</v>
      </c>
      <c r="K32" s="16" t="s">
        <v>152</v>
      </c>
    </row>
    <row r="33" spans="2:11" outlineLevel="1" x14ac:dyDescent="0.3">
      <c r="B33" s="19">
        <v>1</v>
      </c>
      <c r="C33" s="19">
        <v>80</v>
      </c>
      <c r="D33" s="21">
        <f>[1]!PVT_Rs_m3m3(B33,C33,,,,,,,,,,,,,,PVT_str_)</f>
        <v>0.27348943697138201</v>
      </c>
      <c r="E33" s="21">
        <f>[1]!PVT_Bo_m3m3(B33,C33,,,,,,,,,,,,,,PVT_str_)</f>
        <v>1.0376527596788165</v>
      </c>
      <c r="F33" s="20">
        <f>[1]!PVT_Muo_cP(B33,C33,,,,,,,,,,,,,,PVT_str_)</f>
        <v>3.4463445519065772</v>
      </c>
      <c r="G33" s="22">
        <f>[1]!PVT_Mug_cP(B33,C33,,,,,,,,,,,,,,PVT_str_)</f>
        <v>1.2105546241270334E-2</v>
      </c>
      <c r="H33" s="21">
        <f>[1]!PVT_Muw_cP(B33,C33,,,,,,,,,,,,,,PVT_str_)</f>
        <v>0.19082094514954473</v>
      </c>
      <c r="I33" s="20">
        <f>[1]!PVT_Rhog_kgm3(B33,C33,,,,,,,,,,,,,,PVT_str_)</f>
        <v>0.80923453779557586</v>
      </c>
      <c r="J33" s="20">
        <f>[1]!PVT_Rhow_kgm3(B33,C33,,,,,,,,,,,,,,PVT_str_)</f>
        <v>873.50988582609591</v>
      </c>
      <c r="K33" s="20">
        <f>[1]!PVT_Rhoo_kgm3(B33,C33,,,,,,,,,,,,,,PVT_str_)</f>
        <v>829.05123087842594</v>
      </c>
    </row>
    <row r="34" spans="2:11" outlineLevel="1" x14ac:dyDescent="0.3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</vt:i4>
      </vt:variant>
    </vt:vector>
  </HeadingPairs>
  <TitlesOfParts>
    <vt:vector size="12" baseType="lpstr">
      <vt:lpstr>База насосов</vt:lpstr>
      <vt:lpstr>PVT</vt:lpstr>
      <vt:lpstr>PVT!Bob_</vt:lpstr>
      <vt:lpstr>PVT!gamma_gas_</vt:lpstr>
      <vt:lpstr>PVT!gamma_oil_</vt:lpstr>
      <vt:lpstr>gamma_wat_</vt:lpstr>
      <vt:lpstr>muob_</vt:lpstr>
      <vt:lpstr>PVT!Pb_</vt:lpstr>
      <vt:lpstr>PVT_str_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2019-03-17T13:23:43Z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