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AC98D12F-E76B-419E-A80B-1235DB57978B}" xr6:coauthVersionLast="43" xr6:coauthVersionMax="43" xr10:uidLastSave="{00000000-0000-0000-0000-000000000000}"/>
  <bookViews>
    <workbookView xWindow="-120" yWindow="-120" windowWidth="24240" windowHeight="13140" tabRatio="422" activeTab="1" xr2:uid="{00000000-000D-0000-FFFF-FFFF00000000}"/>
  </bookViews>
  <sheets>
    <sheet name="well" sheetId="107" r:id="rId1"/>
    <sheet name="well нп 1296" sheetId="108" r:id="rId2"/>
  </sheets>
  <externalReferences>
    <externalReference r:id="rId3"/>
  </externalReferences>
  <definedNames>
    <definedName name="Bob_" localSheetId="0">well!$C$14</definedName>
    <definedName name="Bob_" localSheetId="1">'well нп 1296'!$C$14</definedName>
    <definedName name="d_annular_pr" localSheetId="1">'well нп 1296'!$C$35</definedName>
    <definedName name="d_annular_pr">well!$C$35</definedName>
    <definedName name="Dcas_" localSheetId="0">well!$C$21</definedName>
    <definedName name="Dcas_" localSheetId="1">'well нп 1296'!$C$21</definedName>
    <definedName name="Dintake_" localSheetId="0">well!$C$25</definedName>
    <definedName name="Dintake_" localSheetId="1">'well нп 1296'!$C$25</definedName>
    <definedName name="Dtub_" localSheetId="0">well!$C$24</definedName>
    <definedName name="Dtub_" localSheetId="1">'well нп 1296'!$C$24</definedName>
    <definedName name="Dtub_out_" localSheetId="0">well!$C$22</definedName>
    <definedName name="Dtub_out_" localSheetId="1">'well нп 1296'!$C$22</definedName>
    <definedName name="ESPstr" localSheetId="1">'well нп 1296'!$G$45</definedName>
    <definedName name="ESPstr">well!$G$45</definedName>
    <definedName name="Freq_" localSheetId="0">well!$C$40</definedName>
    <definedName name="Freq_" localSheetId="1">'well нп 1296'!$C$40</definedName>
    <definedName name="Freq1_" localSheetId="0">well!$D$97</definedName>
    <definedName name="Freq1_" localSheetId="1">'well нп 1296'!$D$97</definedName>
    <definedName name="fw_" localSheetId="1">'well нп 1296'!$C$33</definedName>
    <definedName name="fw_">well!$C$33</definedName>
    <definedName name="gamma_gas_" localSheetId="0">well!$C$9</definedName>
    <definedName name="gamma_gas_" localSheetId="1">'well нп 1296'!$C$9</definedName>
    <definedName name="gamma_oil_" localSheetId="0">well!$C$7</definedName>
    <definedName name="gamma_oil_" localSheetId="1">'well нп 1296'!$C$7</definedName>
    <definedName name="gamma_wat_" localSheetId="0">well!$C$8</definedName>
    <definedName name="gamma_wat_" localSheetId="1">'well нп 1296'!$C$8</definedName>
    <definedName name="Head_ESP_" localSheetId="0">well!$C$39</definedName>
    <definedName name="Head_ESP_" localSheetId="1">'well нп 1296'!$C$39</definedName>
    <definedName name="Hmes_" localSheetId="0">well!$C$18</definedName>
    <definedName name="Hmes_" localSheetId="1">'well нп 1296'!$C$18</definedName>
    <definedName name="Hpump_" localSheetId="0">well!$C$20</definedName>
    <definedName name="Hpump_" localSheetId="1">'well нп 1296'!$C$20</definedName>
    <definedName name="k_split_liquid" localSheetId="1">'well нп 1296'!$L$63</definedName>
    <definedName name="k_split_liquid">well!$L$63</definedName>
    <definedName name="Kdegr_" localSheetId="0">well!$D$63</definedName>
    <definedName name="Kdegr_" localSheetId="1">'well нп 1296'!$D$63</definedName>
    <definedName name="KsepGasSep_" localSheetId="0">well!$C$45</definedName>
    <definedName name="KsepGasSep_" localSheetId="1">'well нп 1296'!$C$45</definedName>
    <definedName name="mu_" localSheetId="1">'well нп 1296'!$C$15</definedName>
    <definedName name="mu_">well!$C$15</definedName>
    <definedName name="N_" localSheetId="0">well!$C$55</definedName>
    <definedName name="N_" localSheetId="1">'well нп 1296'!$C$55</definedName>
    <definedName name="NumStage_" localSheetId="0">well!$C$44</definedName>
    <definedName name="NumStage_" localSheetId="1">'well нп 1296'!$C$44</definedName>
    <definedName name="Pb_" localSheetId="0">well!$C$12</definedName>
    <definedName name="Pb_" localSheetId="1">'well нп 1296'!$C$12</definedName>
    <definedName name="Pbuf_" localSheetId="0">well!$C$26</definedName>
    <definedName name="Pbuf_" localSheetId="1">'well нп 1296'!$C$26</definedName>
    <definedName name="Pdis_" localSheetId="0">well!$C$29</definedName>
    <definedName name="Pdis_" localSheetId="1">'well нп 1296'!$C$29</definedName>
    <definedName name="PI_" localSheetId="0">well!$C$51</definedName>
    <definedName name="PI_" localSheetId="1">'well нп 1296'!$C$51</definedName>
    <definedName name="Pintake_" localSheetId="0">well!$C$27</definedName>
    <definedName name="Pintake_" localSheetId="1">'well нп 1296'!$C$27</definedName>
    <definedName name="PKsep" localSheetId="1">'well нп 1296'!$C$46</definedName>
    <definedName name="PKsep">well!$C$46</definedName>
    <definedName name="Pres_" localSheetId="0">well!$C$50</definedName>
    <definedName name="Pres_" localSheetId="1">'well нп 1296'!$C$50</definedName>
    <definedName name="PumpID_" localSheetId="0">well!$C$41</definedName>
    <definedName name="PumpID_" localSheetId="1">'well нп 1296'!$C$41</definedName>
    <definedName name="PVT_str_" localSheetId="1">'well нп 1296'!$G$42</definedName>
    <definedName name="PVT_str_">well!$G$42</definedName>
    <definedName name="PVT_str_annular_" localSheetId="1">'well нп 1296'!$G$48</definedName>
    <definedName name="PVT_str_annular_">well!$G$48</definedName>
    <definedName name="Pwf_" localSheetId="0">well!$C$31</definedName>
    <definedName name="Pwf_" localSheetId="1">'well нп 1296'!$C$31</definedName>
    <definedName name="Pwf1_" localSheetId="0">well!$D$95</definedName>
    <definedName name="Pwf1_" localSheetId="1">'well нп 1296'!$D$95</definedName>
    <definedName name="Q_" localSheetId="0">well!$C$32</definedName>
    <definedName name="Q_" localSheetId="1">'well нп 1296'!$C$32</definedName>
    <definedName name="Q_annular_" localSheetId="1">'well нп 1296'!$C$34</definedName>
    <definedName name="Q_annular_">well!$C$34</definedName>
    <definedName name="Q_ESP_" localSheetId="0">well!$C$38</definedName>
    <definedName name="Q_ESP_" localSheetId="1">'well нп 1296'!$C$38</definedName>
    <definedName name="Q_total_" localSheetId="1">'well нп 1296'!$C$30</definedName>
    <definedName name="Q_total_">well!$C$30</definedName>
    <definedName name="Qmax" localSheetId="0">well!$C$43</definedName>
    <definedName name="Qmax" localSheetId="1">'well нп 1296'!$C$43</definedName>
    <definedName name="Qreal_" localSheetId="0">well!$D$96</definedName>
    <definedName name="Qreal_" localSheetId="1">'well нп 1296'!$D$96</definedName>
    <definedName name="Rp_" localSheetId="0">well!$C$11</definedName>
    <definedName name="Rp_" localSheetId="1">'well нп 1296'!$C$11</definedName>
    <definedName name="Rsb_" localSheetId="0">well!$C$10</definedName>
    <definedName name="Rsb_" localSheetId="1">'well нп 1296'!$C$10</definedName>
    <definedName name="Tgrad" localSheetId="0">well!$C$52</definedName>
    <definedName name="Tgrad" localSheetId="1">'well нп 1296'!$C$52</definedName>
    <definedName name="theta_" localSheetId="1">'well нп 1296'!$C$23</definedName>
    <definedName name="theta_">well!$C$23</definedName>
    <definedName name="Tintake_" localSheetId="0">well!$C$28</definedName>
    <definedName name="Tintake_" localSheetId="1">'well нп 1296'!$C$28</definedName>
    <definedName name="TKsep" localSheetId="1">'well нп 1296'!$C$47</definedName>
    <definedName name="TKsep">well!$C$47</definedName>
    <definedName name="Tres_" localSheetId="0">well!$C$13</definedName>
    <definedName name="Tres_" localSheetId="1">'well нп 1296'!$C$13</definedName>
    <definedName name="Udl_" localSheetId="0">well!$C$19</definedName>
    <definedName name="Udl_" localSheetId="1">'well нп 1296'!$C$19</definedName>
    <definedName name="wc_" localSheetId="0">well!$C$14</definedName>
    <definedName name="wc_" localSheetId="1">'well нп 1296'!$C$14</definedName>
  </definedNames>
  <calcPr calcId="191029" iterate="1" iterateCount="50" iterateDelta="0.0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1" i="108" l="1"/>
  <c r="D121" i="108"/>
  <c r="C102" i="108"/>
  <c r="C103" i="108" s="1"/>
  <c r="C104" i="108" s="1"/>
  <c r="C105" i="108" s="1"/>
  <c r="C106" i="108" s="1"/>
  <c r="C107" i="108" s="1"/>
  <c r="C108" i="108" s="1"/>
  <c r="C109" i="108" s="1"/>
  <c r="C110" i="108" s="1"/>
  <c r="C111" i="108" s="1"/>
  <c r="C112" i="108" s="1"/>
  <c r="C113" i="108" s="1"/>
  <c r="C114" i="108" s="1"/>
  <c r="C115" i="108" s="1"/>
  <c r="C116" i="108" s="1"/>
  <c r="C117" i="108" s="1"/>
  <c r="C118" i="108" s="1"/>
  <c r="C119" i="108" s="1"/>
  <c r="C120" i="108" s="1"/>
  <c r="C121" i="108" s="1"/>
  <c r="F86" i="108"/>
  <c r="D86" i="108"/>
  <c r="C67" i="108"/>
  <c r="C68" i="108" s="1"/>
  <c r="C69" i="108" s="1"/>
  <c r="C70" i="108" s="1"/>
  <c r="C71" i="108" s="1"/>
  <c r="C72" i="108" s="1"/>
  <c r="C73" i="108" s="1"/>
  <c r="C74" i="108" s="1"/>
  <c r="C75" i="108" s="1"/>
  <c r="C76" i="108" s="1"/>
  <c r="C77" i="108" s="1"/>
  <c r="C78" i="108" s="1"/>
  <c r="C79" i="108" s="1"/>
  <c r="C80" i="108" s="1"/>
  <c r="C81" i="108" s="1"/>
  <c r="C82" i="108" s="1"/>
  <c r="C83" i="108" s="1"/>
  <c r="C84" i="108" s="1"/>
  <c r="C85" i="108" s="1"/>
  <c r="C86" i="108" s="1"/>
  <c r="D85" i="108" s="1"/>
  <c r="D84" i="108" s="1"/>
  <c r="D83" i="108" s="1"/>
  <c r="D82" i="108" s="1"/>
  <c r="D81" i="108" s="1"/>
  <c r="J66" i="108"/>
  <c r="C35" i="108"/>
  <c r="C34" i="108"/>
  <c r="C32" i="108"/>
  <c r="C24" i="108"/>
  <c r="E13" i="108"/>
  <c r="E12" i="108"/>
  <c r="E11" i="108"/>
  <c r="E10" i="108"/>
  <c r="E9" i="108"/>
  <c r="E8" i="108"/>
  <c r="E7" i="108"/>
  <c r="C24" i="107"/>
  <c r="C34" i="107"/>
  <c r="C32" i="107"/>
  <c r="C35" i="107"/>
  <c r="C51" i="108"/>
  <c r="G48" i="108"/>
  <c r="C41" i="108"/>
  <c r="D96" i="108"/>
  <c r="C43" i="108"/>
  <c r="G1" i="108"/>
  <c r="G48" i="107"/>
  <c r="C44" i="108"/>
  <c r="C42" i="108"/>
  <c r="G45" i="108"/>
  <c r="D120" i="108" l="1"/>
  <c r="D119" i="108" s="1"/>
  <c r="D118" i="108" s="1"/>
  <c r="D117" i="108" s="1"/>
  <c r="D116" i="108" s="1"/>
  <c r="D115" i="108" s="1"/>
  <c r="D114" i="108" s="1"/>
  <c r="D113" i="108" s="1"/>
  <c r="D112" i="108" s="1"/>
  <c r="D111" i="108" s="1"/>
  <c r="D110" i="108" s="1"/>
  <c r="D109" i="108" s="1"/>
  <c r="D108" i="108" s="1"/>
  <c r="D107" i="108" s="1"/>
  <c r="D106" i="108" s="1"/>
  <c r="D105" i="108" s="1"/>
  <c r="D104" i="108" s="1"/>
  <c r="D103" i="108" s="1"/>
  <c r="D102" i="108" s="1"/>
  <c r="D101" i="108" s="1"/>
  <c r="D80" i="108"/>
  <c r="C47" i="108"/>
  <c r="D86" i="107"/>
  <c r="G1" i="107"/>
  <c r="C41" i="107"/>
  <c r="C44" i="107" s="1"/>
  <c r="C51" i="107"/>
  <c r="D96" i="107" s="1"/>
  <c r="C43" i="107"/>
  <c r="G45" i="107"/>
  <c r="C42" i="107"/>
  <c r="C28" i="108" l="1"/>
  <c r="D79" i="108"/>
  <c r="E13" i="107"/>
  <c r="E12" i="107"/>
  <c r="E11" i="107"/>
  <c r="E10" i="107"/>
  <c r="E9" i="107"/>
  <c r="E8" i="107"/>
  <c r="E7" i="107"/>
  <c r="D78" i="108" l="1"/>
  <c r="J66" i="107"/>
  <c r="D77" i="108" l="1"/>
  <c r="F121" i="107"/>
  <c r="D121" i="107"/>
  <c r="C102" i="107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C121" i="107" s="1"/>
  <c r="F86" i="107"/>
  <c r="C67" i="107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C84" i="107" s="1"/>
  <c r="C85" i="107" s="1"/>
  <c r="C86" i="107" s="1"/>
  <c r="D85" i="107" s="1"/>
  <c r="D76" i="108" l="1"/>
  <c r="D84" i="107"/>
  <c r="D120" i="107"/>
  <c r="D75" i="108" l="1"/>
  <c r="D83" i="107"/>
  <c r="D119" i="107"/>
  <c r="D74" i="108" l="1"/>
  <c r="D82" i="107"/>
  <c r="D118" i="107"/>
  <c r="D73" i="108" l="1"/>
  <c r="D81" i="107"/>
  <c r="C47" i="107" s="1"/>
  <c r="C28" i="107" s="1"/>
  <c r="D117" i="107"/>
  <c r="D72" i="108" l="1"/>
  <c r="D80" i="107"/>
  <c r="D116" i="107"/>
  <c r="D71" i="108" l="1"/>
  <c r="D79" i="107"/>
  <c r="D115" i="107"/>
  <c r="D114" i="107" s="1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70" i="108" l="1"/>
  <c r="D78" i="107"/>
  <c r="D77" i="107" s="1"/>
  <c r="D69" i="108" l="1"/>
  <c r="D76" i="107"/>
  <c r="D68" i="108" l="1"/>
  <c r="D75" i="107"/>
  <c r="D67" i="108" l="1"/>
  <c r="D74" i="107"/>
  <c r="D66" i="108" l="1"/>
  <c r="D73" i="107"/>
  <c r="D72" i="107" l="1"/>
  <c r="D71" i="107" l="1"/>
  <c r="D70" i="107" l="1"/>
  <c r="D69" i="107" l="1"/>
  <c r="D68" i="107" l="1"/>
  <c r="D67" i="107" l="1"/>
  <c r="D66" i="107" l="1"/>
  <c r="F84" i="108"/>
  <c r="F83" i="108"/>
  <c r="F82" i="108"/>
  <c r="F81" i="108"/>
  <c r="C46" i="108"/>
  <c r="C27" i="108"/>
  <c r="G42" i="108"/>
  <c r="F80" i="108"/>
  <c r="F79" i="108"/>
  <c r="F78" i="108"/>
  <c r="F77" i="108"/>
  <c r="F76" i="108"/>
  <c r="F75" i="108"/>
  <c r="F74" i="108"/>
  <c r="F73" i="108"/>
  <c r="F72" i="108"/>
  <c r="F71" i="108"/>
  <c r="F70" i="108"/>
  <c r="F69" i="108"/>
  <c r="F68" i="108"/>
  <c r="F67" i="108"/>
  <c r="F66" i="108"/>
  <c r="M81" i="108"/>
  <c r="K81" i="108"/>
  <c r="K80" i="108"/>
  <c r="K79" i="108"/>
  <c r="K78" i="108"/>
  <c r="K77" i="108"/>
  <c r="K76" i="108"/>
  <c r="K75" i="108"/>
  <c r="K74" i="108"/>
  <c r="K73" i="108"/>
  <c r="K72" i="108"/>
  <c r="K71" i="108"/>
  <c r="K70" i="108"/>
  <c r="K69" i="108"/>
  <c r="K68" i="108"/>
  <c r="K67" i="108"/>
  <c r="K66" i="108"/>
  <c r="J67" i="108"/>
  <c r="P67" i="108"/>
  <c r="J68" i="108"/>
  <c r="P68" i="108"/>
  <c r="J69" i="108"/>
  <c r="P69" i="108"/>
  <c r="J70" i="108"/>
  <c r="P70" i="108"/>
  <c r="J71" i="108"/>
  <c r="P71" i="108"/>
  <c r="J72" i="108"/>
  <c r="P72" i="108"/>
  <c r="J73" i="108"/>
  <c r="P73" i="108"/>
  <c r="J74" i="108"/>
  <c r="P74" i="108"/>
  <c r="J75" i="108"/>
  <c r="P75" i="108"/>
  <c r="J76" i="108"/>
  <c r="P76" i="108"/>
  <c r="J77" i="108"/>
  <c r="P77" i="108"/>
  <c r="J78" i="108"/>
  <c r="P78" i="108"/>
  <c r="J79" i="108"/>
  <c r="P79" i="108"/>
  <c r="J80" i="108"/>
  <c r="P80" i="108"/>
  <c r="I81" i="108"/>
  <c r="O81" i="108"/>
  <c r="O80" i="108"/>
  <c r="O79" i="108"/>
  <c r="O78" i="108"/>
  <c r="O77" i="108"/>
  <c r="O76" i="108"/>
  <c r="O75" i="108"/>
  <c r="O74" i="108"/>
  <c r="O73" i="108"/>
  <c r="O72" i="108"/>
  <c r="O71" i="108"/>
  <c r="O70" i="108"/>
  <c r="O69" i="108"/>
  <c r="O68" i="108"/>
  <c r="O67" i="108"/>
  <c r="O66" i="108"/>
  <c r="G81" i="108"/>
  <c r="H81" i="108"/>
  <c r="J81" i="108"/>
  <c r="N81" i="108"/>
  <c r="C27" i="107"/>
  <c r="G42" i="107"/>
  <c r="C46" i="107"/>
  <c r="F66" i="107"/>
  <c r="K66" i="107"/>
  <c r="O66" i="107"/>
  <c r="F67" i="107"/>
  <c r="J67" i="107"/>
  <c r="K67" i="107"/>
  <c r="O67" i="107"/>
  <c r="P67" i="107"/>
  <c r="F68" i="107"/>
  <c r="J68" i="107"/>
  <c r="K68" i="107"/>
  <c r="O68" i="107"/>
  <c r="P68" i="107"/>
  <c r="F69" i="107"/>
  <c r="J69" i="107"/>
  <c r="K69" i="107"/>
  <c r="O69" i="107"/>
  <c r="P69" i="107"/>
  <c r="F70" i="107"/>
  <c r="J70" i="107"/>
  <c r="K70" i="107"/>
  <c r="O70" i="107"/>
  <c r="P70" i="107"/>
  <c r="F71" i="107"/>
  <c r="J71" i="107"/>
  <c r="K71" i="107"/>
  <c r="O71" i="107"/>
  <c r="P71" i="107"/>
  <c r="F72" i="107"/>
  <c r="J72" i="107"/>
  <c r="K72" i="107"/>
  <c r="O72" i="107"/>
  <c r="P72" i="107"/>
  <c r="F73" i="107"/>
  <c r="J73" i="107"/>
  <c r="K73" i="107"/>
  <c r="O73" i="107"/>
  <c r="P73" i="107"/>
  <c r="F74" i="107"/>
  <c r="J74" i="107"/>
  <c r="K74" i="107"/>
  <c r="O74" i="107"/>
  <c r="P74" i="107"/>
  <c r="F75" i="107"/>
  <c r="J75" i="107"/>
  <c r="K75" i="107"/>
  <c r="O75" i="107"/>
  <c r="P75" i="107"/>
  <c r="F76" i="107"/>
  <c r="J76" i="107"/>
  <c r="K76" i="107"/>
  <c r="O76" i="107"/>
  <c r="P76" i="107"/>
  <c r="F77" i="107"/>
  <c r="J77" i="107"/>
  <c r="K77" i="107"/>
  <c r="O77" i="107"/>
  <c r="P77" i="107"/>
  <c r="F78" i="107"/>
  <c r="J78" i="107"/>
  <c r="K78" i="107"/>
  <c r="O78" i="107"/>
  <c r="P78" i="107"/>
  <c r="F79" i="107"/>
  <c r="J79" i="107"/>
  <c r="K79" i="107"/>
  <c r="O79" i="107"/>
  <c r="P79" i="107"/>
  <c r="F80" i="107"/>
  <c r="J80" i="107"/>
  <c r="K80" i="107"/>
  <c r="O80" i="107"/>
  <c r="P80" i="107"/>
  <c r="F81" i="107"/>
  <c r="G81" i="107"/>
  <c r="H81" i="107"/>
  <c r="I81" i="107"/>
  <c r="J81" i="107"/>
  <c r="K81" i="107"/>
  <c r="M81" i="107"/>
  <c r="N81" i="107"/>
  <c r="O81" i="107"/>
  <c r="F82" i="107"/>
  <c r="F83" i="107"/>
  <c r="F84" i="107"/>
  <c r="F85" i="107"/>
</calcChain>
</file>

<file path=xl/sharedStrings.xml><?xml version="1.0" encoding="utf-8"?>
<sst xmlns="http://schemas.openxmlformats.org/spreadsheetml/2006/main" count="251" uniqueCount="97">
  <si>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</si>
  <si>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</si>
  <si>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</si>
  <si>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</si>
  <si>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</si>
  <si>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</si>
  <si>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</si>
  <si>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</si>
  <si>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</si>
  <si>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</si>
  <si>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</si>
  <si>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</si>
  <si>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</si>
  <si>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</si>
  <si>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</si>
  <si>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</si>
  <si>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</si>
  <si>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</si>
  <si>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</si>
  <si>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</si>
  <si>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</si>
  <si>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</si>
  <si>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</si>
  <si>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</si>
  <si>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</si>
  <si>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</si>
  <si>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</si>
  <si>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</si>
  <si>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</si>
  <si>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</si>
  <si>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</si>
  <si>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</si>
  <si>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</si>
  <si>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</si>
  <si>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</si>
  <si>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</si>
  <si>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</si>
  <si>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</si>
  <si>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</si>
  <si>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t>Расчет распределения давления в скважине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</si>
  <si>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</si>
  <si>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</si>
  <si>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</si>
  <si>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</si>
  <si>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</si>
  <si>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</si>
  <si>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</si>
  <si>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</si>
  <si>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</si>
  <si>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</si>
  <si>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</si>
  <si>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</si>
  <si>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</si>
  <si>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</si>
  <si>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</si>
  <si>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</si>
  <si>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</si>
  <si>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</si>
  <si>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</si>
  <si>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</si>
  <si>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</si>
  <si>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</si>
  <si>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</si>
  <si>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</si>
  <si>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</si>
  <si>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</si>
  <si>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</si>
  <si>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</si>
  <si>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</si>
  <si>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</si>
  <si>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</si>
  <si>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</si>
  <si>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PVT строка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</si>
  <si>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</si>
  <si>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</si>
  <si>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</si>
  <si>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</si>
  <si>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</si>
  <si>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</si>
  <si>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</si>
  <si>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</si>
  <si>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</si>
  <si>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</si>
  <si>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</si>
  <si>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</si>
  <si>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</si>
  <si>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r>
      <t>Q</t>
    </r>
    <r>
      <rPr>
        <vertAlign val="subscript"/>
        <sz val="10"/>
        <rFont val="Arial Cyr"/>
        <charset val="204"/>
      </rPr>
      <t>liq annular</t>
    </r>
  </si>
  <si>
    <t>d_annular</t>
  </si>
  <si>
    <t>Давление в затрубе сверху вниз</t>
  </si>
  <si>
    <t>(Dcas_^2 - Dtub_out_^2)^(1/2)</t>
  </si>
  <si>
    <t>Давление в затрубе снизу вверх</t>
  </si>
  <si>
    <t>Давление в НКТ снизу вверх</t>
  </si>
  <si>
    <t>dP ESP по потоку</t>
  </si>
  <si>
    <t>dP ESP по напорной характеристике</t>
  </si>
  <si>
    <t>Qtotal</t>
  </si>
  <si>
    <t>Коэффициент деления жидкости - доля в НКТ</t>
  </si>
  <si>
    <t>вмы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</si>
</sst>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0" fillId="4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4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6" borderId="2" xfId="0" applyFill="1" applyBorder="1"/>
    <xf numFmtId="2" fontId="0" fillId="6" borderId="2" xfId="0" applyNumberForma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 wrapText="1"/>
    </xf>
    <xf numFmtId="9" fontId="0" fillId="6" borderId="4" xfId="5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 wrapText="1"/>
    </xf>
    <xf numFmtId="2" fontId="0" fillId="10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0" borderId="2" xfId="0" applyNumberFormat="1" applyBorder="1"/>
    <xf numFmtId="0" fontId="0" fillId="2" borderId="2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168" fontId="0" fillId="4" borderId="2" xfId="0" applyNumberFormat="1" applyFill="1" applyBorder="1" applyAlignment="1">
      <alignment horizontal="center"/>
    </xf>
    <xf numFmtId="0" fontId="0" fillId="10" borderId="0" xfId="0" applyFill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well!$F$65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well!$F$66:$F$86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1.3713408133929201</c:v>
                </c:pt>
                <c:pt idx="8">
                  <c:v>3.2604520327804463</c:v>
                </c:pt>
                <c:pt idx="9">
                  <c:v>5.7354248501491716</c:v>
                </c:pt>
                <c:pt idx="10">
                  <c:v>8.8703173677054465</c:v>
                </c:pt>
                <c:pt idx="11">
                  <c:v>12.688093183755779</c:v>
                </c:pt>
                <c:pt idx="12">
                  <c:v>17.188974378880218</c:v>
                </c:pt>
                <c:pt idx="13">
                  <c:v>22.356512170070193</c:v>
                </c:pt>
                <c:pt idx="14">
                  <c:v>28.159818085152377</c:v>
                </c:pt>
                <c:pt idx="15">
                  <c:v>34.554894412163733</c:v>
                </c:pt>
                <c:pt idx="16">
                  <c:v>41.763678230708649</c:v>
                </c:pt>
                <c:pt idx="17">
                  <c:v>50.004177954891489</c:v>
                </c:pt>
                <c:pt idx="18">
                  <c:v>58.324893196184554</c:v>
                </c:pt>
                <c:pt idx="19">
                  <c:v>66.658020591322312</c:v>
                </c:pt>
                <c:pt idx="20" formatCode="General">
                  <c:v>75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strRef>
              <c:f>well!$O$65</c:f>
              <c:strCache>
                <c:ptCount val="1"/>
                <c:pt idx="0">
                  <c:v>Давление в затрубе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well!$O$66:$O$86</c:f>
              <c:numCache>
                <c:formatCode>0.00</c:formatCode>
                <c:ptCount val="21"/>
                <c:pt idx="0">
                  <c:v>9.3686806123681361</c:v>
                </c:pt>
                <c:pt idx="1">
                  <c:v>10.602826158750903</c:v>
                </c:pt>
                <c:pt idx="2">
                  <c:v>11.872763849924773</c:v>
                </c:pt>
                <c:pt idx="3">
                  <c:v>13.187762769996576</c:v>
                </c:pt>
                <c:pt idx="4">
                  <c:v>14.555385002166513</c:v>
                </c:pt>
                <c:pt idx="5">
                  <c:v>15.982080259094703</c:v>
                </c:pt>
                <c:pt idx="6">
                  <c:v>17.473537470920093</c:v>
                </c:pt>
                <c:pt idx="7">
                  <c:v>19.034901600176479</c:v>
                </c:pt>
                <c:pt idx="8">
                  <c:v>20.67091111176131</c:v>
                </c:pt>
                <c:pt idx="9">
                  <c:v>22.385986390297617</c:v>
                </c:pt>
                <c:pt idx="10">
                  <c:v>24.184286578605786</c:v>
                </c:pt>
                <c:pt idx="11">
                  <c:v>26.069745394540135</c:v>
                </c:pt>
                <c:pt idx="12">
                  <c:v>28.046092574268172</c:v>
                </c:pt>
                <c:pt idx="13">
                  <c:v>30.116865293481492</c:v>
                </c:pt>
                <c:pt idx="14">
                  <c:v>32.285412523949375</c:v>
                </c:pt>
                <c:pt idx="15">
                  <c:v>34.554894412163733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4"/>
          <c:order val="2"/>
          <c:tx>
            <c:strRef>
              <c:f>well!$K$65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well!$K$66:$K$86</c:f>
              <c:numCache>
                <c:formatCode>0.00</c:formatCode>
                <c:ptCount val="21"/>
                <c:pt idx="0">
                  <c:v>8.0706500582890293</c:v>
                </c:pt>
                <c:pt idx="1">
                  <c:v>11.548716546266832</c:v>
                </c:pt>
                <c:pt idx="2">
                  <c:v>16.128864033147334</c:v>
                </c:pt>
                <c:pt idx="3">
                  <c:v>21.706230697856363</c:v>
                </c:pt>
                <c:pt idx="4">
                  <c:v>28.310335110699633</c:v>
                </c:pt>
                <c:pt idx="5">
                  <c:v>35.911877181253672</c:v>
                </c:pt>
                <c:pt idx="6">
                  <c:v>44.257991379720053</c:v>
                </c:pt>
                <c:pt idx="7">
                  <c:v>52.671771886321451</c:v>
                </c:pt>
                <c:pt idx="8">
                  <c:v>61.091096436176599</c:v>
                </c:pt>
                <c:pt idx="9">
                  <c:v>69.513872390993299</c:v>
                </c:pt>
                <c:pt idx="10">
                  <c:v>77.938719020870963</c:v>
                </c:pt>
                <c:pt idx="11">
                  <c:v>86.364675296881998</c:v>
                </c:pt>
                <c:pt idx="12">
                  <c:v>94.7910436156603</c:v>
                </c:pt>
                <c:pt idx="13">
                  <c:v>103.2173000313322</c:v>
                </c:pt>
                <c:pt idx="14">
                  <c:v>111.64303969694829</c:v>
                </c:pt>
                <c:pt idx="15">
                  <c:v>120.06794215187824</c:v>
                </c:pt>
              </c:numCache>
            </c:numRef>
          </c:xVal>
          <c:yVal>
            <c:numRef>
              <c:f>well!$C$66:$C$86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42C9-8C6E-9835A19A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well!$F$101:$F$121</c:f>
              <c:numCache>
                <c:formatCode>0.00</c:formatCode>
                <c:ptCount val="21"/>
                <c:pt idx="20" formatCode="General">
                  <c:v>30</c:v>
                </c:pt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well!$L$101:$L$121</c:f>
              <c:numCache>
                <c:formatCode>0.00</c:formatCode>
                <c:ptCount val="21"/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well!$N$101:$N$121</c:f>
              <c:numCache>
                <c:formatCode>0.00</c:formatCode>
                <c:ptCount val="21"/>
              </c:numCache>
            </c:numRef>
          </c:xVal>
          <c:yVal>
            <c:numRef>
              <c:f>well!$C$101:$C$121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'well нп 1296'!$F$65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'well нп 1296'!$F$66:$F$86</c:f>
              <c:strCache>
                <c:ptCount val="21"/>
                <c:pt idx="0">
                  <c:v>#ЗНАЧ!</c:v>
                </c:pt>
                <c:pt idx="1">
                  <c:v>#ЗНАЧ!</c:v>
                </c:pt>
                <c:pt idx="2">
                  <c:v>#ЗНАЧ!</c:v>
                </c:pt>
                <c:pt idx="3">
                  <c:v>#ЗНАЧ!</c:v>
                </c:pt>
                <c:pt idx="4">
                  <c:v>#ЗНАЧ!</c:v>
                </c:pt>
                <c:pt idx="5">
                  <c:v>#ЗНАЧ!</c:v>
                </c:pt>
                <c:pt idx="6">
                  <c:v>#ЗНАЧ!</c:v>
                </c:pt>
                <c:pt idx="7">
                  <c:v>#ЗНАЧ!</c:v>
                </c:pt>
                <c:pt idx="8">
                  <c:v>#ЗНАЧ!</c:v>
                </c:pt>
                <c:pt idx="9">
                  <c:v>#ЗНАЧ!</c:v>
                </c:pt>
                <c:pt idx="10">
                  <c:v>#ЗНАЧ!</c:v>
                </c:pt>
                <c:pt idx="11">
                  <c:v>#ЗНАЧ!</c:v>
                </c:pt>
                <c:pt idx="12">
                  <c:v>#ЗНАЧ!</c:v>
                </c:pt>
                <c:pt idx="13">
                  <c:v>#ЗНАЧ!</c:v>
                </c:pt>
                <c:pt idx="14">
                  <c:v>#ЗНАЧ!</c:v>
                </c:pt>
                <c:pt idx="15">
                  <c:v>#ЗНАЧ!</c:v>
                </c:pt>
                <c:pt idx="16">
                  <c:v>#ЗНАЧ!</c:v>
                </c:pt>
                <c:pt idx="17">
                  <c:v>#ЗНАЧ!</c:v>
                </c:pt>
                <c:pt idx="18">
                  <c:v>#ЗНАЧ!</c:v>
                </c:pt>
                <c:pt idx="19">
                  <c:v>вмы</c:v>
                </c:pt>
                <c:pt idx="20">
                  <c:v>75</c:v>
                </c:pt>
              </c:strCache>
            </c:strRef>
          </c:xVal>
          <c:yVal>
            <c:numRef>
              <c:f>'well нп 1296'!$C$66:$C$86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9-469D-B244-66218EEC78B4}"/>
            </c:ext>
          </c:extLst>
        </c:ser>
        <c:ser>
          <c:idx val="0"/>
          <c:order val="1"/>
          <c:tx>
            <c:strRef>
              <c:f>'well нп 1296'!$O$65</c:f>
              <c:strCache>
                <c:ptCount val="1"/>
                <c:pt idx="0">
                  <c:v>Давление в затрубе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'well нп 1296'!$O$66:$O$86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'well нп 1296'!$C$66:$C$86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9-469D-B244-66218EEC78B4}"/>
            </c:ext>
          </c:extLst>
        </c:ser>
        <c:ser>
          <c:idx val="4"/>
          <c:order val="2"/>
          <c:tx>
            <c:strRef>
              <c:f>'well нп 1296'!$K$65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'well нп 1296'!$K$66:$K$86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'well нп 1296'!$C$66:$C$86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9-469D-B244-66218EEC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'well нп 1296'!$F$101:$F$121</c:f>
              <c:numCache>
                <c:formatCode>0.00</c:formatCode>
                <c:ptCount val="21"/>
                <c:pt idx="20" formatCode="General">
                  <c:v>30</c:v>
                </c:pt>
              </c:numCache>
            </c:numRef>
          </c:xVal>
          <c:yVal>
            <c:numRef>
              <c:f>'well нп 1296'!$C$101:$C$121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9-4EF5-95B4-984C18782BB5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'well нп 1296'!$L$101:$L$121</c:f>
              <c:numCache>
                <c:formatCode>0.00</c:formatCode>
                <c:ptCount val="21"/>
              </c:numCache>
            </c:numRef>
          </c:xVal>
          <c:yVal>
            <c:numRef>
              <c:f>'well нп 1296'!$C$101:$C$121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9-4EF5-95B4-984C18782BB5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'well нп 1296'!$N$101:$N$121</c:f>
              <c:numCache>
                <c:formatCode>0.00</c:formatCode>
                <c:ptCount val="21"/>
              </c:numCache>
            </c:numRef>
          </c:xVal>
          <c:yVal>
            <c:numRef>
              <c:f>'well нп 1296'!$C$101:$C$121</c:f>
              <c:numCache>
                <c:formatCode>General</c:formatCode>
                <c:ptCount val="21"/>
                <c:pt idx="0">
                  <c:v>0</c:v>
                </c:pt>
                <c:pt idx="1">
                  <c:v>167.85</c:v>
                </c:pt>
                <c:pt idx="2">
                  <c:v>335.7</c:v>
                </c:pt>
                <c:pt idx="3">
                  <c:v>503.54999999999995</c:v>
                </c:pt>
                <c:pt idx="4">
                  <c:v>671.4</c:v>
                </c:pt>
                <c:pt idx="5">
                  <c:v>839.25</c:v>
                </c:pt>
                <c:pt idx="6">
                  <c:v>1007.1</c:v>
                </c:pt>
                <c:pt idx="7">
                  <c:v>1174.95</c:v>
                </c:pt>
                <c:pt idx="8">
                  <c:v>1342.8</c:v>
                </c:pt>
                <c:pt idx="9">
                  <c:v>1510.6499999999999</c:v>
                </c:pt>
                <c:pt idx="10">
                  <c:v>1678.4999999999998</c:v>
                </c:pt>
                <c:pt idx="11">
                  <c:v>1846.3499999999997</c:v>
                </c:pt>
                <c:pt idx="12">
                  <c:v>2014.1999999999996</c:v>
                </c:pt>
                <c:pt idx="13">
                  <c:v>2182.0499999999997</c:v>
                </c:pt>
                <c:pt idx="14">
                  <c:v>2349.8999999999996</c:v>
                </c:pt>
                <c:pt idx="15">
                  <c:v>2517.7499999999995</c:v>
                </c:pt>
                <c:pt idx="16">
                  <c:v>2685.5999999999995</c:v>
                </c:pt>
                <c:pt idx="17">
                  <c:v>2853.4499999999994</c:v>
                </c:pt>
                <c:pt idx="18">
                  <c:v>3021.2999999999993</c:v>
                </c:pt>
                <c:pt idx="19">
                  <c:v>3189.1499999999992</c:v>
                </c:pt>
                <c:pt idx="20">
                  <c:v>3356.9999999999991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9-4EF5-95B4-984C1878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34018</xdr:colOff>
      <xdr:row>58</xdr:row>
      <xdr:rowOff>122462</xdr:rowOff>
    </xdr:from>
    <xdr:to>
      <xdr:col>30</xdr:col>
      <xdr:colOff>544286</xdr:colOff>
      <xdr:row>96</xdr:row>
      <xdr:rowOff>54427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176893</xdr:colOff>
      <xdr:row>98</xdr:row>
      <xdr:rowOff>136071</xdr:rowOff>
    </xdr:from>
    <xdr:to>
      <xdr:col>21</xdr:col>
      <xdr:colOff>639535</xdr:colOff>
      <xdr:row>122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34018</xdr:colOff>
      <xdr:row>58</xdr:row>
      <xdr:rowOff>122462</xdr:rowOff>
    </xdr:from>
    <xdr:to>
      <xdr:col>30</xdr:col>
      <xdr:colOff>544286</xdr:colOff>
      <xdr:row>96</xdr:row>
      <xdr:rowOff>54427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F94C12-1102-4B5B-9B5C-E3917A77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176893</xdr:colOff>
      <xdr:row>98</xdr:row>
      <xdr:rowOff>136071</xdr:rowOff>
    </xdr:from>
    <xdr:to>
      <xdr:col>21</xdr:col>
      <xdr:colOff>639535</xdr:colOff>
      <xdr:row>122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07BD3E-87CA-45E5-AD07-F962F465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P194"/>
  <sheetViews>
    <sheetView topLeftCell="A61" zoomScale="70" zoomScaleNormal="70" workbookViewId="0">
      <selection activeCell="Q77" sqref="Q77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1" width="11.28515625" customWidth="1"/>
    <col min="12" max="12" width="10.140625" customWidth="1"/>
    <col min="13" max="13" width="11.5703125" bestFit="1" customWidth="1"/>
  </cols>
  <sheetData>
    <row r="1" spans="1:7" x14ac:dyDescent="0.2">
      <c r="A1" s="1" t="s">
        <v>37</v>
      </c>
      <c r="F1" t="s">
        <v>38</v>
      </c>
      <c r="G1" t="str">
        <f>[1]!getUFVersion()</f>
        <v>7.7</v>
      </c>
    </row>
    <row r="2" spans="1:7" x14ac:dyDescent="0.2">
      <c r="A2" t="s">
        <v>39</v>
      </c>
    </row>
    <row r="6" spans="1:7" x14ac:dyDescent="0.2">
      <c r="A6" s="1" t="s">
        <v>17</v>
      </c>
    </row>
    <row r="7" spans="1:7" ht="18.75" outlineLevel="1" x14ac:dyDescent="0.35">
      <c r="B7" s="17" t="s">
        <v>40</v>
      </c>
      <c r="C7" s="2">
        <v>0.87</v>
      </c>
      <c r="D7" s="18"/>
      <c r="E7" s="19">
        <f>gamma_oil_*1000</f>
        <v>870</v>
      </c>
      <c r="F7" s="20" t="s">
        <v>41</v>
      </c>
    </row>
    <row r="8" spans="1:7" ht="18.75" outlineLevel="1" x14ac:dyDescent="0.35">
      <c r="B8" s="20" t="s">
        <v>42</v>
      </c>
      <c r="C8" s="2">
        <v>1</v>
      </c>
      <c r="D8" s="18"/>
      <c r="E8" s="19">
        <f>gamma_wat_*1000</f>
        <v>1000</v>
      </c>
      <c r="F8" s="20" t="s">
        <v>41</v>
      </c>
    </row>
    <row r="9" spans="1:7" ht="18.75" outlineLevel="1" x14ac:dyDescent="0.35">
      <c r="B9" s="20" t="s">
        <v>43</v>
      </c>
      <c r="C9" s="2">
        <v>0.8</v>
      </c>
      <c r="D9" s="18"/>
      <c r="E9" s="19">
        <f>gamma_gas_*1.22</f>
        <v>0.97599999999999998</v>
      </c>
      <c r="F9" s="20" t="s">
        <v>41</v>
      </c>
    </row>
    <row r="10" spans="1:7" ht="18.75" outlineLevel="1" x14ac:dyDescent="0.35">
      <c r="B10" s="21" t="s">
        <v>44</v>
      </c>
      <c r="C10" s="2">
        <v>200</v>
      </c>
      <c r="D10" s="20" t="s">
        <v>45</v>
      </c>
      <c r="E10" s="22">
        <f>Rsb_/gamma_oil_</f>
        <v>229.88505747126436</v>
      </c>
      <c r="F10" s="20" t="s">
        <v>46</v>
      </c>
    </row>
    <row r="11" spans="1:7" ht="18.75" outlineLevel="1" x14ac:dyDescent="0.35">
      <c r="B11" s="21" t="s">
        <v>47</v>
      </c>
      <c r="C11" s="2">
        <v>200</v>
      </c>
      <c r="D11" s="20" t="s">
        <v>45</v>
      </c>
      <c r="E11" s="22">
        <f>Rsb_/gamma_oil_</f>
        <v>229.88505747126436</v>
      </c>
      <c r="F11" s="20" t="s">
        <v>46</v>
      </c>
    </row>
    <row r="12" spans="1:7" ht="18" outlineLevel="1" x14ac:dyDescent="0.35">
      <c r="B12" s="20" t="s">
        <v>48</v>
      </c>
      <c r="C12" s="2">
        <v>130</v>
      </c>
      <c r="D12" s="18" t="s">
        <v>49</v>
      </c>
      <c r="E12" s="22">
        <f>Pb_*1.01325</f>
        <v>131.7225</v>
      </c>
      <c r="F12" s="18" t="s">
        <v>50</v>
      </c>
    </row>
    <row r="13" spans="1:7" ht="18" outlineLevel="1" x14ac:dyDescent="0.35">
      <c r="B13" s="20" t="s">
        <v>51</v>
      </c>
      <c r="C13" s="2">
        <v>100</v>
      </c>
      <c r="D13" s="18" t="s">
        <v>3</v>
      </c>
      <c r="E13" s="22">
        <f>Tres_*9/5+32</f>
        <v>212</v>
      </c>
      <c r="F13" s="18" t="s">
        <v>52</v>
      </c>
    </row>
    <row r="14" spans="1:7" ht="18.75" outlineLevel="1" x14ac:dyDescent="0.35">
      <c r="B14" s="21" t="s">
        <v>53</v>
      </c>
      <c r="C14" s="2">
        <v>1.2</v>
      </c>
      <c r="D14" s="20" t="s">
        <v>45</v>
      </c>
    </row>
    <row r="15" spans="1:7" ht="18" x14ac:dyDescent="0.35">
      <c r="B15" s="28" t="s">
        <v>82</v>
      </c>
      <c r="C15" s="2">
        <v>5</v>
      </c>
      <c r="D15" s="20" t="s">
        <v>83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23" t="s">
        <v>54</v>
      </c>
      <c r="C18" s="2">
        <v>2000</v>
      </c>
      <c r="D18" s="24" t="s">
        <v>5</v>
      </c>
    </row>
    <row r="19" spans="1:4" ht="15.75" outlineLevel="1" x14ac:dyDescent="0.3">
      <c r="B19" s="23" t="s">
        <v>55</v>
      </c>
      <c r="C19" s="2">
        <v>0</v>
      </c>
      <c r="D19" s="24" t="s">
        <v>5</v>
      </c>
    </row>
    <row r="20" spans="1:4" ht="15.75" outlineLevel="1" x14ac:dyDescent="0.3">
      <c r="B20" s="23" t="s">
        <v>56</v>
      </c>
      <c r="C20" s="2">
        <v>1500</v>
      </c>
      <c r="D20" s="24" t="s">
        <v>5</v>
      </c>
    </row>
    <row r="21" spans="1:4" ht="15.75" outlineLevel="1" x14ac:dyDescent="0.3">
      <c r="B21" s="23" t="s">
        <v>57</v>
      </c>
      <c r="C21" s="2">
        <v>125</v>
      </c>
      <c r="D21" s="24" t="s">
        <v>6</v>
      </c>
    </row>
    <row r="22" spans="1:4" ht="15.75" outlineLevel="1" x14ac:dyDescent="0.3">
      <c r="B22" s="23" t="s">
        <v>58</v>
      </c>
      <c r="C22" s="2">
        <v>73</v>
      </c>
      <c r="D22" s="24" t="s">
        <v>6</v>
      </c>
    </row>
    <row r="23" spans="1:4" ht="15" outlineLevel="1" x14ac:dyDescent="0.25">
      <c r="B23" s="30" t="s">
        <v>84</v>
      </c>
      <c r="C23" s="2">
        <v>90</v>
      </c>
      <c r="D23" s="20" t="s">
        <v>85</v>
      </c>
    </row>
    <row r="24" spans="1:4" ht="15.75" outlineLevel="1" x14ac:dyDescent="0.3">
      <c r="B24" s="23" t="s">
        <v>59</v>
      </c>
      <c r="C24" s="2">
        <f>Dtub_out_-10</f>
        <v>63</v>
      </c>
      <c r="D24" s="24" t="s">
        <v>6</v>
      </c>
    </row>
    <row r="25" spans="1:4" ht="15.75" outlineLevel="1" x14ac:dyDescent="0.3">
      <c r="B25" s="23" t="s">
        <v>60</v>
      </c>
      <c r="C25" s="2">
        <v>100</v>
      </c>
      <c r="D25" s="24" t="s">
        <v>6</v>
      </c>
    </row>
    <row r="26" spans="1:4" ht="15.75" outlineLevel="1" x14ac:dyDescent="0.3">
      <c r="B26" s="23" t="s">
        <v>61</v>
      </c>
      <c r="C26" s="2">
        <v>20</v>
      </c>
      <c r="D26" s="24" t="s">
        <v>2</v>
      </c>
    </row>
    <row r="27" spans="1:4" ht="15.75" outlineLevel="1" x14ac:dyDescent="0.3">
      <c r="B27" s="23" t="s">
        <v>62</v>
      </c>
      <c r="C27" s="2">
        <f ca="1">PKsep</f>
        <v>34.554894412163733</v>
      </c>
      <c r="D27" s="24" t="s">
        <v>2</v>
      </c>
    </row>
    <row r="28" spans="1:4" ht="15.75" outlineLevel="1" x14ac:dyDescent="0.3">
      <c r="B28" s="23" t="s">
        <v>63</v>
      </c>
      <c r="C28" s="2">
        <f>TKsep</f>
        <v>85</v>
      </c>
      <c r="D28" s="24" t="s">
        <v>3</v>
      </c>
    </row>
    <row r="29" spans="1:4" ht="15.75" outlineLevel="1" x14ac:dyDescent="0.3">
      <c r="B29" s="23" t="s">
        <v>64</v>
      </c>
      <c r="C29" s="2">
        <v>150</v>
      </c>
      <c r="D29" s="24" t="s">
        <v>2</v>
      </c>
    </row>
    <row r="30" spans="1:4" outlineLevel="1" x14ac:dyDescent="0.2">
      <c r="B30" s="23" t="s">
        <v>94</v>
      </c>
      <c r="C30" s="2">
        <v>100</v>
      </c>
      <c r="D30" s="24" t="s">
        <v>7</v>
      </c>
    </row>
    <row r="31" spans="1:4" ht="15.75" outlineLevel="1" x14ac:dyDescent="0.3">
      <c r="B31" s="23" t="s">
        <v>65</v>
      </c>
      <c r="C31" s="2">
        <v>75</v>
      </c>
      <c r="D31" s="24" t="s">
        <v>2</v>
      </c>
    </row>
    <row r="32" spans="1:4" ht="15.75" x14ac:dyDescent="0.3">
      <c r="B32" s="23" t="s">
        <v>66</v>
      </c>
      <c r="C32" s="2">
        <f>Q_total_*k_split_liquid</f>
        <v>65</v>
      </c>
      <c r="D32" s="24" t="s">
        <v>7</v>
      </c>
    </row>
    <row r="33" spans="1:7" ht="15.75" x14ac:dyDescent="0.3">
      <c r="B33" s="23" t="s">
        <v>67</v>
      </c>
      <c r="C33" s="2">
        <v>0</v>
      </c>
      <c r="D33" s="24" t="s">
        <v>4</v>
      </c>
    </row>
    <row r="34" spans="1:7" ht="15.75" x14ac:dyDescent="0.3">
      <c r="B34" s="23" t="s">
        <v>86</v>
      </c>
      <c r="C34" s="2">
        <f>Q_total_*(1-k_split_liquid)</f>
        <v>35</v>
      </c>
      <c r="D34" s="24" t="s">
        <v>7</v>
      </c>
    </row>
    <row r="35" spans="1:7" x14ac:dyDescent="0.2">
      <c r="B35" s="23" t="s">
        <v>87</v>
      </c>
      <c r="C35" s="45">
        <f>Dcas_-Dtub_out_</f>
        <v>52</v>
      </c>
      <c r="D35" s="24"/>
      <c r="E35" t="s">
        <v>89</v>
      </c>
    </row>
    <row r="36" spans="1:7" outlineLevel="1" x14ac:dyDescent="0.2"/>
    <row r="37" spans="1:7" outlineLevel="1" x14ac:dyDescent="0.2">
      <c r="A37" s="1" t="s">
        <v>19</v>
      </c>
    </row>
    <row r="38" spans="1:7" ht="15.75" outlineLevel="1" x14ac:dyDescent="0.3">
      <c r="B38" s="24" t="s">
        <v>68</v>
      </c>
      <c r="C38" s="2">
        <v>100</v>
      </c>
      <c r="D38" s="24" t="s">
        <v>7</v>
      </c>
    </row>
    <row r="39" spans="1:7" ht="15.75" outlineLevel="1" x14ac:dyDescent="0.3">
      <c r="B39" s="24" t="s">
        <v>69</v>
      </c>
      <c r="C39" s="2">
        <v>2000</v>
      </c>
      <c r="D39" s="24" t="s">
        <v>8</v>
      </c>
    </row>
    <row r="40" spans="1:7" outlineLevel="1" x14ac:dyDescent="0.2">
      <c r="B40" s="24" t="s">
        <v>70</v>
      </c>
      <c r="C40" s="2">
        <v>50</v>
      </c>
      <c r="D40" s="24" t="s">
        <v>9</v>
      </c>
    </row>
    <row r="41" spans="1:7" outlineLevel="1" x14ac:dyDescent="0.2">
      <c r="B41" s="24" t="s">
        <v>71</v>
      </c>
      <c r="C41" s="19">
        <f>[1]!ESP_id_by_rate(Q_ESP_)</f>
        <v>737</v>
      </c>
      <c r="D41" s="24"/>
      <c r="G41" s="25" t="s">
        <v>72</v>
      </c>
    </row>
    <row r="42" spans="1:7" outlineLevel="1" x14ac:dyDescent="0.2">
      <c r="B42" s="24" t="s">
        <v>73</v>
      </c>
      <c r="C42" s="19" t="str">
        <f>[1]!ESP_name(C41)</f>
        <v>ВНН5-125</v>
      </c>
      <c r="D42" s="24"/>
      <c r="G42" s="26" t="str">
        <f ca="1">[1]!PVT_encode_string(gamma_gas_,gamma_oil_,gamma_wat_,Rsb_,Rp_,Pb_,Tres_,Bob_,mu_,,KsepGasSep_,PKsep,TKsep)</f>
        <v>gamma_gas:0,800;gamma_oil:0,870;gamma_wat:1,000;rsb_m3m3:200,000;rp_m3m3:200,000;pb_atma:130,000;tres_C:100,000;bob_m3m3:1,200;muob_cP:5,000;PVTcorr:0;ksep_fr:0,950;pksep_atma:34,555;tksep_C:85,000;</v>
      </c>
    </row>
    <row r="43" spans="1:7" ht="15.75" outlineLevel="1" x14ac:dyDescent="0.3">
      <c r="B43" s="24" t="s">
        <v>74</v>
      </c>
      <c r="C43" s="19">
        <f>[1]!esp_max_rate_m3day(Freq_,PumpID_)*1</f>
        <v>230</v>
      </c>
      <c r="D43" s="24"/>
    </row>
    <row r="44" spans="1:7" x14ac:dyDescent="0.2">
      <c r="B44" s="24" t="s">
        <v>20</v>
      </c>
      <c r="C44" s="19">
        <f>INT(Head_ESP_/[1]!ESP_head_m(Q_ESP_,1,,PumpID_))</f>
        <v>312</v>
      </c>
      <c r="D44" s="24" t="s">
        <v>10</v>
      </c>
      <c r="G44" s="25" t="s">
        <v>75</v>
      </c>
    </row>
    <row r="45" spans="1:7" ht="15.75" x14ac:dyDescent="0.3">
      <c r="B45" s="24" t="s">
        <v>76</v>
      </c>
      <c r="C45" s="5">
        <v>0.95</v>
      </c>
      <c r="D45" s="24"/>
      <c r="G45" s="26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</row>
    <row r="46" spans="1:7" ht="15.75" x14ac:dyDescent="0.3">
      <c r="B46" s="24" t="s">
        <v>77</v>
      </c>
      <c r="C46" s="8">
        <f ca="1">F81</f>
        <v>34.554894412163733</v>
      </c>
      <c r="D46" s="24" t="s">
        <v>2</v>
      </c>
    </row>
    <row r="47" spans="1:7" ht="15.75" x14ac:dyDescent="0.3">
      <c r="B47" s="24" t="s">
        <v>78</v>
      </c>
      <c r="C47" s="8">
        <f>D81</f>
        <v>85</v>
      </c>
      <c r="D47" s="24" t="s">
        <v>3</v>
      </c>
      <c r="G47" s="25" t="s">
        <v>72</v>
      </c>
    </row>
    <row r="48" spans="1:7" x14ac:dyDescent="0.2">
      <c r="G48" s="26" t="str">
        <f>[1]!PVT_encode_string(gamma_gas_,gamma_oil_,gamma_wat_,Rsb_,Rp_,Pb_,Tres_,Bob_,mu_)</f>
        <v>gamma_gas:0,800;gamma_oil:0,870;gamma_wat:1,000;rsb_m3m3:200,000;rp_m3m3:200,000;pb_atma:130,000;tres_C:100,000;bob_m3m3:1,200;muob_cP:5,000;PVTcorr:0;ksep_fr:0,000;pksep_atma:-1,000;tksep_C:-1,000;</v>
      </c>
    </row>
    <row r="49" spans="1:12" x14ac:dyDescent="0.2">
      <c r="A49" s="1" t="s">
        <v>21</v>
      </c>
    </row>
    <row r="50" spans="1:12" ht="15.75" x14ac:dyDescent="0.3">
      <c r="B50" s="24" t="s">
        <v>79</v>
      </c>
      <c r="C50" s="2">
        <v>250</v>
      </c>
      <c r="D50" s="24" t="s">
        <v>2</v>
      </c>
    </row>
    <row r="51" spans="1:12" x14ac:dyDescent="0.2">
      <c r="B51" s="24" t="s">
        <v>80</v>
      </c>
      <c r="C51" s="27">
        <f>[1]!IPR_PI_sm3dayatm(Q_,Pwf_,Pres_,fw_,Pb_)</f>
        <v>0.39475733194913054</v>
      </c>
      <c r="D51" s="24" t="s">
        <v>11</v>
      </c>
    </row>
    <row r="52" spans="1:12" x14ac:dyDescent="0.2">
      <c r="B52" s="24" t="s">
        <v>81</v>
      </c>
      <c r="C52" s="2">
        <v>3</v>
      </c>
      <c r="D52" s="24" t="s">
        <v>12</v>
      </c>
    </row>
    <row r="53" spans="1:12" x14ac:dyDescent="0.2">
      <c r="B53" s="29"/>
      <c r="C53" s="29"/>
      <c r="D53" s="29"/>
    </row>
    <row r="55" spans="1:12" x14ac:dyDescent="0.2">
      <c r="B55" s="18" t="s">
        <v>13</v>
      </c>
      <c r="C55" s="2">
        <v>20</v>
      </c>
      <c r="D55" s="18"/>
    </row>
    <row r="59" spans="1:12" outlineLevel="1" x14ac:dyDescent="0.2"/>
    <row r="60" spans="1:12" x14ac:dyDescent="0.2">
      <c r="A60" t="s">
        <v>36</v>
      </c>
    </row>
    <row r="61" spans="1:12" outlineLevel="1" x14ac:dyDescent="0.2">
      <c r="A61" t="s">
        <v>25</v>
      </c>
    </row>
    <row r="62" spans="1:12" outlineLevel="1" x14ac:dyDescent="0.2"/>
    <row r="63" spans="1:12" outlineLevel="1" x14ac:dyDescent="0.2">
      <c r="C63" t="s">
        <v>26</v>
      </c>
      <c r="D63" s="9">
        <v>0.5</v>
      </c>
      <c r="G63" t="s">
        <v>95</v>
      </c>
      <c r="L63" s="46">
        <v>0.65</v>
      </c>
    </row>
    <row r="64" spans="1:12" outlineLevel="1" x14ac:dyDescent="0.2"/>
    <row r="65" spans="3:16" ht="76.5" outlineLevel="1" x14ac:dyDescent="0.2">
      <c r="C65" s="32" t="s">
        <v>15</v>
      </c>
      <c r="D65" s="32" t="s">
        <v>14</v>
      </c>
      <c r="E65" s="11"/>
      <c r="F65" s="31" t="s">
        <v>24</v>
      </c>
      <c r="G65" s="31" t="s">
        <v>34</v>
      </c>
      <c r="H65" s="31" t="s">
        <v>23</v>
      </c>
      <c r="I65" s="36" t="s">
        <v>22</v>
      </c>
      <c r="J65" s="31" t="s">
        <v>27</v>
      </c>
      <c r="K65" s="31" t="s">
        <v>91</v>
      </c>
      <c r="L65" s="38" t="s">
        <v>26</v>
      </c>
      <c r="M65" s="31" t="s">
        <v>93</v>
      </c>
      <c r="N65" s="31" t="s">
        <v>92</v>
      </c>
      <c r="O65" s="31" t="s">
        <v>90</v>
      </c>
      <c r="P65" s="31" t="s">
        <v>88</v>
      </c>
    </row>
    <row r="66" spans="3:16" outlineLevel="1" x14ac:dyDescent="0.2">
      <c r="C66" s="33">
        <v>0</v>
      </c>
      <c r="D66" s="33">
        <f t="shared" ref="D66:D85" si="0">D67-Tgrad*(C67-C66)/100</f>
        <v>40</v>
      </c>
      <c r="F66" s="27">
        <f ca="1">[1]!MF_p_pipe_atma(Q_,fw_,C67,C66,F67,PVT_str_,theta_,Dtub_,,D67,D66)</f>
        <v>0</v>
      </c>
      <c r="I66" s="6"/>
      <c r="J66" s="39">
        <f>Pbuf_</f>
        <v>20</v>
      </c>
      <c r="K66" s="43">
        <f ca="1">[1]!MF_p_pipe_atma(Q_,fw_,C67,C66,K67,PVT_str_,theta_,Dtub_,1,D67,D66)</f>
        <v>8.0706500582890293</v>
      </c>
      <c r="O66" s="6">
        <f ca="1">[1]!MF_p_pipe_atma(Q_annular_,fw_,C67,C66,O67,PVT_str_annular_,theta_,d_annular_pr,1,D67,D66)</f>
        <v>9.3686806123681361</v>
      </c>
      <c r="P66" s="6">
        <v>1</v>
      </c>
    </row>
    <row r="67" spans="3:16" outlineLevel="1" x14ac:dyDescent="0.2">
      <c r="C67" s="33">
        <f t="shared" ref="C67:C86" si="1">C66+Hmes_/N_</f>
        <v>100</v>
      </c>
      <c r="D67" s="33">
        <f t="shared" si="0"/>
        <v>43</v>
      </c>
      <c r="F67" s="27">
        <f ca="1">[1]!MF_p_pipe_atma(Q_,fw_,C68,C67,F68,PVT_str_,theta_,Dtub_,,D68,D67)</f>
        <v>0</v>
      </c>
      <c r="I67" s="6"/>
      <c r="J67" s="27">
        <f ca="1">[1]!MF_p_pipe_atma(Q_,fw_,C66,C67,J66,PVT_str_,theta_,Dtub_,1,D66,D67)</f>
        <v>26.455037855379182</v>
      </c>
      <c r="K67" s="43">
        <f ca="1">[1]!MF_p_pipe_atma(Q_,fw_,C68,C67,K68,PVT_str_,theta_,Dtub_,1,D68,D67)</f>
        <v>11.548716546266832</v>
      </c>
      <c r="O67" s="6">
        <f ca="1">[1]!MF_p_pipe_atma(Q_annular_,fw_,C68,C67,O68,PVT_str_annular_,theta_,d_annular_pr,1,D68,D67)</f>
        <v>10.602826158750903</v>
      </c>
      <c r="P67" s="6">
        <f ca="1">[1]!MF_p_pipe_atma(Q_annular_,fw_,C66,C67,P66,PVT_str_,theta_,d_annular_pr,1,D66,D67)</f>
        <v>1.9934201253646571</v>
      </c>
    </row>
    <row r="68" spans="3:16" outlineLevel="1" x14ac:dyDescent="0.2">
      <c r="C68" s="33">
        <f t="shared" si="1"/>
        <v>200</v>
      </c>
      <c r="D68" s="33">
        <f t="shared" si="0"/>
        <v>46</v>
      </c>
      <c r="F68" s="27">
        <f ca="1">[1]!MF_p_pipe_atma(Q_,fw_,C69,C68,F69,PVT_str_,theta_,Dtub_,,D69,D68)</f>
        <v>0</v>
      </c>
      <c r="I68" s="6"/>
      <c r="J68" s="27">
        <f ca="1">[1]!MF_p_pipe_atma(Q_,fw_,C67,C68,J67,PVT_str_,theta_,Dtub_,1,D67,D68)</f>
        <v>33.963790692968622</v>
      </c>
      <c r="K68" s="43">
        <f ca="1">[1]!MF_p_pipe_atma(Q_,fw_,C69,C68,K69,PVT_str_,theta_,Dtub_,1,D69,D68)</f>
        <v>16.128864033147334</v>
      </c>
      <c r="O68" s="6">
        <f ca="1">[1]!MF_p_pipe_atma(Q_annular_,fw_,C69,C68,O69,PVT_str_annular_,theta_,d_annular_pr,1,D69,D68)</f>
        <v>11.872763849924773</v>
      </c>
      <c r="P68" s="6">
        <f ca="1">[1]!MF_p_pipe_atma(Q_annular_,fw_,C67,C68,P67,PVT_str_,theta_,d_annular_pr,1,D67,D68)</f>
        <v>3.2129499636518113</v>
      </c>
    </row>
    <row r="69" spans="3:16" outlineLevel="1" x14ac:dyDescent="0.2">
      <c r="C69" s="33">
        <f t="shared" si="1"/>
        <v>300</v>
      </c>
      <c r="D69" s="33">
        <f t="shared" si="0"/>
        <v>49</v>
      </c>
      <c r="F69" s="27">
        <f ca="1">[1]!MF_p_pipe_atma(Q_,fw_,C70,C69,F70,PVT_str_,theta_,Dtub_,,D70,D69)</f>
        <v>0</v>
      </c>
      <c r="I69" s="6"/>
      <c r="J69" s="27">
        <f ca="1">[1]!MF_p_pipe_atma(Q_,fw_,C68,C69,J68,PVT_str_,theta_,Dtub_,1,D68,D69)</f>
        <v>42.300684455705735</v>
      </c>
      <c r="K69" s="43">
        <f ca="1">[1]!MF_p_pipe_atma(Q_,fw_,C70,C69,K70,PVT_str_,theta_,Dtub_,1,D70,D69)</f>
        <v>21.706230697856363</v>
      </c>
      <c r="O69" s="6">
        <f ca="1">[1]!MF_p_pipe_atma(Q_annular_,fw_,C70,C69,O70,PVT_str_annular_,theta_,d_annular_pr,1,D70,D69)</f>
        <v>13.187762769996576</v>
      </c>
      <c r="P69" s="6">
        <f ca="1">[1]!MF_p_pipe_atma(Q_annular_,fw_,C68,C69,P68,PVT_str_,theta_,d_annular_pr,1,D68,D69)</f>
        <v>4.8009552799896626</v>
      </c>
    </row>
    <row r="70" spans="3:16" outlineLevel="1" x14ac:dyDescent="0.2">
      <c r="C70" s="33">
        <f t="shared" si="1"/>
        <v>400</v>
      </c>
      <c r="D70" s="33">
        <f t="shared" si="0"/>
        <v>52</v>
      </c>
      <c r="F70" s="27">
        <f ca="1">[1]!MF_p_pipe_atma(Q_,fw_,C71,C70,F71,PVT_str_,theta_,Dtub_,,D71,D70)</f>
        <v>0</v>
      </c>
      <c r="I70" s="6"/>
      <c r="J70" s="27">
        <f ca="1">[1]!MF_p_pipe_atma(Q_,fw_,C69,C70,J69,PVT_str_,theta_,Dtub_,1,D69,D70)</f>
        <v>50.739256071223025</v>
      </c>
      <c r="K70" s="43">
        <f ca="1">[1]!MF_p_pipe_atma(Q_,fw_,C71,C70,K71,PVT_str_,theta_,Dtub_,1,D71,D70)</f>
        <v>28.310335110699633</v>
      </c>
      <c r="O70" s="6">
        <f ca="1">[1]!MF_p_pipe_atma(Q_annular_,fw_,C71,C70,O71,PVT_str_annular_,theta_,d_annular_pr,1,D71,D70)</f>
        <v>14.555385002166513</v>
      </c>
      <c r="P70" s="6">
        <f ca="1">[1]!MF_p_pipe_atma(Q_annular_,fw_,C69,C70,P69,PVT_str_,theta_,d_annular_pr,1,D69,D70)</f>
        <v>6.8793210802295484</v>
      </c>
    </row>
    <row r="71" spans="3:16" outlineLevel="1" x14ac:dyDescent="0.2">
      <c r="C71" s="33">
        <f t="shared" si="1"/>
        <v>500</v>
      </c>
      <c r="D71" s="33">
        <f t="shared" si="0"/>
        <v>55</v>
      </c>
      <c r="F71" s="27">
        <f ca="1">[1]!MF_p_pipe_atma(Q_,fw_,C72,C71,F72,PVT_str_,theta_,Dtub_,,D72,D71)</f>
        <v>0</v>
      </c>
      <c r="I71" s="6"/>
      <c r="J71" s="27">
        <f ca="1">[1]!MF_p_pipe_atma(Q_,fw_,C70,C71,J70,PVT_str_,theta_,Dtub_,1,D70,D71)</f>
        <v>59.181348636852469</v>
      </c>
      <c r="K71" s="43">
        <f ca="1">[1]!MF_p_pipe_atma(Q_,fw_,C72,C71,K72,PVT_str_,theta_,Dtub_,1,D72,D71)</f>
        <v>35.911877181253672</v>
      </c>
      <c r="O71" s="6">
        <f ca="1">[1]!MF_p_pipe_atma(Q_annular_,fw_,C72,C71,O72,PVT_str_annular_,theta_,d_annular_pr,1,D72,D71)</f>
        <v>15.982080259094703</v>
      </c>
      <c r="P71" s="6">
        <f ca="1">[1]!MF_p_pipe_atma(Q_annular_,fw_,C70,C71,P70,PVT_str_,theta_,d_annular_pr,1,D70,D71)</f>
        <v>9.6751992792954482</v>
      </c>
    </row>
    <row r="72" spans="3:16" outlineLevel="1" x14ac:dyDescent="0.2">
      <c r="C72" s="33">
        <f t="shared" si="1"/>
        <v>600</v>
      </c>
      <c r="D72" s="33">
        <f t="shared" si="0"/>
        <v>58</v>
      </c>
      <c r="F72" s="27">
        <f ca="1">[1]!MF_p_pipe_atma(Q_,fw_,C73,C72,F73,PVT_str_,theta_,Dtub_,,D73,D72)</f>
        <v>0</v>
      </c>
      <c r="I72" s="6"/>
      <c r="J72" s="27">
        <f ca="1">[1]!MF_p_pipe_atma(Q_,fw_,C71,C72,J71,PVT_str_,theta_,Dtub_,1,D71,D72)</f>
        <v>67.625357287870528</v>
      </c>
      <c r="K72" s="43">
        <f ca="1">[1]!MF_p_pipe_atma(Q_,fw_,C73,C72,K73,PVT_str_,theta_,Dtub_,1,D73,D72)</f>
        <v>44.257991379720053</v>
      </c>
      <c r="O72" s="6">
        <f ca="1">[1]!MF_p_pipe_atma(Q_annular_,fw_,C73,C72,O73,PVT_str_annular_,theta_,d_annular_pr,1,D73,D72)</f>
        <v>17.473537470920093</v>
      </c>
      <c r="P72" s="6">
        <f ca="1">[1]!MF_p_pipe_atma(Q_annular_,fw_,C71,C72,P71,PVT_str_,theta_,d_annular_pr,1,D71,D72)</f>
        <v>13.804636061517636</v>
      </c>
    </row>
    <row r="73" spans="3:16" outlineLevel="1" x14ac:dyDescent="0.2">
      <c r="C73" s="33">
        <f t="shared" si="1"/>
        <v>700</v>
      </c>
      <c r="D73" s="33">
        <f t="shared" si="0"/>
        <v>61</v>
      </c>
      <c r="F73" s="27">
        <f ca="1">[1]!MF_p_pipe_atma(Q_,fw_,C74,C73,F74,PVT_str_,theta_,Dtub_,,D74,D73)</f>
        <v>1.3713408133929201</v>
      </c>
      <c r="I73" s="6"/>
      <c r="J73" s="27">
        <f ca="1">[1]!MF_p_pipe_atma(Q_,fw_,C72,C73,J72,PVT_str_,theta_,Dtub_,1,D72,D73)</f>
        <v>76.070238609918007</v>
      </c>
      <c r="K73" s="43">
        <f ca="1">[1]!MF_p_pipe_atma(Q_,fw_,C74,C73,K74,PVT_str_,theta_,Dtub_,1,D74,D73)</f>
        <v>52.671771886321451</v>
      </c>
      <c r="O73" s="6">
        <f ca="1">[1]!MF_p_pipe_atma(Q_annular_,fw_,C74,C73,O74,PVT_str_annular_,theta_,d_annular_pr,1,D74,D73)</f>
        <v>19.034901600176479</v>
      </c>
      <c r="P73" s="6">
        <f ca="1">[1]!MF_p_pipe_atma(Q_annular_,fw_,C72,C73,P72,PVT_str_,theta_,d_annular_pr,1,D72,D73)</f>
        <v>18.877472689660177</v>
      </c>
    </row>
    <row r="74" spans="3:16" outlineLevel="1" x14ac:dyDescent="0.2">
      <c r="C74" s="33">
        <f t="shared" si="1"/>
        <v>800</v>
      </c>
      <c r="D74" s="33">
        <f t="shared" si="0"/>
        <v>64</v>
      </c>
      <c r="F74" s="27">
        <f ca="1">[1]!MF_p_pipe_atma(Q_,fw_,C75,C74,F75,PVT_str_,theta_,Dtub_,,D75,D74)</f>
        <v>3.2604520327804463</v>
      </c>
      <c r="I74" s="6"/>
      <c r="J74" s="27">
        <f ca="1">[1]!MF_p_pipe_atma(Q_,fw_,C73,C74,J73,PVT_str_,theta_,Dtub_,1,D73,D74)</f>
        <v>84.515273637993204</v>
      </c>
      <c r="K74" s="43">
        <f ca="1">[1]!MF_p_pipe_atma(Q_,fw_,C75,C74,K75,PVT_str_,theta_,Dtub_,1,D75,D74)</f>
        <v>61.091096436176599</v>
      </c>
      <c r="O74" s="6">
        <f ca="1">[1]!MF_p_pipe_atma(Q_annular_,fw_,C75,C74,O75,PVT_str_annular_,theta_,d_annular_pr,1,D75,D74)</f>
        <v>20.67091111176131</v>
      </c>
      <c r="P74" s="6">
        <f ca="1">[1]!MF_p_pipe_atma(Q_annular_,fw_,C73,C74,P73,PVT_str_,theta_,d_annular_pr,1,D73,D74)</f>
        <v>24.900453184463903</v>
      </c>
    </row>
    <row r="75" spans="3:16" outlineLevel="1" x14ac:dyDescent="0.2">
      <c r="C75" s="33">
        <f t="shared" si="1"/>
        <v>900</v>
      </c>
      <c r="D75" s="33">
        <f t="shared" si="0"/>
        <v>67</v>
      </c>
      <c r="F75" s="27">
        <f ca="1">[1]!MF_p_pipe_atma(Q_,fw_,C76,C75,F76,PVT_str_,theta_,Dtub_,,D76,D75)</f>
        <v>5.7354248501491716</v>
      </c>
      <c r="I75" s="6"/>
      <c r="J75" s="27">
        <f ca="1">[1]!MF_p_pipe_atma(Q_,fw_,C74,C75,J74,PVT_str_,theta_,Dtub_,1,D74,D75)</f>
        <v>92.959943945656065</v>
      </c>
      <c r="K75" s="43">
        <f ca="1">[1]!MF_p_pipe_atma(Q_,fw_,C76,C75,K76,PVT_str_,theta_,Dtub_,1,D76,D75)</f>
        <v>69.513872390993299</v>
      </c>
      <c r="O75" s="6">
        <f ca="1">[1]!MF_p_pipe_atma(Q_annular_,fw_,C76,C75,O76,PVT_str_annular_,theta_,d_annular_pr,1,D76,D75)</f>
        <v>22.385986390297617</v>
      </c>
      <c r="P75" s="6">
        <f ca="1">[1]!MF_p_pipe_atma(Q_annular_,fw_,C74,C75,P74,PVT_str_,theta_,d_annular_pr,1,D74,D75)</f>
        <v>31.887159695770389</v>
      </c>
    </row>
    <row r="76" spans="3:16" outlineLevel="1" x14ac:dyDescent="0.2">
      <c r="C76" s="33">
        <f t="shared" si="1"/>
        <v>1000</v>
      </c>
      <c r="D76" s="33">
        <f t="shared" si="0"/>
        <v>70</v>
      </c>
      <c r="F76" s="27">
        <f ca="1">[1]!MF_p_pipe_atma(Q_,fw_,C77,C76,F77,PVT_str_,theta_,Dtub_,,D77,D76)</f>
        <v>8.8703173677054465</v>
      </c>
      <c r="I76" s="6"/>
      <c r="J76" s="27">
        <f ca="1">[1]!MF_p_pipe_atma(Q_,fw_,C75,C76,J75,PVT_str_,theta_,Dtub_,1,D75,D76)</f>
        <v>101.40386170360254</v>
      </c>
      <c r="K76" s="43">
        <f ca="1">[1]!MF_p_pipe_atma(Q_,fw_,C77,C76,K77,PVT_str_,theta_,Dtub_,1,D77,D76)</f>
        <v>77.938719020870963</v>
      </c>
      <c r="O76" s="6">
        <f ca="1">[1]!MF_p_pipe_atma(Q_annular_,fw_,C77,C76,O77,PVT_str_annular_,theta_,d_annular_pr,1,D77,D76)</f>
        <v>24.184286578605786</v>
      </c>
      <c r="P76" s="6">
        <f ca="1">[1]!MF_p_pipe_atma(Q_annular_,fw_,C75,C76,P75,PVT_str_,theta_,d_annular_pr,1,D75,D76)</f>
        <v>39.720247527801732</v>
      </c>
    </row>
    <row r="77" spans="3:16" outlineLevel="1" x14ac:dyDescent="0.2">
      <c r="C77" s="33">
        <f t="shared" si="1"/>
        <v>1100</v>
      </c>
      <c r="D77" s="33">
        <f t="shared" si="0"/>
        <v>73</v>
      </c>
      <c r="F77" s="27">
        <f ca="1">[1]!MF_p_pipe_atma(Q_,fw_,C78,C77,F78,PVT_str_,theta_,Dtub_,,D78,D77)</f>
        <v>12.688093183755779</v>
      </c>
      <c r="I77" s="6"/>
      <c r="J77" s="27">
        <f ca="1">[1]!MF_p_pipe_atma(Q_,fw_,C76,C77,J76,PVT_str_,theta_,Dtub_,1,D76,D77)</f>
        <v>109.84672776172005</v>
      </c>
      <c r="K77" s="43">
        <f ca="1">[1]!MF_p_pipe_atma(Q_,fw_,C78,C77,K78,PVT_str_,theta_,Dtub_,1,D78,D77)</f>
        <v>86.364675296881998</v>
      </c>
      <c r="O77" s="6">
        <f ca="1">[1]!MF_p_pipe_atma(Q_annular_,fw_,C78,C77,O78,PVT_str_annular_,theta_,d_annular_pr,1,D78,D77)</f>
        <v>26.069745394540135</v>
      </c>
      <c r="P77" s="6">
        <f ca="1">[1]!MF_p_pipe_atma(Q_annular_,fw_,C76,C77,P76,PVT_str_,theta_,d_annular_pr,1,D76,D77)</f>
        <v>48.06394671572329</v>
      </c>
    </row>
    <row r="78" spans="3:16" outlineLevel="1" x14ac:dyDescent="0.2">
      <c r="C78" s="33">
        <f t="shared" si="1"/>
        <v>1200</v>
      </c>
      <c r="D78" s="33">
        <f t="shared" si="0"/>
        <v>76</v>
      </c>
      <c r="F78" s="27">
        <f ca="1">[1]!MF_p_pipe_atma(Q_,fw_,C79,C78,F79,PVT_str_,theta_,Dtub_,,D79,D78)</f>
        <v>17.188974378880218</v>
      </c>
      <c r="I78" s="6"/>
      <c r="J78" s="27">
        <f ca="1">[1]!MF_p_pipe_atma(Q_,fw_,C77,C78,J77,PVT_str_,theta_,Dtub_,1,D77,D78)</f>
        <v>118.28830528297472</v>
      </c>
      <c r="K78" s="43">
        <f ca="1">[1]!MF_p_pipe_atma(Q_,fw_,C79,C78,K79,PVT_str_,theta_,Dtub_,1,D79,D78)</f>
        <v>94.7910436156603</v>
      </c>
      <c r="O78" s="6">
        <f ca="1">[1]!MF_p_pipe_atma(Q_annular_,fw_,C79,C78,O79,PVT_str_annular_,theta_,d_annular_pr,1,D79,D78)</f>
        <v>28.046092574268172</v>
      </c>
      <c r="P78" s="6">
        <f ca="1">[1]!MF_p_pipe_atma(Q_annular_,fw_,C77,C78,P77,PVT_str_,theta_,d_annular_pr,1,D77,D78)</f>
        <v>56.430165688991075</v>
      </c>
    </row>
    <row r="79" spans="3:16" outlineLevel="1" x14ac:dyDescent="0.2">
      <c r="C79" s="33">
        <f t="shared" si="1"/>
        <v>1300</v>
      </c>
      <c r="D79" s="33">
        <f t="shared" si="0"/>
        <v>79</v>
      </c>
      <c r="F79" s="27">
        <f ca="1">[1]!MF_p_pipe_atma(Q_,fw_,C80,C79,F80,PVT_str_,theta_,Dtub_,,D80,D79)</f>
        <v>22.356512170070193</v>
      </c>
      <c r="I79" s="6"/>
      <c r="J79" s="27">
        <f ca="1">[1]!MF_p_pipe_atma(Q_,fw_,C78,C79,J78,PVT_str_,theta_,Dtub_,1,D78,D79)</f>
        <v>126.72840248583773</v>
      </c>
      <c r="K79" s="43">
        <f ca="1">[1]!MF_p_pipe_atma(Q_,fw_,C80,C79,K80,PVT_str_,theta_,Dtub_,1,D80,D79)</f>
        <v>103.2173000313322</v>
      </c>
      <c r="O79" s="6">
        <f ca="1">[1]!MF_p_pipe_atma(Q_annular_,fw_,C80,C79,O80,PVT_str_annular_,theta_,d_annular_pr,1,D80,D79)</f>
        <v>30.116865293481492</v>
      </c>
      <c r="P79" s="6">
        <f ca="1">[1]!MF_p_pipe_atma(Q_annular_,fw_,C78,C79,P78,PVT_str_,theta_,d_annular_pr,1,D78,D79)</f>
        <v>64.804762422034642</v>
      </c>
    </row>
    <row r="80" spans="3:16" outlineLevel="1" x14ac:dyDescent="0.2">
      <c r="C80" s="33">
        <f t="shared" si="1"/>
        <v>1400</v>
      </c>
      <c r="D80" s="33">
        <f t="shared" si="0"/>
        <v>82</v>
      </c>
      <c r="F80" s="27">
        <f ca="1">[1]!MF_p_pipe_atma(Q_,fw_,C81,C80,F81,PVT_str_,theta_,Dtub_,,D81,D80)</f>
        <v>28.159818085152377</v>
      </c>
      <c r="I80" s="6"/>
      <c r="J80" s="27">
        <f ca="1">[1]!MF_p_pipe_atma(Q_,fw_,C79,C80,J79,PVT_str_,theta_,Dtub_,1,D79,D80)</f>
        <v>135.16294709182165</v>
      </c>
      <c r="K80" s="43">
        <f ca="1">[1]!MF_p_pipe_atma(Q_,fw_,C81,C80,K81,PVT_str_,theta_,Dtub_,1,D81,D80)</f>
        <v>111.64303969694829</v>
      </c>
      <c r="O80" s="6">
        <f ca="1">[1]!MF_p_pipe_atma(Q_annular_,fw_,C81,C80,O81,PVT_str_annular_,theta_,d_annular_pr,1,D81,D80)</f>
        <v>32.285412523949375</v>
      </c>
      <c r="P80" s="6">
        <f ca="1">[1]!MF_p_pipe_atma(Q_annular_,fw_,C79,C80,P79,PVT_str_,theta_,d_annular_pr,1,D79,D80)</f>
        <v>73.185112995864216</v>
      </c>
    </row>
    <row r="81" spans="1:16" outlineLevel="1" x14ac:dyDescent="0.2">
      <c r="B81" s="25" t="s">
        <v>31</v>
      </c>
      <c r="C81" s="33">
        <f t="shared" si="1"/>
        <v>1500</v>
      </c>
      <c r="D81" s="33">
        <f t="shared" si="0"/>
        <v>85</v>
      </c>
      <c r="F81" s="27">
        <f ca="1">[1]!MF_p_pipe_atma(Q_,fw_,C82,C81,F82,PVT_str_,theta_,Dtub_,,D82,D81)</f>
        <v>34.554894412163733</v>
      </c>
      <c r="G81" s="26">
        <f ca="1">[1]!MF_ksep_natural_d(Q_,wc_,Pintake_,Tintake_,Dintake_,Dcas_,PVT_str_)</f>
        <v>0.63011817587450403</v>
      </c>
      <c r="H81" s="26">
        <f ca="1">[1]!MF_ksep_total_d(G81,KsepGasSep_)</f>
        <v>0.98150590879372523</v>
      </c>
      <c r="I81" s="37">
        <f ca="1">[1]!MF_gas_fraction_d(F81,D81,fw_,PVT_str_)</f>
        <v>0.21949338244881855</v>
      </c>
      <c r="J81" s="27">
        <f ca="1">[1]!MF_p_pipe_atma(Q_,fw_,C80,C81,J80,PVT_str_,theta_,Dtub_,1,D80,D81)</f>
        <v>143.59259551838673</v>
      </c>
      <c r="K81" s="44">
        <f ca="1">M81+F81</f>
        <v>120.06794215187824</v>
      </c>
      <c r="L81" s="40"/>
      <c r="M81" s="26">
        <f ca="1">[1]!ESP_dP_atm(Q_,fw_,Pintake_,NumStage_,Freq_,PumpID_,PVT_str_,Tintake_,0,1,,D63)</f>
        <v>85.513047739714509</v>
      </c>
      <c r="N81" s="41">
        <f ca="1">J81-F81</f>
        <v>109.037701106223</v>
      </c>
      <c r="O81" s="39">
        <f ca="1">F81</f>
        <v>34.554894412163733</v>
      </c>
      <c r="P81" s="40"/>
    </row>
    <row r="82" spans="1:16" outlineLevel="1" x14ac:dyDescent="0.2">
      <c r="C82" s="33">
        <f t="shared" si="1"/>
        <v>1600</v>
      </c>
      <c r="D82" s="33">
        <f t="shared" si="0"/>
        <v>88</v>
      </c>
      <c r="E82" s="6"/>
      <c r="F82" s="35">
        <f ca="1">[1]!MF_p_pipe_atma(Q_,fw_,C83,C82,F83,PVT_str_,theta_,Dtub_,,D83,D82)</f>
        <v>41.763678230708649</v>
      </c>
      <c r="I82" s="6"/>
      <c r="J82" s="6"/>
      <c r="K82" s="6"/>
    </row>
    <row r="83" spans="1:16" outlineLevel="1" x14ac:dyDescent="0.2">
      <c r="C83" s="33">
        <f t="shared" si="1"/>
        <v>1700</v>
      </c>
      <c r="D83" s="33">
        <f t="shared" si="0"/>
        <v>91</v>
      </c>
      <c r="E83" s="6"/>
      <c r="F83" s="27">
        <f ca="1">[1]!MF_p_pipe_atma(Q_,fw_,C84,C83,F84,PVT_str_,theta_,Dtub_,,D84,D83)</f>
        <v>50.004177954891489</v>
      </c>
      <c r="I83" s="6"/>
      <c r="J83" s="6"/>
      <c r="K83" s="6"/>
    </row>
    <row r="84" spans="1:16" outlineLevel="1" x14ac:dyDescent="0.2">
      <c r="C84" s="33">
        <f t="shared" si="1"/>
        <v>1800</v>
      </c>
      <c r="D84" s="33">
        <f t="shared" si="0"/>
        <v>94</v>
      </c>
      <c r="E84" s="6"/>
      <c r="F84" s="27">
        <f ca="1">[1]!MF_p_pipe_atma(Q_,fw_,C85,C84,F85,PVT_str_,theta_,Dtub_,,D85,D84)</f>
        <v>58.324893196184554</v>
      </c>
      <c r="I84" s="6"/>
      <c r="J84" s="6"/>
      <c r="K84" s="6"/>
    </row>
    <row r="85" spans="1:16" outlineLevel="1" x14ac:dyDescent="0.2">
      <c r="C85" s="33">
        <f t="shared" si="1"/>
        <v>1900</v>
      </c>
      <c r="D85" s="33">
        <f t="shared" si="0"/>
        <v>97</v>
      </c>
      <c r="E85" s="6"/>
      <c r="F85" s="27">
        <f ca="1">[1]!MF_p_pipe_atma(Q_,fw_,C86,C85,F86,PVT_str_,theta_,Dtub_,,D86,D85)</f>
        <v>66.658020591322312</v>
      </c>
      <c r="I85" s="6"/>
      <c r="J85" s="6"/>
      <c r="K85" s="6"/>
    </row>
    <row r="86" spans="1:16" outlineLevel="1" x14ac:dyDescent="0.2">
      <c r="C86" s="33">
        <f t="shared" si="1"/>
        <v>2000</v>
      </c>
      <c r="D86" s="33">
        <f>Tres_</f>
        <v>100</v>
      </c>
      <c r="E86" s="6"/>
      <c r="F86" s="34">
        <f>Pwf_</f>
        <v>75</v>
      </c>
      <c r="I86" s="6"/>
      <c r="J86" s="6"/>
      <c r="K86" s="6"/>
    </row>
    <row r="87" spans="1:16" outlineLevel="1" x14ac:dyDescent="0.2"/>
    <row r="88" spans="1:16" outlineLevel="1" x14ac:dyDescent="0.2"/>
    <row r="89" spans="1:16" outlineLevel="1" x14ac:dyDescent="0.2"/>
    <row r="90" spans="1:16" outlineLevel="1" x14ac:dyDescent="0.2"/>
    <row r="91" spans="1:16" outlineLevel="1" x14ac:dyDescent="0.2"/>
    <row r="92" spans="1:16" x14ac:dyDescent="0.2">
      <c r="A92" t="s">
        <v>35</v>
      </c>
    </row>
    <row r="93" spans="1:16" outlineLevel="1" x14ac:dyDescent="0.2">
      <c r="A93" t="s">
        <v>32</v>
      </c>
    </row>
    <row r="94" spans="1:16" outlineLevel="1" x14ac:dyDescent="0.2"/>
    <row r="95" spans="1:16" outlineLevel="1" x14ac:dyDescent="0.2">
      <c r="C95" s="24" t="s">
        <v>33</v>
      </c>
      <c r="D95" s="2">
        <v>30</v>
      </c>
    </row>
    <row r="96" spans="1:16" outlineLevel="1" x14ac:dyDescent="0.2">
      <c r="C96" s="24" t="s">
        <v>0</v>
      </c>
      <c r="D96" s="42">
        <f>[1]!IPR_Qliq_sm3Day(PI_,Pres_,Pwf1_,fw_,Pb_)</f>
        <v>73.350635868154683</v>
      </c>
    </row>
    <row r="97" spans="3:14" outlineLevel="1" x14ac:dyDescent="0.2">
      <c r="C97" s="24" t="s">
        <v>1</v>
      </c>
      <c r="D97" s="2">
        <v>55</v>
      </c>
    </row>
    <row r="98" spans="3:14" outlineLevel="1" x14ac:dyDescent="0.2"/>
    <row r="99" spans="3:14" outlineLevel="1" x14ac:dyDescent="0.2"/>
    <row r="100" spans="3:14" ht="51" outlineLevel="1" x14ac:dyDescent="0.2">
      <c r="C100" s="10" t="s">
        <v>15</v>
      </c>
      <c r="D100" s="10" t="s">
        <v>14</v>
      </c>
      <c r="E100" s="11"/>
      <c r="F100" s="11" t="s">
        <v>24</v>
      </c>
      <c r="G100" s="11" t="s">
        <v>34</v>
      </c>
      <c r="H100" s="11" t="s">
        <v>23</v>
      </c>
      <c r="I100" s="11" t="s">
        <v>28</v>
      </c>
      <c r="J100" s="11" t="s">
        <v>22</v>
      </c>
      <c r="K100" s="11"/>
      <c r="L100" s="11" t="s">
        <v>29</v>
      </c>
      <c r="M100" s="11"/>
      <c r="N100" s="11" t="s">
        <v>30</v>
      </c>
    </row>
    <row r="101" spans="3:14" outlineLevel="1" x14ac:dyDescent="0.2">
      <c r="C101" s="12">
        <v>0</v>
      </c>
      <c r="D101" s="12">
        <f t="shared" ref="D101:D120" si="2">D102-Tgrad*(C102-C101)/100</f>
        <v>40</v>
      </c>
      <c r="E101" s="6"/>
      <c r="F101" s="6"/>
      <c r="L101" s="14"/>
      <c r="M101" s="6"/>
      <c r="N101" s="6"/>
    </row>
    <row r="102" spans="3:14" outlineLevel="1" x14ac:dyDescent="0.2">
      <c r="C102" s="12">
        <f t="shared" ref="C102:C121" si="3">C101+Hmes_/N_</f>
        <v>100</v>
      </c>
      <c r="D102" s="12">
        <f t="shared" si="2"/>
        <v>43</v>
      </c>
      <c r="E102" s="6"/>
      <c r="F102" s="6"/>
      <c r="L102" s="14"/>
      <c r="M102" s="6"/>
      <c r="N102" s="6"/>
    </row>
    <row r="103" spans="3:14" outlineLevel="1" x14ac:dyDescent="0.2">
      <c r="C103" s="12">
        <f t="shared" si="3"/>
        <v>200</v>
      </c>
      <c r="D103" s="12">
        <f t="shared" si="2"/>
        <v>46</v>
      </c>
      <c r="E103" s="6"/>
      <c r="F103" s="6"/>
      <c r="L103" s="14"/>
      <c r="M103" s="6"/>
      <c r="N103" s="6"/>
    </row>
    <row r="104" spans="3:14" outlineLevel="1" x14ac:dyDescent="0.2">
      <c r="C104" s="12">
        <f t="shared" si="3"/>
        <v>300</v>
      </c>
      <c r="D104" s="12">
        <f t="shared" si="2"/>
        <v>49</v>
      </c>
      <c r="E104" s="6"/>
      <c r="F104" s="6"/>
      <c r="L104" s="14"/>
      <c r="M104" s="6"/>
      <c r="N104" s="6"/>
    </row>
    <row r="105" spans="3:14" outlineLevel="1" x14ac:dyDescent="0.2">
      <c r="C105" s="12">
        <f t="shared" si="3"/>
        <v>400</v>
      </c>
      <c r="D105" s="12">
        <f t="shared" si="2"/>
        <v>52</v>
      </c>
      <c r="E105" s="6"/>
      <c r="F105" s="6"/>
      <c r="L105" s="14"/>
      <c r="M105" s="6"/>
      <c r="N105" s="6"/>
    </row>
    <row r="106" spans="3:14" outlineLevel="1" x14ac:dyDescent="0.2">
      <c r="C106" s="12">
        <f t="shared" si="3"/>
        <v>500</v>
      </c>
      <c r="D106" s="12">
        <f t="shared" si="2"/>
        <v>55</v>
      </c>
      <c r="E106" s="6"/>
      <c r="F106" s="6"/>
      <c r="L106" s="14"/>
      <c r="M106" s="6"/>
      <c r="N106" s="6"/>
    </row>
    <row r="107" spans="3:14" outlineLevel="1" x14ac:dyDescent="0.2">
      <c r="C107" s="12">
        <f t="shared" si="3"/>
        <v>600</v>
      </c>
      <c r="D107" s="12">
        <f t="shared" si="2"/>
        <v>58</v>
      </c>
      <c r="E107" s="6"/>
      <c r="F107" s="6"/>
      <c r="L107" s="14"/>
      <c r="M107" s="6"/>
      <c r="N107" s="6"/>
    </row>
    <row r="108" spans="3:14" outlineLevel="1" x14ac:dyDescent="0.2">
      <c r="C108" s="12">
        <f t="shared" si="3"/>
        <v>700</v>
      </c>
      <c r="D108" s="12">
        <f t="shared" si="2"/>
        <v>61</v>
      </c>
      <c r="E108" s="6"/>
      <c r="F108" s="6"/>
      <c r="L108" s="14"/>
      <c r="M108" s="6"/>
      <c r="N108" s="6"/>
    </row>
    <row r="109" spans="3:14" outlineLevel="1" x14ac:dyDescent="0.2">
      <c r="C109" s="12">
        <f t="shared" si="3"/>
        <v>800</v>
      </c>
      <c r="D109" s="12">
        <f t="shared" si="2"/>
        <v>64</v>
      </c>
      <c r="E109" s="6"/>
      <c r="F109" s="6"/>
      <c r="L109" s="14"/>
      <c r="M109" s="6"/>
      <c r="N109" s="6"/>
    </row>
    <row r="110" spans="3:14" outlineLevel="1" x14ac:dyDescent="0.2">
      <c r="C110" s="12">
        <f t="shared" si="3"/>
        <v>900</v>
      </c>
      <c r="D110" s="12">
        <f t="shared" si="2"/>
        <v>67</v>
      </c>
      <c r="E110" s="6"/>
      <c r="F110" s="6"/>
      <c r="L110" s="14"/>
      <c r="M110" s="6"/>
      <c r="N110" s="6"/>
    </row>
    <row r="111" spans="3:14" outlineLevel="1" x14ac:dyDescent="0.2">
      <c r="C111" s="12">
        <f t="shared" si="3"/>
        <v>1000</v>
      </c>
      <c r="D111" s="12">
        <f t="shared" si="2"/>
        <v>70</v>
      </c>
      <c r="E111" s="6"/>
      <c r="F111" s="6"/>
      <c r="L111" s="14"/>
      <c r="M111" s="6"/>
      <c r="N111" s="6"/>
    </row>
    <row r="112" spans="3:14" outlineLevel="1" x14ac:dyDescent="0.2">
      <c r="C112" s="12">
        <f t="shared" si="3"/>
        <v>1100</v>
      </c>
      <c r="D112" s="12">
        <f t="shared" si="2"/>
        <v>73</v>
      </c>
      <c r="E112" s="6"/>
      <c r="F112" s="6"/>
      <c r="L112" s="14"/>
      <c r="M112" s="6"/>
      <c r="N112" s="6"/>
    </row>
    <row r="113" spans="2:14" outlineLevel="1" x14ac:dyDescent="0.2">
      <c r="C113" s="12">
        <f t="shared" si="3"/>
        <v>1200</v>
      </c>
      <c r="D113" s="12">
        <f t="shared" si="2"/>
        <v>76</v>
      </c>
      <c r="E113" s="6"/>
      <c r="F113" s="6"/>
      <c r="L113" s="14"/>
      <c r="M113" s="6"/>
      <c r="N113" s="6"/>
    </row>
    <row r="114" spans="2:14" outlineLevel="1" x14ac:dyDescent="0.2">
      <c r="C114" s="12">
        <f t="shared" si="3"/>
        <v>1300</v>
      </c>
      <c r="D114" s="12">
        <f t="shared" si="2"/>
        <v>79</v>
      </c>
      <c r="E114" s="6"/>
      <c r="F114" s="6"/>
      <c r="L114" s="14"/>
      <c r="M114" s="6"/>
      <c r="N114" s="6"/>
    </row>
    <row r="115" spans="2:14" outlineLevel="1" x14ac:dyDescent="0.2">
      <c r="C115" s="12">
        <f t="shared" si="3"/>
        <v>1400</v>
      </c>
      <c r="D115" s="12">
        <f t="shared" si="2"/>
        <v>82</v>
      </c>
      <c r="E115" s="6"/>
      <c r="F115" s="6"/>
      <c r="L115" s="14"/>
      <c r="M115" s="6"/>
      <c r="N115" s="6"/>
    </row>
    <row r="116" spans="2:14" outlineLevel="1" x14ac:dyDescent="0.2">
      <c r="B116" t="s">
        <v>31</v>
      </c>
      <c r="C116" s="12">
        <f t="shared" si="3"/>
        <v>1500</v>
      </c>
      <c r="D116" s="12">
        <f t="shared" si="2"/>
        <v>85</v>
      </c>
      <c r="E116" s="6"/>
      <c r="F116" s="14"/>
      <c r="G116" s="14"/>
      <c r="H116" s="15"/>
      <c r="I116" s="15"/>
      <c r="J116" s="15"/>
      <c r="K116" s="15"/>
      <c r="L116" s="16"/>
      <c r="M116" s="6"/>
      <c r="N116" s="14"/>
    </row>
    <row r="117" spans="2:14" outlineLevel="1" x14ac:dyDescent="0.2">
      <c r="C117" s="12">
        <f t="shared" si="3"/>
        <v>1600</v>
      </c>
      <c r="D117" s="12">
        <f t="shared" si="2"/>
        <v>88</v>
      </c>
      <c r="E117" s="6"/>
      <c r="F117" s="14"/>
      <c r="G117" s="6"/>
      <c r="M117" s="6"/>
    </row>
    <row r="118" spans="2:14" outlineLevel="1" x14ac:dyDescent="0.2">
      <c r="C118" s="12">
        <f t="shared" si="3"/>
        <v>1700</v>
      </c>
      <c r="D118" s="12">
        <f t="shared" si="2"/>
        <v>91</v>
      </c>
      <c r="E118" s="6"/>
      <c r="F118" s="14"/>
      <c r="M118" s="6"/>
    </row>
    <row r="119" spans="2:14" outlineLevel="1" x14ac:dyDescent="0.2">
      <c r="C119" s="12">
        <f t="shared" si="3"/>
        <v>1800</v>
      </c>
      <c r="D119" s="12">
        <f t="shared" si="2"/>
        <v>94</v>
      </c>
      <c r="E119" s="6"/>
      <c r="F119" s="14"/>
      <c r="M119" s="6"/>
    </row>
    <row r="120" spans="2:14" outlineLevel="1" x14ac:dyDescent="0.2">
      <c r="C120" s="12">
        <f t="shared" si="3"/>
        <v>1900</v>
      </c>
      <c r="D120" s="12">
        <f t="shared" si="2"/>
        <v>97</v>
      </c>
      <c r="E120" s="6"/>
      <c r="F120" s="14"/>
      <c r="M120" s="6"/>
    </row>
    <row r="121" spans="2:14" outlineLevel="1" x14ac:dyDescent="0.2">
      <c r="C121" s="12">
        <f t="shared" si="3"/>
        <v>2000</v>
      </c>
      <c r="D121" s="12">
        <f>Tres_</f>
        <v>100</v>
      </c>
      <c r="E121" s="6"/>
      <c r="F121" s="13">
        <f>Pwf1_</f>
        <v>30</v>
      </c>
      <c r="M121" s="6"/>
    </row>
    <row r="122" spans="2:14" outlineLevel="1" x14ac:dyDescent="0.2"/>
    <row r="123" spans="2:14" outlineLevel="1" x14ac:dyDescent="0.2"/>
    <row r="183" spans="12:12" x14ac:dyDescent="0.2">
      <c r="L183" t="s">
        <v>16</v>
      </c>
    </row>
    <row r="194" spans="12:12" x14ac:dyDescent="0.2">
      <c r="L194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F352-85FA-4FA9-88F4-D9625BE39D7B}">
  <sheetPr codeName="Worksheet_well1">
    <outlinePr summaryBelow="0"/>
  </sheetPr>
  <dimension ref="A1:P194"/>
  <sheetViews>
    <sheetView tabSelected="1" topLeftCell="A6" zoomScale="70" zoomScaleNormal="70" workbookViewId="0">
      <selection activeCell="C19" sqref="C19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1" width="11.28515625" customWidth="1"/>
    <col min="12" max="12" width="10.140625" customWidth="1"/>
    <col min="13" max="13" width="11.5703125" bestFit="1" customWidth="1"/>
  </cols>
  <sheetData>
    <row r="1" spans="1:7" x14ac:dyDescent="0.2">
      <c r="A1" s="1" t="s">
        <v>37</v>
      </c>
      <c r="F1" t="s">
        <v>38</v>
      </c>
      <c r="G1" t="str">
        <f>[1]!getUFVersion()</f>
        <v>7.7</v>
      </c>
    </row>
    <row r="2" spans="1:7" x14ac:dyDescent="0.2">
      <c r="A2" t="s">
        <v>39</v>
      </c>
    </row>
    <row r="6" spans="1:7" x14ac:dyDescent="0.2">
      <c r="A6" s="1" t="s">
        <v>17</v>
      </c>
    </row>
    <row r="7" spans="1:7" ht="18.75" outlineLevel="1" x14ac:dyDescent="0.35">
      <c r="B7" s="17" t="s">
        <v>40</v>
      </c>
      <c r="C7" s="2">
        <v>0.87</v>
      </c>
      <c r="D7" s="18"/>
      <c r="E7" s="19">
        <f>gamma_oil_*1000</f>
        <v>870</v>
      </c>
      <c r="F7" s="20" t="s">
        <v>41</v>
      </c>
    </row>
    <row r="8" spans="1:7" ht="18.75" outlineLevel="1" x14ac:dyDescent="0.35">
      <c r="B8" s="20" t="s">
        <v>42</v>
      </c>
      <c r="C8" s="2">
        <v>1</v>
      </c>
      <c r="D8" s="18"/>
      <c r="E8" s="19">
        <f>gamma_wat_*1000</f>
        <v>1000</v>
      </c>
      <c r="F8" s="20" t="s">
        <v>41</v>
      </c>
    </row>
    <row r="9" spans="1:7" ht="18.75" outlineLevel="1" x14ac:dyDescent="0.35">
      <c r="B9" s="20" t="s">
        <v>43</v>
      </c>
      <c r="C9" s="2">
        <v>0.8</v>
      </c>
      <c r="D9" s="18"/>
      <c r="E9" s="19">
        <f>gamma_gas_*1.22</f>
        <v>0.97599999999999998</v>
      </c>
      <c r="F9" s="20" t="s">
        <v>41</v>
      </c>
    </row>
    <row r="10" spans="1:7" ht="18.75" outlineLevel="1" x14ac:dyDescent="0.35">
      <c r="B10" s="21" t="s">
        <v>44</v>
      </c>
      <c r="C10" s="2">
        <v>200</v>
      </c>
      <c r="D10" s="20" t="s">
        <v>45</v>
      </c>
      <c r="E10" s="22">
        <f>Rsb_/gamma_oil_</f>
        <v>229.88505747126436</v>
      </c>
      <c r="F10" s="20" t="s">
        <v>46</v>
      </c>
    </row>
    <row r="11" spans="1:7" ht="18.75" outlineLevel="1" x14ac:dyDescent="0.35">
      <c r="B11" s="21" t="s">
        <v>47</v>
      </c>
      <c r="C11" s="2">
        <v>200</v>
      </c>
      <c r="D11" s="20" t="s">
        <v>45</v>
      </c>
      <c r="E11" s="22">
        <f>Rsb_/gamma_oil_</f>
        <v>229.88505747126436</v>
      </c>
      <c r="F11" s="20" t="s">
        <v>46</v>
      </c>
    </row>
    <row r="12" spans="1:7" ht="18" outlineLevel="1" x14ac:dyDescent="0.35">
      <c r="B12" s="20" t="s">
        <v>48</v>
      </c>
      <c r="C12" s="2">
        <v>130</v>
      </c>
      <c r="D12" s="18" t="s">
        <v>49</v>
      </c>
      <c r="E12" s="22">
        <f>Pb_*1.01325</f>
        <v>131.7225</v>
      </c>
      <c r="F12" s="18" t="s">
        <v>50</v>
      </c>
    </row>
    <row r="13" spans="1:7" ht="18" outlineLevel="1" x14ac:dyDescent="0.35">
      <c r="B13" s="20" t="s">
        <v>51</v>
      </c>
      <c r="C13" s="2">
        <v>100</v>
      </c>
      <c r="D13" s="18" t="s">
        <v>3</v>
      </c>
      <c r="E13" s="22">
        <f>Tres_*9/5+32</f>
        <v>212</v>
      </c>
      <c r="F13" s="18" t="s">
        <v>52</v>
      </c>
    </row>
    <row r="14" spans="1:7" ht="18.75" outlineLevel="1" x14ac:dyDescent="0.35">
      <c r="B14" s="21" t="s">
        <v>53</v>
      </c>
      <c r="C14" s="2">
        <v>1.2</v>
      </c>
      <c r="D14" s="20" t="s">
        <v>45</v>
      </c>
    </row>
    <row r="15" spans="1:7" ht="18" x14ac:dyDescent="0.35">
      <c r="B15" s="28" t="s">
        <v>82</v>
      </c>
      <c r="C15" s="2">
        <v>5</v>
      </c>
      <c r="D15" s="20" t="s">
        <v>83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23" t="s">
        <v>54</v>
      </c>
      <c r="C18" s="2">
        <v>3357</v>
      </c>
      <c r="D18" s="24" t="s">
        <v>5</v>
      </c>
    </row>
    <row r="19" spans="1:4" ht="15.75" outlineLevel="1" x14ac:dyDescent="0.3">
      <c r="B19" s="23" t="s">
        <v>55</v>
      </c>
      <c r="C19" s="2">
        <v>0</v>
      </c>
      <c r="D19" s="24" t="s">
        <v>5</v>
      </c>
    </row>
    <row r="20" spans="1:4" ht="15.75" outlineLevel="1" x14ac:dyDescent="0.3">
      <c r="B20" s="23" t="s">
        <v>56</v>
      </c>
      <c r="C20" s="2">
        <v>1500</v>
      </c>
      <c r="D20" s="24" t="s">
        <v>5</v>
      </c>
    </row>
    <row r="21" spans="1:4" ht="15.75" outlineLevel="1" x14ac:dyDescent="0.3">
      <c r="B21" s="23" t="s">
        <v>57</v>
      </c>
      <c r="C21" s="2">
        <v>125</v>
      </c>
      <c r="D21" s="24" t="s">
        <v>6</v>
      </c>
    </row>
    <row r="22" spans="1:4" ht="15.75" outlineLevel="1" x14ac:dyDescent="0.3">
      <c r="B22" s="23" t="s">
        <v>58</v>
      </c>
      <c r="C22" s="2">
        <v>73</v>
      </c>
      <c r="D22" s="24" t="s">
        <v>6</v>
      </c>
    </row>
    <row r="23" spans="1:4" ht="15" outlineLevel="1" x14ac:dyDescent="0.25">
      <c r="B23" s="30" t="s">
        <v>84</v>
      </c>
      <c r="C23" s="2">
        <v>90</v>
      </c>
      <c r="D23" s="20" t="s">
        <v>85</v>
      </c>
    </row>
    <row r="24" spans="1:4" ht="15.75" outlineLevel="1" x14ac:dyDescent="0.3">
      <c r="B24" s="23" t="s">
        <v>59</v>
      </c>
      <c r="C24" s="2">
        <f>Dtub_out_-10</f>
        <v>63</v>
      </c>
      <c r="D24" s="24" t="s">
        <v>6</v>
      </c>
    </row>
    <row r="25" spans="1:4" ht="15.75" outlineLevel="1" x14ac:dyDescent="0.3">
      <c r="B25" s="23" t="s">
        <v>60</v>
      </c>
      <c r="C25" s="2">
        <v>100</v>
      </c>
      <c r="D25" s="24" t="s">
        <v>6</v>
      </c>
    </row>
    <row r="26" spans="1:4" ht="15.75" outlineLevel="1" x14ac:dyDescent="0.3">
      <c r="B26" s="23" t="s">
        <v>61</v>
      </c>
      <c r="C26" s="2">
        <v>20</v>
      </c>
      <c r="D26" s="24" t="s">
        <v>2</v>
      </c>
    </row>
    <row r="27" spans="1:4" ht="15.75" outlineLevel="1" x14ac:dyDescent="0.3">
      <c r="B27" s="23" t="s">
        <v>62</v>
      </c>
      <c r="C27" s="2" t="e">
        <f>PKsep</f>
        <v>#VALUE!</v>
      </c>
      <c r="D27" s="24" t="s">
        <v>2</v>
      </c>
    </row>
    <row r="28" spans="1:4" ht="15.75" outlineLevel="1" x14ac:dyDescent="0.3">
      <c r="B28" s="23" t="s">
        <v>63</v>
      </c>
      <c r="C28" s="2">
        <f>TKsep</f>
        <v>74.822500000000005</v>
      </c>
      <c r="D28" s="24" t="s">
        <v>3</v>
      </c>
    </row>
    <row r="29" spans="1:4" ht="15.75" outlineLevel="1" x14ac:dyDescent="0.3">
      <c r="B29" s="23" t="s">
        <v>64</v>
      </c>
      <c r="C29" s="2">
        <v>150</v>
      </c>
      <c r="D29" s="24" t="s">
        <v>2</v>
      </c>
    </row>
    <row r="30" spans="1:4" outlineLevel="1" x14ac:dyDescent="0.2">
      <c r="B30" s="23" t="s">
        <v>94</v>
      </c>
      <c r="C30" s="2">
        <v>100</v>
      </c>
      <c r="D30" s="24" t="s">
        <v>7</v>
      </c>
    </row>
    <row r="31" spans="1:4" ht="15.75" outlineLevel="1" x14ac:dyDescent="0.3">
      <c r="B31" s="23" t="s">
        <v>65</v>
      </c>
      <c r="C31" s="2">
        <v>75</v>
      </c>
      <c r="D31" s="24" t="s">
        <v>2</v>
      </c>
    </row>
    <row r="32" spans="1:4" ht="15.75" x14ac:dyDescent="0.3">
      <c r="B32" s="23" t="s">
        <v>66</v>
      </c>
      <c r="C32" s="2">
        <f>Q_total_*k_split_liquid</f>
        <v>65</v>
      </c>
      <c r="D32" s="24" t="s">
        <v>7</v>
      </c>
    </row>
    <row r="33" spans="1:7" ht="15.75" x14ac:dyDescent="0.3">
      <c r="B33" s="23" t="s">
        <v>67</v>
      </c>
      <c r="C33" s="2">
        <v>0</v>
      </c>
      <c r="D33" s="24" t="s">
        <v>4</v>
      </c>
    </row>
    <row r="34" spans="1:7" ht="15.75" x14ac:dyDescent="0.3">
      <c r="B34" s="23" t="s">
        <v>86</v>
      </c>
      <c r="C34" s="2">
        <f>Q_total_*(1-k_split_liquid)</f>
        <v>35</v>
      </c>
      <c r="D34" s="24" t="s">
        <v>7</v>
      </c>
    </row>
    <row r="35" spans="1:7" x14ac:dyDescent="0.2">
      <c r="B35" s="23" t="s">
        <v>87</v>
      </c>
      <c r="C35" s="45">
        <f>Dcas_-Dtub_out_</f>
        <v>52</v>
      </c>
      <c r="D35" s="24"/>
      <c r="E35" t="s">
        <v>89</v>
      </c>
    </row>
    <row r="36" spans="1:7" outlineLevel="1" x14ac:dyDescent="0.2"/>
    <row r="37" spans="1:7" outlineLevel="1" x14ac:dyDescent="0.2">
      <c r="A37" s="1" t="s">
        <v>19</v>
      </c>
    </row>
    <row r="38" spans="1:7" ht="15.75" outlineLevel="1" x14ac:dyDescent="0.3">
      <c r="B38" s="24" t="s">
        <v>68</v>
      </c>
      <c r="C38" s="2">
        <v>100</v>
      </c>
      <c r="D38" s="24" t="s">
        <v>7</v>
      </c>
    </row>
    <row r="39" spans="1:7" ht="15.75" outlineLevel="1" x14ac:dyDescent="0.3">
      <c r="B39" s="24" t="s">
        <v>69</v>
      </c>
      <c r="C39" s="2">
        <v>2000</v>
      </c>
      <c r="D39" s="24" t="s">
        <v>8</v>
      </c>
    </row>
    <row r="40" spans="1:7" outlineLevel="1" x14ac:dyDescent="0.2">
      <c r="B40" s="24" t="s">
        <v>70</v>
      </c>
      <c r="C40" s="2">
        <v>50</v>
      </c>
      <c r="D40" s="24" t="s">
        <v>9</v>
      </c>
    </row>
    <row r="41" spans="1:7" outlineLevel="1" x14ac:dyDescent="0.2">
      <c r="B41" s="24" t="s">
        <v>71</v>
      </c>
      <c r="C41" s="19">
        <f>[1]!ESP_id_by_rate(Q_ESP_)</f>
        <v>737</v>
      </c>
      <c r="D41" s="24"/>
      <c r="G41" s="25" t="s">
        <v>72</v>
      </c>
    </row>
    <row r="42" spans="1:7" outlineLevel="1" x14ac:dyDescent="0.2">
      <c r="B42" s="24" t="s">
        <v>73</v>
      </c>
      <c r="C42" s="19" t="str">
        <f>[1]!ESP_name(C41)</f>
        <v>ВНН5-125</v>
      </c>
      <c r="D42" s="24"/>
      <c r="G42" s="26" t="e">
        <f>[1]!PVT_encode_string(gamma_gas_,gamma_oil_,gamma_wat_,Rsb_,Rp_,Pb_,Tres_,Bob_,mu_,,KsepGasSep_,PKsep,TKsep)</f>
        <v>#VALUE!</v>
      </c>
    </row>
    <row r="43" spans="1:7" ht="15.75" outlineLevel="1" x14ac:dyDescent="0.3">
      <c r="B43" s="24" t="s">
        <v>74</v>
      </c>
      <c r="C43" s="19">
        <f>[1]!esp_max_rate_m3day(Freq_,PumpID_)*1</f>
        <v>230</v>
      </c>
      <c r="D43" s="24"/>
    </row>
    <row r="44" spans="1:7" x14ac:dyDescent="0.2">
      <c r="B44" s="24" t="s">
        <v>20</v>
      </c>
      <c r="C44" s="19">
        <f>INT(Head_ESP_/[1]!ESP_head_m(Q_ESP_,1,,PumpID_))</f>
        <v>312</v>
      </c>
      <c r="D44" s="24" t="s">
        <v>10</v>
      </c>
      <c r="G44" s="25" t="s">
        <v>75</v>
      </c>
    </row>
    <row r="45" spans="1:7" ht="15.75" x14ac:dyDescent="0.3">
      <c r="B45" s="24" t="s">
        <v>76</v>
      </c>
      <c r="C45" s="5">
        <v>0.95</v>
      </c>
      <c r="D45" s="24"/>
      <c r="G45" s="26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</row>
    <row r="46" spans="1:7" ht="15.75" x14ac:dyDescent="0.3">
      <c r="B46" s="24" t="s">
        <v>77</v>
      </c>
      <c r="C46" s="8" t="e">
        <f>F81</f>
        <v>#VALUE!</v>
      </c>
      <c r="D46" s="24" t="s">
        <v>2</v>
      </c>
    </row>
    <row r="47" spans="1:7" ht="15.75" x14ac:dyDescent="0.3">
      <c r="B47" s="24" t="s">
        <v>78</v>
      </c>
      <c r="C47" s="8">
        <f>D81</f>
        <v>74.822500000000005</v>
      </c>
      <c r="D47" s="24" t="s">
        <v>3</v>
      </c>
      <c r="G47" s="25" t="s">
        <v>72</v>
      </c>
    </row>
    <row r="48" spans="1:7" x14ac:dyDescent="0.2">
      <c r="G48" s="26" t="str">
        <f>[1]!PVT_encode_string(gamma_gas_,gamma_oil_,gamma_wat_,Rsb_,Rp_,Pb_,Tres_,Bob_,mu_)</f>
        <v>gamma_gas:0,800;gamma_oil:0,870;gamma_wat:1,000;rsb_m3m3:200,000;rp_m3m3:200,000;pb_atma:130,000;tres_C:100,000;bob_m3m3:1,200;muob_cP:5,000;PVTcorr:0;ksep_fr:0,000;pksep_atma:-1,000;tksep_C:-1,000;</v>
      </c>
    </row>
    <row r="49" spans="1:12" x14ac:dyDescent="0.2">
      <c r="A49" s="1" t="s">
        <v>21</v>
      </c>
    </row>
    <row r="50" spans="1:12" ht="15.75" x14ac:dyDescent="0.3">
      <c r="B50" s="24" t="s">
        <v>79</v>
      </c>
      <c r="C50" s="2">
        <v>250</v>
      </c>
      <c r="D50" s="24" t="s">
        <v>2</v>
      </c>
    </row>
    <row r="51" spans="1:12" x14ac:dyDescent="0.2">
      <c r="B51" s="24" t="s">
        <v>80</v>
      </c>
      <c r="C51" s="27">
        <f>[1]!IPR_PI_sm3dayatm(Q_,Pwf_,Pres_,fw_,Pb_)</f>
        <v>0.39475733194913054</v>
      </c>
      <c r="D51" s="24" t="s">
        <v>11</v>
      </c>
    </row>
    <row r="52" spans="1:12" x14ac:dyDescent="0.2">
      <c r="B52" s="24" t="s">
        <v>81</v>
      </c>
      <c r="C52" s="2">
        <v>3</v>
      </c>
      <c r="D52" s="24" t="s">
        <v>12</v>
      </c>
    </row>
    <row r="53" spans="1:12" x14ac:dyDescent="0.2">
      <c r="B53" s="29"/>
      <c r="C53" s="29"/>
      <c r="D53" s="29"/>
    </row>
    <row r="55" spans="1:12" x14ac:dyDescent="0.2">
      <c r="B55" s="18" t="s">
        <v>13</v>
      </c>
      <c r="C55" s="2">
        <v>20</v>
      </c>
      <c r="D55" s="18"/>
    </row>
    <row r="59" spans="1:12" outlineLevel="1" x14ac:dyDescent="0.2"/>
    <row r="60" spans="1:12" x14ac:dyDescent="0.2">
      <c r="A60" t="s">
        <v>36</v>
      </c>
    </row>
    <row r="61" spans="1:12" outlineLevel="1" x14ac:dyDescent="0.2">
      <c r="A61" t="s">
        <v>25</v>
      </c>
    </row>
    <row r="62" spans="1:12" outlineLevel="1" x14ac:dyDescent="0.2"/>
    <row r="63" spans="1:12" outlineLevel="1" x14ac:dyDescent="0.2">
      <c r="C63" t="s">
        <v>26</v>
      </c>
      <c r="D63" s="9">
        <v>0.5</v>
      </c>
      <c r="G63" t="s">
        <v>95</v>
      </c>
      <c r="L63" s="46">
        <v>0.65</v>
      </c>
    </row>
    <row r="64" spans="1:12" outlineLevel="1" x14ac:dyDescent="0.2"/>
    <row r="65" spans="3:16" ht="63.75" outlineLevel="1" x14ac:dyDescent="0.2">
      <c r="C65" s="32" t="s">
        <v>15</v>
      </c>
      <c r="D65" s="32" t="s">
        <v>14</v>
      </c>
      <c r="E65" s="11"/>
      <c r="F65" s="31" t="s">
        <v>24</v>
      </c>
      <c r="G65" s="31" t="s">
        <v>34</v>
      </c>
      <c r="H65" s="31" t="s">
        <v>23</v>
      </c>
      <c r="I65" s="36" t="s">
        <v>22</v>
      </c>
      <c r="J65" s="31" t="s">
        <v>27</v>
      </c>
      <c r="K65" s="31" t="s">
        <v>91</v>
      </c>
      <c r="L65" s="38" t="s">
        <v>26</v>
      </c>
      <c r="M65" s="31" t="s">
        <v>93</v>
      </c>
      <c r="N65" s="31" t="s">
        <v>92</v>
      </c>
      <c r="O65" s="31" t="s">
        <v>90</v>
      </c>
      <c r="P65" s="31" t="s">
        <v>88</v>
      </c>
    </row>
    <row r="66" spans="3:16" outlineLevel="1" x14ac:dyDescent="0.2">
      <c r="C66" s="33">
        <v>0</v>
      </c>
      <c r="D66" s="33">
        <f t="shared" ref="D66:D85" si="0">D67-Tgrad*(C67-C66)/100</f>
        <v>-0.70999999999999019</v>
      </c>
      <c r="F66" s="27" t="e">
        <f>[1]!MF_p_pipe_atma(Q_,fw_,C67,C66,F67,PVT_str_,theta_,Dtub_,,D67,D66)</f>
        <v>#VALUE!</v>
      </c>
      <c r="I66" s="6"/>
      <c r="J66" s="39">
        <f>Pbuf_</f>
        <v>20</v>
      </c>
      <c r="K66" s="43" t="e">
        <f>[1]!MF_p_pipe_atma(Q_,fw_,C67,C66,K67,PVT_str_,theta_,Dtub_,1,D67,D66)</f>
        <v>#VALUE!</v>
      </c>
      <c r="O66" s="6" t="e">
        <f>[1]!MF_p_pipe_atma(Q_annular_,fw_,C67,C66,O67,PVT_str_annular_,theta_,d_annular_pr,1,D67,D66)</f>
        <v>#VALUE!</v>
      </c>
      <c r="P66" s="6">
        <v>1</v>
      </c>
    </row>
    <row r="67" spans="3:16" outlineLevel="1" x14ac:dyDescent="0.2">
      <c r="C67" s="33">
        <f t="shared" ref="C67:C86" si="1">C66+Hmes_/N_</f>
        <v>167.85</v>
      </c>
      <c r="D67" s="33">
        <f t="shared" si="0"/>
        <v>4.3255000000000097</v>
      </c>
      <c r="F67" s="27" t="e">
        <f>[1]!MF_p_pipe_atma(Q_,fw_,C68,C67,F68,PVT_str_,theta_,Dtub_,,D68,D67)</f>
        <v>#VALUE!</v>
      </c>
      <c r="I67" s="6"/>
      <c r="J67" s="27" t="e">
        <f>[1]!MF_p_pipe_atma(Q_,fw_,C66,C67,J66,PVT_str_,theta_,Dtub_,1,D66,D67)</f>
        <v>#VALUE!</v>
      </c>
      <c r="K67" s="43" t="e">
        <f>[1]!MF_p_pipe_atma(Q_,fw_,C68,C67,K68,PVT_str_,theta_,Dtub_,1,D68,D67)</f>
        <v>#VALUE!</v>
      </c>
      <c r="O67" s="6" t="e">
        <f>[1]!MF_p_pipe_atma(Q_annular_,fw_,C68,C67,O68,PVT_str_annular_,theta_,d_annular_pr,1,D68,D67)</f>
        <v>#VALUE!</v>
      </c>
      <c r="P67" s="6" t="e">
        <f>[1]!MF_p_pipe_atma(Q_annular_,fw_,C66,C67,P66,PVT_str_,theta_,d_annular_pr,1,D66,D67)</f>
        <v>#VALUE!</v>
      </c>
    </row>
    <row r="68" spans="3:16" outlineLevel="1" x14ac:dyDescent="0.2">
      <c r="C68" s="33">
        <f t="shared" si="1"/>
        <v>335.7</v>
      </c>
      <c r="D68" s="33">
        <f t="shared" si="0"/>
        <v>9.3610000000000095</v>
      </c>
      <c r="F68" s="27" t="e">
        <f>[1]!MF_p_pipe_atma(Q_,fw_,C69,C68,F69,PVT_str_,theta_,Dtub_,,D69,D68)</f>
        <v>#VALUE!</v>
      </c>
      <c r="I68" s="6"/>
      <c r="J68" s="27" t="e">
        <f>[1]!MF_p_pipe_atma(Q_,fw_,C67,C68,J67,PVT_str_,theta_,Dtub_,1,D67,D68)</f>
        <v>#VALUE!</v>
      </c>
      <c r="K68" s="43" t="e">
        <f>[1]!MF_p_pipe_atma(Q_,fw_,C69,C68,K69,PVT_str_,theta_,Dtub_,1,D69,D68)</f>
        <v>#VALUE!</v>
      </c>
      <c r="O68" s="6" t="e">
        <f>[1]!MF_p_pipe_atma(Q_annular_,fw_,C69,C68,O69,PVT_str_annular_,theta_,d_annular_pr,1,D69,D68)</f>
        <v>#VALUE!</v>
      </c>
      <c r="P68" s="6" t="e">
        <f>[1]!MF_p_pipe_atma(Q_annular_,fw_,C67,C68,P67,PVT_str_,theta_,d_annular_pr,1,D67,D68)</f>
        <v>#VALUE!</v>
      </c>
    </row>
    <row r="69" spans="3:16" outlineLevel="1" x14ac:dyDescent="0.2">
      <c r="C69" s="33">
        <f t="shared" si="1"/>
        <v>503.54999999999995</v>
      </c>
      <c r="D69" s="33">
        <f t="shared" si="0"/>
        <v>14.396500000000009</v>
      </c>
      <c r="F69" s="27" t="e">
        <f>[1]!MF_p_pipe_atma(Q_,fw_,C70,C69,F70,PVT_str_,theta_,Dtub_,,D70,D69)</f>
        <v>#VALUE!</v>
      </c>
      <c r="I69" s="6"/>
      <c r="J69" s="27" t="e">
        <f>[1]!MF_p_pipe_atma(Q_,fw_,C68,C69,J68,PVT_str_,theta_,Dtub_,1,D68,D69)</f>
        <v>#VALUE!</v>
      </c>
      <c r="K69" s="43" t="e">
        <f>[1]!MF_p_pipe_atma(Q_,fw_,C70,C69,K70,PVT_str_,theta_,Dtub_,1,D70,D69)</f>
        <v>#VALUE!</v>
      </c>
      <c r="O69" s="6" t="e">
        <f>[1]!MF_p_pipe_atma(Q_annular_,fw_,C70,C69,O70,PVT_str_annular_,theta_,d_annular_pr,1,D70,D69)</f>
        <v>#VALUE!</v>
      </c>
      <c r="P69" s="6" t="e">
        <f>[1]!MF_p_pipe_atma(Q_annular_,fw_,C68,C69,P68,PVT_str_,theta_,d_annular_pr,1,D68,D69)</f>
        <v>#VALUE!</v>
      </c>
    </row>
    <row r="70" spans="3:16" outlineLevel="1" x14ac:dyDescent="0.2">
      <c r="C70" s="33">
        <f t="shared" si="1"/>
        <v>671.4</v>
      </c>
      <c r="D70" s="33">
        <f t="shared" si="0"/>
        <v>19.432000000000009</v>
      </c>
      <c r="F70" s="27" t="e">
        <f>[1]!MF_p_pipe_atma(Q_,fw_,C71,C70,F71,PVT_str_,theta_,Dtub_,,D71,D70)</f>
        <v>#VALUE!</v>
      </c>
      <c r="I70" s="6"/>
      <c r="J70" s="27" t="e">
        <f>[1]!MF_p_pipe_atma(Q_,fw_,C69,C70,J69,PVT_str_,theta_,Dtub_,1,D69,D70)</f>
        <v>#VALUE!</v>
      </c>
      <c r="K70" s="43" t="e">
        <f>[1]!MF_p_pipe_atma(Q_,fw_,C71,C70,K71,PVT_str_,theta_,Dtub_,1,D71,D70)</f>
        <v>#VALUE!</v>
      </c>
      <c r="O70" s="6" t="e">
        <f>[1]!MF_p_pipe_atma(Q_annular_,fw_,C71,C70,O71,PVT_str_annular_,theta_,d_annular_pr,1,D71,D70)</f>
        <v>#VALUE!</v>
      </c>
      <c r="P70" s="6" t="e">
        <f>[1]!MF_p_pipe_atma(Q_annular_,fw_,C69,C70,P69,PVT_str_,theta_,d_annular_pr,1,D69,D70)</f>
        <v>#VALUE!</v>
      </c>
    </row>
    <row r="71" spans="3:16" outlineLevel="1" x14ac:dyDescent="0.2">
      <c r="C71" s="33">
        <f t="shared" si="1"/>
        <v>839.25</v>
      </c>
      <c r="D71" s="33">
        <f t="shared" si="0"/>
        <v>24.467500000000008</v>
      </c>
      <c r="F71" s="27" t="e">
        <f>[1]!MF_p_pipe_atma(Q_,fw_,C72,C71,F72,PVT_str_,theta_,Dtub_,,D72,D71)</f>
        <v>#VALUE!</v>
      </c>
      <c r="I71" s="6"/>
      <c r="J71" s="27" t="e">
        <f>[1]!MF_p_pipe_atma(Q_,fw_,C70,C71,J70,PVT_str_,theta_,Dtub_,1,D70,D71)</f>
        <v>#VALUE!</v>
      </c>
      <c r="K71" s="43" t="e">
        <f>[1]!MF_p_pipe_atma(Q_,fw_,C72,C71,K72,PVT_str_,theta_,Dtub_,1,D72,D71)</f>
        <v>#VALUE!</v>
      </c>
      <c r="O71" s="6" t="e">
        <f>[1]!MF_p_pipe_atma(Q_annular_,fw_,C72,C71,O72,PVT_str_annular_,theta_,d_annular_pr,1,D72,D71)</f>
        <v>#VALUE!</v>
      </c>
      <c r="P71" s="6" t="e">
        <f>[1]!MF_p_pipe_atma(Q_annular_,fw_,C70,C71,P70,PVT_str_,theta_,d_annular_pr,1,D70,D71)</f>
        <v>#VALUE!</v>
      </c>
    </row>
    <row r="72" spans="3:16" outlineLevel="1" x14ac:dyDescent="0.2">
      <c r="C72" s="33">
        <f t="shared" si="1"/>
        <v>1007.1</v>
      </c>
      <c r="D72" s="33">
        <f t="shared" si="0"/>
        <v>29.503000000000007</v>
      </c>
      <c r="F72" s="27" t="e">
        <f>[1]!MF_p_pipe_atma(Q_,fw_,C73,C72,F73,PVT_str_,theta_,Dtub_,,D73,D72)</f>
        <v>#VALUE!</v>
      </c>
      <c r="I72" s="6"/>
      <c r="J72" s="27" t="e">
        <f>[1]!MF_p_pipe_atma(Q_,fw_,C71,C72,J71,PVT_str_,theta_,Dtub_,1,D71,D72)</f>
        <v>#VALUE!</v>
      </c>
      <c r="K72" s="43" t="e">
        <f>[1]!MF_p_pipe_atma(Q_,fw_,C73,C72,K73,PVT_str_,theta_,Dtub_,1,D73,D72)</f>
        <v>#VALUE!</v>
      </c>
      <c r="O72" s="6" t="e">
        <f>[1]!MF_p_pipe_atma(Q_annular_,fw_,C73,C72,O73,PVT_str_annular_,theta_,d_annular_pr,1,D73,D72)</f>
        <v>#VALUE!</v>
      </c>
      <c r="P72" s="6" t="e">
        <f>[1]!MF_p_pipe_atma(Q_annular_,fw_,C71,C72,P71,PVT_str_,theta_,d_annular_pr,1,D71,D72)</f>
        <v>#VALUE!</v>
      </c>
    </row>
    <row r="73" spans="3:16" outlineLevel="1" x14ac:dyDescent="0.2">
      <c r="C73" s="33">
        <f t="shared" si="1"/>
        <v>1174.95</v>
      </c>
      <c r="D73" s="33">
        <f t="shared" si="0"/>
        <v>34.538500000000006</v>
      </c>
      <c r="F73" s="27" t="e">
        <f>[1]!MF_p_pipe_atma(Q_,fw_,C74,C73,F74,PVT_str_,theta_,Dtub_,,D74,D73)</f>
        <v>#VALUE!</v>
      </c>
      <c r="I73" s="6"/>
      <c r="J73" s="27" t="e">
        <f>[1]!MF_p_pipe_atma(Q_,fw_,C72,C73,J72,PVT_str_,theta_,Dtub_,1,D72,D73)</f>
        <v>#VALUE!</v>
      </c>
      <c r="K73" s="43" t="e">
        <f>[1]!MF_p_pipe_atma(Q_,fw_,C74,C73,K74,PVT_str_,theta_,Dtub_,1,D74,D73)</f>
        <v>#VALUE!</v>
      </c>
      <c r="O73" s="6" t="e">
        <f>[1]!MF_p_pipe_atma(Q_annular_,fw_,C74,C73,O74,PVT_str_annular_,theta_,d_annular_pr,1,D74,D73)</f>
        <v>#VALUE!</v>
      </c>
      <c r="P73" s="6" t="e">
        <f>[1]!MF_p_pipe_atma(Q_annular_,fw_,C72,C73,P72,PVT_str_,theta_,d_annular_pr,1,D72,D73)</f>
        <v>#VALUE!</v>
      </c>
    </row>
    <row r="74" spans="3:16" outlineLevel="1" x14ac:dyDescent="0.2">
      <c r="C74" s="33">
        <f t="shared" si="1"/>
        <v>1342.8</v>
      </c>
      <c r="D74" s="33">
        <f t="shared" si="0"/>
        <v>39.574000000000005</v>
      </c>
      <c r="F74" s="27" t="e">
        <f>[1]!MF_p_pipe_atma(Q_,fw_,C75,C74,F75,PVT_str_,theta_,Dtub_,,D75,D74)</f>
        <v>#VALUE!</v>
      </c>
      <c r="I74" s="6"/>
      <c r="J74" s="27" t="e">
        <f>[1]!MF_p_pipe_atma(Q_,fw_,C73,C74,J73,PVT_str_,theta_,Dtub_,1,D73,D74)</f>
        <v>#VALUE!</v>
      </c>
      <c r="K74" s="43" t="e">
        <f>[1]!MF_p_pipe_atma(Q_,fw_,C75,C74,K75,PVT_str_,theta_,Dtub_,1,D75,D74)</f>
        <v>#VALUE!</v>
      </c>
      <c r="O74" s="6" t="e">
        <f>[1]!MF_p_pipe_atma(Q_annular_,fw_,C75,C74,O75,PVT_str_annular_,theta_,d_annular_pr,1,D75,D74)</f>
        <v>#VALUE!</v>
      </c>
      <c r="P74" s="6" t="e">
        <f>[1]!MF_p_pipe_atma(Q_annular_,fw_,C73,C74,P73,PVT_str_,theta_,d_annular_pr,1,D73,D74)</f>
        <v>#VALUE!</v>
      </c>
    </row>
    <row r="75" spans="3:16" outlineLevel="1" x14ac:dyDescent="0.2">
      <c r="C75" s="33">
        <f t="shared" si="1"/>
        <v>1510.6499999999999</v>
      </c>
      <c r="D75" s="33">
        <f t="shared" si="0"/>
        <v>44.609500000000004</v>
      </c>
      <c r="F75" s="27" t="e">
        <f>[1]!MF_p_pipe_atma(Q_,fw_,C76,C75,F76,PVT_str_,theta_,Dtub_,,D76,D75)</f>
        <v>#VALUE!</v>
      </c>
      <c r="I75" s="6"/>
      <c r="J75" s="27" t="e">
        <f>[1]!MF_p_pipe_atma(Q_,fw_,C74,C75,J74,PVT_str_,theta_,Dtub_,1,D74,D75)</f>
        <v>#VALUE!</v>
      </c>
      <c r="K75" s="43" t="e">
        <f>[1]!MF_p_pipe_atma(Q_,fw_,C76,C75,K76,PVT_str_,theta_,Dtub_,1,D76,D75)</f>
        <v>#VALUE!</v>
      </c>
      <c r="O75" s="6" t="e">
        <f>[1]!MF_p_pipe_atma(Q_annular_,fw_,C76,C75,O76,PVT_str_annular_,theta_,d_annular_pr,1,D76,D75)</f>
        <v>#VALUE!</v>
      </c>
      <c r="P75" s="6" t="e">
        <f>[1]!MF_p_pipe_atma(Q_annular_,fw_,C74,C75,P74,PVT_str_,theta_,d_annular_pr,1,D74,D75)</f>
        <v>#VALUE!</v>
      </c>
    </row>
    <row r="76" spans="3:16" outlineLevel="1" x14ac:dyDescent="0.2">
      <c r="C76" s="33">
        <f t="shared" si="1"/>
        <v>1678.4999999999998</v>
      </c>
      <c r="D76" s="33">
        <f t="shared" si="0"/>
        <v>49.645000000000003</v>
      </c>
      <c r="F76" s="27" t="e">
        <f>[1]!MF_p_pipe_atma(Q_,fw_,C77,C76,F77,PVT_str_,theta_,Dtub_,,D77,D76)</f>
        <v>#VALUE!</v>
      </c>
      <c r="I76" s="6"/>
      <c r="J76" s="27" t="e">
        <f>[1]!MF_p_pipe_atma(Q_,fw_,C75,C76,J75,PVT_str_,theta_,Dtub_,1,D75,D76)</f>
        <v>#VALUE!</v>
      </c>
      <c r="K76" s="43" t="e">
        <f>[1]!MF_p_pipe_atma(Q_,fw_,C77,C76,K77,PVT_str_,theta_,Dtub_,1,D77,D76)</f>
        <v>#VALUE!</v>
      </c>
      <c r="O76" s="6" t="e">
        <f>[1]!MF_p_pipe_atma(Q_annular_,fw_,C77,C76,O77,PVT_str_annular_,theta_,d_annular_pr,1,D77,D76)</f>
        <v>#VALUE!</v>
      </c>
      <c r="P76" s="6" t="e">
        <f>[1]!MF_p_pipe_atma(Q_annular_,fw_,C75,C76,P75,PVT_str_,theta_,d_annular_pr,1,D75,D76)</f>
        <v>#VALUE!</v>
      </c>
    </row>
    <row r="77" spans="3:16" outlineLevel="1" x14ac:dyDescent="0.2">
      <c r="C77" s="33">
        <f t="shared" si="1"/>
        <v>1846.3499999999997</v>
      </c>
      <c r="D77" s="33">
        <f t="shared" si="0"/>
        <v>54.680500000000002</v>
      </c>
      <c r="F77" s="27" t="e">
        <f>[1]!MF_p_pipe_atma(Q_,fw_,C78,C77,F78,PVT_str_,theta_,Dtub_,,D78,D77)</f>
        <v>#VALUE!</v>
      </c>
      <c r="I77" s="6"/>
      <c r="J77" s="27" t="e">
        <f>[1]!MF_p_pipe_atma(Q_,fw_,C76,C77,J76,PVT_str_,theta_,Dtub_,1,D76,D77)</f>
        <v>#VALUE!</v>
      </c>
      <c r="K77" s="43" t="e">
        <f>[1]!MF_p_pipe_atma(Q_,fw_,C78,C77,K78,PVT_str_,theta_,Dtub_,1,D78,D77)</f>
        <v>#VALUE!</v>
      </c>
      <c r="O77" s="6" t="e">
        <f>[1]!MF_p_pipe_atma(Q_annular_,fw_,C78,C77,O78,PVT_str_annular_,theta_,d_annular_pr,1,D78,D77)</f>
        <v>#VALUE!</v>
      </c>
      <c r="P77" s="6" t="e">
        <f>[1]!MF_p_pipe_atma(Q_annular_,fw_,C76,C77,P76,PVT_str_,theta_,d_annular_pr,1,D76,D77)</f>
        <v>#VALUE!</v>
      </c>
    </row>
    <row r="78" spans="3:16" outlineLevel="1" x14ac:dyDescent="0.2">
      <c r="C78" s="33">
        <f t="shared" si="1"/>
        <v>2014.1999999999996</v>
      </c>
      <c r="D78" s="33">
        <f t="shared" si="0"/>
        <v>59.716000000000001</v>
      </c>
      <c r="F78" s="27" t="e">
        <f>[1]!MF_p_pipe_atma(Q_,fw_,C79,C78,F79,PVT_str_,theta_,Dtub_,,D79,D78)</f>
        <v>#VALUE!</v>
      </c>
      <c r="I78" s="6"/>
      <c r="J78" s="27" t="e">
        <f>[1]!MF_p_pipe_atma(Q_,fw_,C77,C78,J77,PVT_str_,theta_,Dtub_,1,D77,D78)</f>
        <v>#VALUE!</v>
      </c>
      <c r="K78" s="43" t="e">
        <f>[1]!MF_p_pipe_atma(Q_,fw_,C79,C78,K79,PVT_str_,theta_,Dtub_,1,D79,D78)</f>
        <v>#VALUE!</v>
      </c>
      <c r="O78" s="6" t="e">
        <f>[1]!MF_p_pipe_atma(Q_annular_,fw_,C79,C78,O79,PVT_str_annular_,theta_,d_annular_pr,1,D79,D78)</f>
        <v>#VALUE!</v>
      </c>
      <c r="P78" s="6" t="e">
        <f>[1]!MF_p_pipe_atma(Q_annular_,fw_,C77,C78,P77,PVT_str_,theta_,d_annular_pr,1,D77,D78)</f>
        <v>#VALUE!</v>
      </c>
    </row>
    <row r="79" spans="3:16" outlineLevel="1" x14ac:dyDescent="0.2">
      <c r="C79" s="33">
        <f t="shared" si="1"/>
        <v>2182.0499999999997</v>
      </c>
      <c r="D79" s="33">
        <f t="shared" si="0"/>
        <v>64.751500000000007</v>
      </c>
      <c r="F79" s="27" t="e">
        <f>[1]!MF_p_pipe_atma(Q_,fw_,C80,C79,F80,PVT_str_,theta_,Dtub_,,D80,D79)</f>
        <v>#VALUE!</v>
      </c>
      <c r="I79" s="6"/>
      <c r="J79" s="27" t="e">
        <f>[1]!MF_p_pipe_atma(Q_,fw_,C78,C79,J78,PVT_str_,theta_,Dtub_,1,D78,D79)</f>
        <v>#VALUE!</v>
      </c>
      <c r="K79" s="43" t="e">
        <f>[1]!MF_p_pipe_atma(Q_,fw_,C80,C79,K80,PVT_str_,theta_,Dtub_,1,D80,D79)</f>
        <v>#VALUE!</v>
      </c>
      <c r="O79" s="6" t="e">
        <f>[1]!MF_p_pipe_atma(Q_annular_,fw_,C80,C79,O80,PVT_str_annular_,theta_,d_annular_pr,1,D80,D79)</f>
        <v>#VALUE!</v>
      </c>
      <c r="P79" s="6" t="e">
        <f>[1]!MF_p_pipe_atma(Q_annular_,fw_,C78,C79,P78,PVT_str_,theta_,d_annular_pr,1,D78,D79)</f>
        <v>#VALUE!</v>
      </c>
    </row>
    <row r="80" spans="3:16" outlineLevel="1" x14ac:dyDescent="0.2">
      <c r="C80" s="33">
        <f t="shared" si="1"/>
        <v>2349.8999999999996</v>
      </c>
      <c r="D80" s="33">
        <f t="shared" si="0"/>
        <v>69.787000000000006</v>
      </c>
      <c r="F80" s="27" t="e">
        <f>[1]!MF_p_pipe_atma(Q_,fw_,C81,C80,F81,PVT_str_,theta_,Dtub_,,D81,D80)</f>
        <v>#VALUE!</v>
      </c>
      <c r="I80" s="6"/>
      <c r="J80" s="27" t="e">
        <f>[1]!MF_p_pipe_atma(Q_,fw_,C79,C80,J79,PVT_str_,theta_,Dtub_,1,D79,D80)</f>
        <v>#VALUE!</v>
      </c>
      <c r="K80" s="43" t="e">
        <f>[1]!MF_p_pipe_atma(Q_,fw_,C81,C80,K81,PVT_str_,theta_,Dtub_,1,D81,D80)</f>
        <v>#VALUE!</v>
      </c>
      <c r="O80" s="6" t="e">
        <f>[1]!MF_p_pipe_atma(Q_annular_,fw_,C81,C80,O81,PVT_str_annular_,theta_,d_annular_pr,1,D81,D80)</f>
        <v>#VALUE!</v>
      </c>
      <c r="P80" s="6" t="e">
        <f>[1]!MF_p_pipe_atma(Q_annular_,fw_,C79,C80,P79,PVT_str_,theta_,d_annular_pr,1,D79,D80)</f>
        <v>#VALUE!</v>
      </c>
    </row>
    <row r="81" spans="1:16" outlineLevel="1" x14ac:dyDescent="0.2">
      <c r="B81" s="25" t="s">
        <v>31</v>
      </c>
      <c r="C81" s="33">
        <f t="shared" si="1"/>
        <v>2517.7499999999995</v>
      </c>
      <c r="D81" s="33">
        <f t="shared" si="0"/>
        <v>74.822500000000005</v>
      </c>
      <c r="F81" s="27" t="e">
        <f>[1]!MF_p_pipe_atma(Q_,fw_,C82,C81,F82,PVT_str_,theta_,Dtub_,,D82,D81)</f>
        <v>#VALUE!</v>
      </c>
      <c r="G81" s="26" t="e">
        <f>[1]!MF_ksep_natural_d(Q_,wc_,Pintake_,Tintake_,Dintake_,Dcas_,PVT_str_)</f>
        <v>#VALUE!</v>
      </c>
      <c r="H81" s="26" t="e">
        <f>[1]!MF_ksep_total_d(G81,KsepGasSep_)</f>
        <v>#VALUE!</v>
      </c>
      <c r="I81" s="37" t="e">
        <f>[1]!MF_gas_fraction_d(F81,D81,fw_,PVT_str_)</f>
        <v>#VALUE!</v>
      </c>
      <c r="J81" s="27" t="e">
        <f>[1]!MF_p_pipe_atma(Q_,fw_,C80,C81,J80,PVT_str_,theta_,Dtub_,1,D80,D81)</f>
        <v>#VALUE!</v>
      </c>
      <c r="K81" s="44" t="e">
        <f>M81+F81</f>
        <v>#VALUE!</v>
      </c>
      <c r="L81" s="40"/>
      <c r="M81" s="26" t="e">
        <f>[1]!ESP_dP_atm(Q_,fw_,Pintake_,NumStage_,Freq_,PumpID_,PVT_str_,Tintake_,0,1,,D63)</f>
        <v>#VALUE!</v>
      </c>
      <c r="N81" s="41" t="e">
        <f>J81-F81</f>
        <v>#VALUE!</v>
      </c>
      <c r="O81" s="39" t="e">
        <f>F81</f>
        <v>#VALUE!</v>
      </c>
      <c r="P81" s="40"/>
    </row>
    <row r="82" spans="1:16" outlineLevel="1" x14ac:dyDescent="0.2">
      <c r="C82" s="33">
        <f t="shared" si="1"/>
        <v>2685.5999999999995</v>
      </c>
      <c r="D82" s="33">
        <f t="shared" si="0"/>
        <v>79.858000000000004</v>
      </c>
      <c r="E82" s="6"/>
      <c r="F82" s="35" t="e">
        <f>[1]!MF_p_pipe_atma(Q_,fw_,C83,C82,F83,PVT_str_,theta_,Dtub_,,D83,D82)</f>
        <v>#VALUE!</v>
      </c>
      <c r="I82" s="6"/>
      <c r="J82" s="6"/>
      <c r="K82" s="6"/>
    </row>
    <row r="83" spans="1:16" outlineLevel="1" x14ac:dyDescent="0.2">
      <c r="C83" s="33">
        <f t="shared" si="1"/>
        <v>2853.4499999999994</v>
      </c>
      <c r="D83" s="33">
        <f t="shared" si="0"/>
        <v>84.893500000000003</v>
      </c>
      <c r="E83" s="6"/>
      <c r="F83" s="27" t="e">
        <f>[1]!MF_p_pipe_atma(Q_,fw_,C84,C83,F84,PVT_str_,theta_,Dtub_,,D84,D83)</f>
        <v>#VALUE!</v>
      </c>
      <c r="I83" s="6"/>
      <c r="J83" s="6"/>
      <c r="K83" s="6"/>
    </row>
    <row r="84" spans="1:16" outlineLevel="1" x14ac:dyDescent="0.2">
      <c r="C84" s="33">
        <f t="shared" si="1"/>
        <v>3021.2999999999993</v>
      </c>
      <c r="D84" s="33">
        <f t="shared" si="0"/>
        <v>89.929000000000002</v>
      </c>
      <c r="E84" s="6"/>
      <c r="F84" s="27" t="e">
        <f>[1]!MF_p_pipe_atma(Q_,fw_,C85,C84,F85,PVT_str_,theta_,Dtub_,,D85,D84)</f>
        <v>#VALUE!</v>
      </c>
      <c r="I84" s="6"/>
      <c r="J84" s="6"/>
      <c r="K84" s="6"/>
    </row>
    <row r="85" spans="1:16" outlineLevel="1" x14ac:dyDescent="0.2">
      <c r="C85" s="33">
        <f t="shared" si="1"/>
        <v>3189.1499999999992</v>
      </c>
      <c r="D85" s="33">
        <f t="shared" si="0"/>
        <v>94.964500000000001</v>
      </c>
      <c r="E85" s="6"/>
      <c r="F85" s="27" t="s">
        <v>96</v>
      </c>
      <c r="I85" s="6"/>
      <c r="J85" s="6"/>
      <c r="K85" s="6"/>
    </row>
    <row r="86" spans="1:16" outlineLevel="1" x14ac:dyDescent="0.2">
      <c r="C86" s="33">
        <f t="shared" si="1"/>
        <v>3356.9999999999991</v>
      </c>
      <c r="D86" s="33">
        <f>Tres_</f>
        <v>100</v>
      </c>
      <c r="E86" s="6"/>
      <c r="F86" s="34">
        <f>Pwf_</f>
        <v>75</v>
      </c>
      <c r="I86" s="6"/>
      <c r="J86" s="6"/>
      <c r="K86" s="6"/>
    </row>
    <row r="87" spans="1:16" outlineLevel="1" x14ac:dyDescent="0.2"/>
    <row r="88" spans="1:16" outlineLevel="1" x14ac:dyDescent="0.2"/>
    <row r="89" spans="1:16" outlineLevel="1" x14ac:dyDescent="0.2"/>
    <row r="90" spans="1:16" outlineLevel="1" x14ac:dyDescent="0.2"/>
    <row r="91" spans="1:16" outlineLevel="1" x14ac:dyDescent="0.2"/>
    <row r="92" spans="1:16" x14ac:dyDescent="0.2">
      <c r="A92" t="s">
        <v>35</v>
      </c>
    </row>
    <row r="93" spans="1:16" outlineLevel="1" x14ac:dyDescent="0.2">
      <c r="A93" t="s">
        <v>32</v>
      </c>
    </row>
    <row r="94" spans="1:16" outlineLevel="1" x14ac:dyDescent="0.2"/>
    <row r="95" spans="1:16" outlineLevel="1" x14ac:dyDescent="0.2">
      <c r="C95" s="24" t="s">
        <v>33</v>
      </c>
      <c r="D95" s="2">
        <v>30</v>
      </c>
    </row>
    <row r="96" spans="1:16" outlineLevel="1" x14ac:dyDescent="0.2">
      <c r="C96" s="24" t="s">
        <v>0</v>
      </c>
      <c r="D96" s="42">
        <f>[1]!IPR_Qliq_sm3Day(PI_,Pres_,Pwf1_,fw_,Pb_)</f>
        <v>73.350635868154683</v>
      </c>
    </row>
    <row r="97" spans="3:14" outlineLevel="1" x14ac:dyDescent="0.2">
      <c r="C97" s="24" t="s">
        <v>1</v>
      </c>
      <c r="D97" s="2">
        <v>55</v>
      </c>
    </row>
    <row r="98" spans="3:14" outlineLevel="1" x14ac:dyDescent="0.2"/>
    <row r="99" spans="3:14" outlineLevel="1" x14ac:dyDescent="0.2"/>
    <row r="100" spans="3:14" ht="51" outlineLevel="1" x14ac:dyDescent="0.2">
      <c r="C100" s="10" t="s">
        <v>15</v>
      </c>
      <c r="D100" s="10" t="s">
        <v>14</v>
      </c>
      <c r="E100" s="11"/>
      <c r="F100" s="11" t="s">
        <v>24</v>
      </c>
      <c r="G100" s="11" t="s">
        <v>34</v>
      </c>
      <c r="H100" s="11" t="s">
        <v>23</v>
      </c>
      <c r="I100" s="11" t="s">
        <v>28</v>
      </c>
      <c r="J100" s="11" t="s">
        <v>22</v>
      </c>
      <c r="K100" s="11"/>
      <c r="L100" s="11" t="s">
        <v>29</v>
      </c>
      <c r="M100" s="11"/>
      <c r="N100" s="11" t="s">
        <v>30</v>
      </c>
    </row>
    <row r="101" spans="3:14" outlineLevel="1" x14ac:dyDescent="0.2">
      <c r="C101" s="12">
        <v>0</v>
      </c>
      <c r="D101" s="12">
        <f t="shared" ref="D101:D120" si="2">D102-Tgrad*(C102-C101)/100</f>
        <v>-0.70999999999999019</v>
      </c>
      <c r="E101" s="6"/>
      <c r="F101" s="6"/>
      <c r="L101" s="14"/>
      <c r="M101" s="6"/>
      <c r="N101" s="6"/>
    </row>
    <row r="102" spans="3:14" outlineLevel="1" x14ac:dyDescent="0.2">
      <c r="C102" s="12">
        <f t="shared" ref="C102:C121" si="3">C101+Hmes_/N_</f>
        <v>167.85</v>
      </c>
      <c r="D102" s="12">
        <f t="shared" si="2"/>
        <v>4.3255000000000097</v>
      </c>
      <c r="E102" s="6"/>
      <c r="F102" s="6"/>
      <c r="L102" s="14"/>
      <c r="M102" s="6"/>
      <c r="N102" s="6"/>
    </row>
    <row r="103" spans="3:14" outlineLevel="1" x14ac:dyDescent="0.2">
      <c r="C103" s="12">
        <f t="shared" si="3"/>
        <v>335.7</v>
      </c>
      <c r="D103" s="12">
        <f t="shared" si="2"/>
        <v>9.3610000000000095</v>
      </c>
      <c r="E103" s="6"/>
      <c r="F103" s="6"/>
      <c r="L103" s="14"/>
      <c r="M103" s="6"/>
      <c r="N103" s="6"/>
    </row>
    <row r="104" spans="3:14" outlineLevel="1" x14ac:dyDescent="0.2">
      <c r="C104" s="12">
        <f t="shared" si="3"/>
        <v>503.54999999999995</v>
      </c>
      <c r="D104" s="12">
        <f t="shared" si="2"/>
        <v>14.396500000000009</v>
      </c>
      <c r="E104" s="6"/>
      <c r="F104" s="6"/>
      <c r="L104" s="14"/>
      <c r="M104" s="6"/>
      <c r="N104" s="6"/>
    </row>
    <row r="105" spans="3:14" outlineLevel="1" x14ac:dyDescent="0.2">
      <c r="C105" s="12">
        <f t="shared" si="3"/>
        <v>671.4</v>
      </c>
      <c r="D105" s="12">
        <f t="shared" si="2"/>
        <v>19.432000000000009</v>
      </c>
      <c r="E105" s="6"/>
      <c r="F105" s="6"/>
      <c r="L105" s="14"/>
      <c r="M105" s="6"/>
      <c r="N105" s="6"/>
    </row>
    <row r="106" spans="3:14" outlineLevel="1" x14ac:dyDescent="0.2">
      <c r="C106" s="12">
        <f t="shared" si="3"/>
        <v>839.25</v>
      </c>
      <c r="D106" s="12">
        <f t="shared" si="2"/>
        <v>24.467500000000008</v>
      </c>
      <c r="E106" s="6"/>
      <c r="F106" s="6"/>
      <c r="L106" s="14"/>
      <c r="M106" s="6"/>
      <c r="N106" s="6"/>
    </row>
    <row r="107" spans="3:14" outlineLevel="1" x14ac:dyDescent="0.2">
      <c r="C107" s="12">
        <f t="shared" si="3"/>
        <v>1007.1</v>
      </c>
      <c r="D107" s="12">
        <f t="shared" si="2"/>
        <v>29.503000000000007</v>
      </c>
      <c r="E107" s="6"/>
      <c r="F107" s="6"/>
      <c r="L107" s="14"/>
      <c r="M107" s="6"/>
      <c r="N107" s="6"/>
    </row>
    <row r="108" spans="3:14" outlineLevel="1" x14ac:dyDescent="0.2">
      <c r="C108" s="12">
        <f t="shared" si="3"/>
        <v>1174.95</v>
      </c>
      <c r="D108" s="12">
        <f t="shared" si="2"/>
        <v>34.538500000000006</v>
      </c>
      <c r="E108" s="6"/>
      <c r="F108" s="6"/>
      <c r="L108" s="14"/>
      <c r="M108" s="6"/>
      <c r="N108" s="6"/>
    </row>
    <row r="109" spans="3:14" outlineLevel="1" x14ac:dyDescent="0.2">
      <c r="C109" s="12">
        <f t="shared" si="3"/>
        <v>1342.8</v>
      </c>
      <c r="D109" s="12">
        <f t="shared" si="2"/>
        <v>39.574000000000005</v>
      </c>
      <c r="E109" s="6"/>
      <c r="F109" s="6"/>
      <c r="L109" s="14"/>
      <c r="M109" s="6"/>
      <c r="N109" s="6"/>
    </row>
    <row r="110" spans="3:14" outlineLevel="1" x14ac:dyDescent="0.2">
      <c r="C110" s="12">
        <f t="shared" si="3"/>
        <v>1510.6499999999999</v>
      </c>
      <c r="D110" s="12">
        <f t="shared" si="2"/>
        <v>44.609500000000004</v>
      </c>
      <c r="E110" s="6"/>
      <c r="F110" s="6"/>
      <c r="L110" s="14"/>
      <c r="M110" s="6"/>
      <c r="N110" s="6"/>
    </row>
    <row r="111" spans="3:14" outlineLevel="1" x14ac:dyDescent="0.2">
      <c r="C111" s="12">
        <f t="shared" si="3"/>
        <v>1678.4999999999998</v>
      </c>
      <c r="D111" s="12">
        <f t="shared" si="2"/>
        <v>49.645000000000003</v>
      </c>
      <c r="E111" s="6"/>
      <c r="F111" s="6"/>
      <c r="L111" s="14"/>
      <c r="M111" s="6"/>
      <c r="N111" s="6"/>
    </row>
    <row r="112" spans="3:14" outlineLevel="1" x14ac:dyDescent="0.2">
      <c r="C112" s="12">
        <f t="shared" si="3"/>
        <v>1846.3499999999997</v>
      </c>
      <c r="D112" s="12">
        <f t="shared" si="2"/>
        <v>54.680500000000002</v>
      </c>
      <c r="E112" s="6"/>
      <c r="F112" s="6"/>
      <c r="L112" s="14"/>
      <c r="M112" s="6"/>
      <c r="N112" s="6"/>
    </row>
    <row r="113" spans="2:14" outlineLevel="1" x14ac:dyDescent="0.2">
      <c r="C113" s="12">
        <f t="shared" si="3"/>
        <v>2014.1999999999996</v>
      </c>
      <c r="D113" s="12">
        <f t="shared" si="2"/>
        <v>59.716000000000001</v>
      </c>
      <c r="E113" s="6"/>
      <c r="F113" s="6"/>
      <c r="L113" s="14"/>
      <c r="M113" s="6"/>
      <c r="N113" s="6"/>
    </row>
    <row r="114" spans="2:14" outlineLevel="1" x14ac:dyDescent="0.2">
      <c r="C114" s="12">
        <f t="shared" si="3"/>
        <v>2182.0499999999997</v>
      </c>
      <c r="D114" s="12">
        <f t="shared" si="2"/>
        <v>64.751500000000007</v>
      </c>
      <c r="E114" s="6"/>
      <c r="F114" s="6"/>
      <c r="L114" s="14"/>
      <c r="M114" s="6"/>
      <c r="N114" s="6"/>
    </row>
    <row r="115" spans="2:14" outlineLevel="1" x14ac:dyDescent="0.2">
      <c r="C115" s="12">
        <f t="shared" si="3"/>
        <v>2349.8999999999996</v>
      </c>
      <c r="D115" s="12">
        <f t="shared" si="2"/>
        <v>69.787000000000006</v>
      </c>
      <c r="E115" s="6"/>
      <c r="F115" s="6"/>
      <c r="L115" s="14"/>
      <c r="M115" s="6"/>
      <c r="N115" s="6"/>
    </row>
    <row r="116" spans="2:14" outlineLevel="1" x14ac:dyDescent="0.2">
      <c r="B116" t="s">
        <v>31</v>
      </c>
      <c r="C116" s="12">
        <f t="shared" si="3"/>
        <v>2517.7499999999995</v>
      </c>
      <c r="D116" s="12">
        <f t="shared" si="2"/>
        <v>74.822500000000005</v>
      </c>
      <c r="E116" s="6"/>
      <c r="F116" s="14"/>
      <c r="G116" s="14"/>
      <c r="H116" s="15"/>
      <c r="I116" s="15"/>
      <c r="J116" s="15"/>
      <c r="K116" s="15"/>
      <c r="L116" s="16"/>
      <c r="M116" s="6"/>
      <c r="N116" s="14"/>
    </row>
    <row r="117" spans="2:14" outlineLevel="1" x14ac:dyDescent="0.2">
      <c r="C117" s="12">
        <f t="shared" si="3"/>
        <v>2685.5999999999995</v>
      </c>
      <c r="D117" s="12">
        <f t="shared" si="2"/>
        <v>79.858000000000004</v>
      </c>
      <c r="E117" s="6"/>
      <c r="F117" s="14"/>
      <c r="G117" s="6"/>
      <c r="M117" s="6"/>
    </row>
    <row r="118" spans="2:14" outlineLevel="1" x14ac:dyDescent="0.2">
      <c r="C118" s="12">
        <f t="shared" si="3"/>
        <v>2853.4499999999994</v>
      </c>
      <c r="D118" s="12">
        <f t="shared" si="2"/>
        <v>84.893500000000003</v>
      </c>
      <c r="E118" s="6"/>
      <c r="F118" s="14"/>
      <c r="M118" s="6"/>
    </row>
    <row r="119" spans="2:14" outlineLevel="1" x14ac:dyDescent="0.2">
      <c r="C119" s="12">
        <f t="shared" si="3"/>
        <v>3021.2999999999993</v>
      </c>
      <c r="D119" s="12">
        <f t="shared" si="2"/>
        <v>89.929000000000002</v>
      </c>
      <c r="E119" s="6"/>
      <c r="F119" s="14"/>
      <c r="M119" s="6"/>
    </row>
    <row r="120" spans="2:14" outlineLevel="1" x14ac:dyDescent="0.2">
      <c r="C120" s="12">
        <f t="shared" si="3"/>
        <v>3189.1499999999992</v>
      </c>
      <c r="D120" s="12">
        <f t="shared" si="2"/>
        <v>94.964500000000001</v>
      </c>
      <c r="E120" s="6"/>
      <c r="F120" s="14"/>
      <c r="M120" s="6"/>
    </row>
    <row r="121" spans="2:14" outlineLevel="1" x14ac:dyDescent="0.2">
      <c r="C121" s="12">
        <f t="shared" si="3"/>
        <v>3356.9999999999991</v>
      </c>
      <c r="D121" s="12">
        <f>Tres_</f>
        <v>100</v>
      </c>
      <c r="E121" s="6"/>
      <c r="F121" s="13">
        <f>Pwf1_</f>
        <v>30</v>
      </c>
      <c r="M121" s="6"/>
    </row>
    <row r="122" spans="2:14" outlineLevel="1" x14ac:dyDescent="0.2"/>
    <row r="123" spans="2:14" outlineLevel="1" x14ac:dyDescent="0.2"/>
    <row r="183" spans="12:12" x14ac:dyDescent="0.2">
      <c r="L183" t="s">
        <v>16</v>
      </c>
    </row>
    <row r="194" spans="12:12" x14ac:dyDescent="0.2">
      <c r="L19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</vt:i4>
      </vt:variant>
    </vt:vector>
  </HeadingPairs>
  <TitlesOfParts>
    <vt:vector size="100" baseType="lpstr">
      <vt:lpstr>well</vt:lpstr>
      <vt:lpstr>well нп 1296</vt:lpstr>
      <vt:lpstr>well!Bob_</vt:lpstr>
      <vt:lpstr>'well нп 1296'!Bob_</vt:lpstr>
      <vt:lpstr>'well нп 1296'!d_annular_pr</vt:lpstr>
      <vt:lpstr>d_annular_pr</vt:lpstr>
      <vt:lpstr>well!Dcas_</vt:lpstr>
      <vt:lpstr>'well нп 1296'!Dcas_</vt:lpstr>
      <vt:lpstr>well!Dintake_</vt:lpstr>
      <vt:lpstr>'well нп 1296'!Dintake_</vt:lpstr>
      <vt:lpstr>well!Dtub_</vt:lpstr>
      <vt:lpstr>'well нп 1296'!Dtub_</vt:lpstr>
      <vt:lpstr>well!Dtub_out_</vt:lpstr>
      <vt:lpstr>'well нп 1296'!Dtub_out_</vt:lpstr>
      <vt:lpstr>'well нп 1296'!ESPstr</vt:lpstr>
      <vt:lpstr>ESPstr</vt:lpstr>
      <vt:lpstr>well!Freq_</vt:lpstr>
      <vt:lpstr>'well нп 1296'!Freq_</vt:lpstr>
      <vt:lpstr>well!Freq1_</vt:lpstr>
      <vt:lpstr>'well нп 1296'!Freq1_</vt:lpstr>
      <vt:lpstr>'well нп 1296'!fw_</vt:lpstr>
      <vt:lpstr>fw_</vt:lpstr>
      <vt:lpstr>well!gamma_gas_</vt:lpstr>
      <vt:lpstr>'well нп 1296'!gamma_gas_</vt:lpstr>
      <vt:lpstr>well!gamma_oil_</vt:lpstr>
      <vt:lpstr>'well нп 1296'!gamma_oil_</vt:lpstr>
      <vt:lpstr>well!gamma_wat_</vt:lpstr>
      <vt:lpstr>'well нп 1296'!gamma_wat_</vt:lpstr>
      <vt:lpstr>well!Head_ESP_</vt:lpstr>
      <vt:lpstr>'well нп 1296'!Head_ESP_</vt:lpstr>
      <vt:lpstr>well!Hmes_</vt:lpstr>
      <vt:lpstr>'well нп 1296'!Hmes_</vt:lpstr>
      <vt:lpstr>well!Hpump_</vt:lpstr>
      <vt:lpstr>'well нп 1296'!Hpump_</vt:lpstr>
      <vt:lpstr>'well нп 1296'!k_split_liquid</vt:lpstr>
      <vt:lpstr>k_split_liquid</vt:lpstr>
      <vt:lpstr>well!Kdegr_</vt:lpstr>
      <vt:lpstr>'well нп 1296'!Kdegr_</vt:lpstr>
      <vt:lpstr>well!KsepGasSep_</vt:lpstr>
      <vt:lpstr>'well нп 1296'!KsepGasSep_</vt:lpstr>
      <vt:lpstr>'well нп 1296'!mu_</vt:lpstr>
      <vt:lpstr>mu_</vt:lpstr>
      <vt:lpstr>well!N_</vt:lpstr>
      <vt:lpstr>'well нп 1296'!N_</vt:lpstr>
      <vt:lpstr>well!NumStage_</vt:lpstr>
      <vt:lpstr>'well нп 1296'!NumStage_</vt:lpstr>
      <vt:lpstr>well!Pb_</vt:lpstr>
      <vt:lpstr>'well нп 1296'!Pb_</vt:lpstr>
      <vt:lpstr>well!Pbuf_</vt:lpstr>
      <vt:lpstr>'well нп 1296'!Pbuf_</vt:lpstr>
      <vt:lpstr>well!Pdis_</vt:lpstr>
      <vt:lpstr>'well нп 1296'!Pdis_</vt:lpstr>
      <vt:lpstr>well!PI_</vt:lpstr>
      <vt:lpstr>'well нп 1296'!PI_</vt:lpstr>
      <vt:lpstr>well!Pintake_</vt:lpstr>
      <vt:lpstr>'well нп 1296'!Pintake_</vt:lpstr>
      <vt:lpstr>'well нп 1296'!PKsep</vt:lpstr>
      <vt:lpstr>PKsep</vt:lpstr>
      <vt:lpstr>well!Pres_</vt:lpstr>
      <vt:lpstr>'well нп 1296'!Pres_</vt:lpstr>
      <vt:lpstr>well!PumpID_</vt:lpstr>
      <vt:lpstr>'well нп 1296'!PumpID_</vt:lpstr>
      <vt:lpstr>'well нп 1296'!PVT_str_</vt:lpstr>
      <vt:lpstr>PVT_str_</vt:lpstr>
      <vt:lpstr>'well нп 1296'!PVT_str_annular_</vt:lpstr>
      <vt:lpstr>PVT_str_annular_</vt:lpstr>
      <vt:lpstr>well!Pwf_</vt:lpstr>
      <vt:lpstr>'well нп 1296'!Pwf_</vt:lpstr>
      <vt:lpstr>well!Pwf1_</vt:lpstr>
      <vt:lpstr>'well нп 1296'!Pwf1_</vt:lpstr>
      <vt:lpstr>well!Q_</vt:lpstr>
      <vt:lpstr>'well нп 1296'!Q_</vt:lpstr>
      <vt:lpstr>'well нп 1296'!Q_annular_</vt:lpstr>
      <vt:lpstr>Q_annular_</vt:lpstr>
      <vt:lpstr>well!Q_ESP_</vt:lpstr>
      <vt:lpstr>'well нп 1296'!Q_ESP_</vt:lpstr>
      <vt:lpstr>'well нп 1296'!Q_total_</vt:lpstr>
      <vt:lpstr>Q_total_</vt:lpstr>
      <vt:lpstr>well!Qmax</vt:lpstr>
      <vt:lpstr>'well нп 1296'!Qmax</vt:lpstr>
      <vt:lpstr>well!Qreal_</vt:lpstr>
      <vt:lpstr>'well нп 1296'!Qreal_</vt:lpstr>
      <vt:lpstr>well!Rp_</vt:lpstr>
      <vt:lpstr>'well нп 1296'!Rp_</vt:lpstr>
      <vt:lpstr>well!Rsb_</vt:lpstr>
      <vt:lpstr>'well нп 1296'!Rsb_</vt:lpstr>
      <vt:lpstr>well!Tgrad</vt:lpstr>
      <vt:lpstr>'well нп 1296'!Tgrad</vt:lpstr>
      <vt:lpstr>'well нп 1296'!theta_</vt:lpstr>
      <vt:lpstr>theta_</vt:lpstr>
      <vt:lpstr>well!Tintake_</vt:lpstr>
      <vt:lpstr>'well нп 1296'!Tintake_</vt:lpstr>
      <vt:lpstr>'well нп 1296'!TKsep</vt:lpstr>
      <vt:lpstr>TKsep</vt:lpstr>
      <vt:lpstr>well!Tres_</vt:lpstr>
      <vt:lpstr>'well нп 1296'!Tres_</vt:lpstr>
      <vt:lpstr>well!Udl_</vt:lpstr>
      <vt:lpstr>'well нп 1296'!Udl_</vt:lpstr>
      <vt:lpstr>well!wc_</vt:lpstr>
      <vt:lpstr>'well нп 1296'!wc_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2019-07-10T16:38:08Z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