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updateLinks="always" codeName="ЭтаКнига" hidePivotFieldList="1"/>
  <mc:AlternateContent xmlns:mc="http://schemas.openxmlformats.org/markup-compatibility/2006">
    <mc:Choice Requires="x15">
      <x15ac:absPath xmlns:x15ac="http://schemas.microsoft.com/office/spreadsheetml/2010/11/ac" url="C:\Users\olegk\Documents\unifloc_vba\exercises\"/>
    </mc:Choice>
  </mc:AlternateContent>
  <xr:revisionPtr revIDLastSave="0" documentId="13_ncr:1_{1E9A7D91-FD17-4F8A-9A99-EF324B0F09D7}" xr6:coauthVersionLast="45" xr6:coauthVersionMax="45" xr10:uidLastSave="{00000000-0000-0000-0000-000000000000}"/>
  <bookViews>
    <workbookView xWindow="-120" yWindow="-120" windowWidth="24240" windowHeight="13140" tabRatio="422" xr2:uid="{00000000-000D-0000-FFFF-FFFF00000000}"/>
  </bookViews>
  <sheets>
    <sheet name="well" sheetId="107" r:id="rId1"/>
  </sheets>
  <externalReferences>
    <externalReference r:id="rId2"/>
  </externalReferences>
  <definedNames>
    <definedName name="Bob_" localSheetId="0">well!$C$14</definedName>
    <definedName name="Dcas_" localSheetId="0">well!$C$21</definedName>
    <definedName name="Dintake_" localSheetId="0">well!$C$25</definedName>
    <definedName name="Dtub_" localSheetId="0">well!$C$24</definedName>
    <definedName name="Dtub_out_" localSheetId="0">well!$C$22</definedName>
    <definedName name="ESPstr">well!$G$42</definedName>
    <definedName name="Freq_" localSheetId="0">well!$C$37</definedName>
    <definedName name="Freq1_" localSheetId="0">well!$D$95</definedName>
    <definedName name="fw_">well!$C$32</definedName>
    <definedName name="gamma_gas_" localSheetId="0">well!$C$9</definedName>
    <definedName name="gamma_oil_" localSheetId="0">well!$C$7</definedName>
    <definedName name="gamma_wat_" localSheetId="0">well!$C$8</definedName>
    <definedName name="Head_ESP_" localSheetId="0">well!$C$36</definedName>
    <definedName name="Hmes_" localSheetId="0">well!$C$18</definedName>
    <definedName name="Hpump_" localSheetId="0">well!$C$20</definedName>
    <definedName name="Kdegr_" localSheetId="0">well!$AA$61</definedName>
    <definedName name="Kdegr1_">well!$D$96</definedName>
    <definedName name="KsepGasSep_" localSheetId="0">well!$C$42</definedName>
    <definedName name="mu_">well!$C$15</definedName>
    <definedName name="N_" localSheetId="0">well!$C$52</definedName>
    <definedName name="NumStage_" localSheetId="0">well!$C$41</definedName>
    <definedName name="Pb_" localSheetId="0">well!$C$12</definedName>
    <definedName name="Pbuf_" localSheetId="0">well!$C$26</definedName>
    <definedName name="Pdis_" localSheetId="0">well!$C$29</definedName>
    <definedName name="PI_" localSheetId="0">well!$C$48</definedName>
    <definedName name="Pintake_" localSheetId="0">well!$C$27</definedName>
    <definedName name="PKsep">well!$C$43</definedName>
    <definedName name="PKsep2">well!$D$97</definedName>
    <definedName name="Pres_" localSheetId="0">well!$C$47</definedName>
    <definedName name="PumpID_" localSheetId="0">well!$C$38</definedName>
    <definedName name="PVT_str_">well!$G$39</definedName>
    <definedName name="PVT_str_2">well!$G$45</definedName>
    <definedName name="Pwf_" localSheetId="0">well!$C$30</definedName>
    <definedName name="Pwf1_" localSheetId="0">well!$D$93</definedName>
    <definedName name="Q_" localSheetId="0">well!$C$31</definedName>
    <definedName name="Q_ESP_" localSheetId="0">well!$C$35</definedName>
    <definedName name="Qmax" localSheetId="0">well!$C$40</definedName>
    <definedName name="Qreal_" localSheetId="0">well!$D$94</definedName>
    <definedName name="Rp_" localSheetId="0">well!$C$11</definedName>
    <definedName name="Rsb_" localSheetId="0">well!$C$10</definedName>
    <definedName name="Tgrad" localSheetId="0">well!$C$49</definedName>
    <definedName name="theta_">well!$C$23</definedName>
    <definedName name="Tintake_" localSheetId="0">well!$C$28</definedName>
    <definedName name="TKsep">well!$C$44</definedName>
    <definedName name="TKsep2">well!$D$98</definedName>
    <definedName name="Tres_" localSheetId="0">well!$C$13</definedName>
    <definedName name="Udl_" localSheetId="0">well!$C$19</definedName>
    <definedName name="wc_" localSheetId="0">well!$C$14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64" i="107" l="1"/>
  <c r="F64" i="107"/>
  <c r="G64" i="107"/>
  <c r="H64" i="107"/>
  <c r="U79" i="107"/>
  <c r="S64" i="107"/>
  <c r="S68" i="107"/>
  <c r="S72" i="107"/>
  <c r="S76" i="107"/>
  <c r="S75" i="107"/>
  <c r="S65" i="107"/>
  <c r="S69" i="107"/>
  <c r="S73" i="107"/>
  <c r="S77" i="107"/>
  <c r="S71" i="107"/>
  <c r="S66" i="107"/>
  <c r="S70" i="107"/>
  <c r="S74" i="107"/>
  <c r="S67" i="107"/>
  <c r="S78" i="107"/>
  <c r="G39" i="107"/>
  <c r="G45" i="107"/>
  <c r="C48" i="107"/>
  <c r="N62" i="107" s="1"/>
  <c r="D64" i="107" l="1"/>
  <c r="C91" i="107" l="1"/>
  <c r="C95" i="107"/>
  <c r="C99" i="107"/>
  <c r="C103" i="107"/>
  <c r="C107" i="107"/>
  <c r="C104" i="107"/>
  <c r="C92" i="107"/>
  <c r="C96" i="107"/>
  <c r="C100" i="107"/>
  <c r="C106" i="107"/>
  <c r="C93" i="107"/>
  <c r="C97" i="107"/>
  <c r="C101" i="107"/>
  <c r="C105" i="107"/>
  <c r="C94" i="107"/>
  <c r="C98" i="107"/>
  <c r="C102" i="107"/>
  <c r="C90" i="107"/>
  <c r="C38" i="107" l="1"/>
  <c r="C41" i="107"/>
  <c r="G1" i="107"/>
  <c r="C39" i="107"/>
  <c r="G42" i="107"/>
  <c r="C40" i="107"/>
  <c r="C84" i="107" l="1"/>
  <c r="Q84" i="107"/>
  <c r="E13" i="107" l="1"/>
  <c r="E12" i="107"/>
  <c r="E11" i="107"/>
  <c r="E10" i="107"/>
  <c r="E9" i="107"/>
  <c r="E8" i="107"/>
  <c r="E7" i="107"/>
  <c r="B65" i="107" l="1"/>
  <c r="B66" i="107" l="1"/>
  <c r="B67" i="107" l="1"/>
  <c r="B68" i="107" l="1"/>
  <c r="B69" i="107" l="1"/>
  <c r="B70" i="107" l="1"/>
  <c r="B71" i="107" l="1"/>
  <c r="B72" i="107" l="1"/>
  <c r="B73" i="107" l="1"/>
  <c r="B74" i="107" l="1"/>
  <c r="B75" i="107" l="1"/>
  <c r="B76" i="107" l="1"/>
  <c r="B77" i="107" l="1"/>
  <c r="B78" i="107" l="1"/>
  <c r="B79" i="107" l="1"/>
  <c r="B80" i="107" l="1"/>
  <c r="B81" i="107" l="1"/>
  <c r="B82" i="107" l="1"/>
  <c r="B83" i="107" l="1"/>
  <c r="B84" i="107" l="1"/>
  <c r="C83" i="107" l="1"/>
  <c r="N83" i="107"/>
  <c r="Q83" i="107"/>
  <c r="C82" i="107" l="1"/>
  <c r="N82" i="107"/>
  <c r="Q82" i="107"/>
  <c r="C81" i="107" l="1"/>
  <c r="N81" i="107"/>
  <c r="Q81" i="107"/>
  <c r="C80" i="107" l="1"/>
  <c r="N80" i="107"/>
  <c r="Q80" i="107"/>
  <c r="C79" i="107" l="1"/>
  <c r="N79" i="107"/>
  <c r="O79" i="107"/>
  <c r="P79" i="107" s="1"/>
  <c r="Q79" i="107"/>
  <c r="R79" i="107"/>
  <c r="S79" i="107" l="1"/>
  <c r="C78" i="107"/>
  <c r="T78" i="107"/>
  <c r="T79" i="107"/>
  <c r="C77" i="107" l="1"/>
  <c r="T77" i="107"/>
  <c r="C76" i="107" l="1"/>
  <c r="T76" i="107"/>
  <c r="C75" i="107" l="1"/>
  <c r="T75" i="107"/>
  <c r="C74" i="107" l="1"/>
  <c r="T74" i="107"/>
  <c r="C73" i="107" l="1"/>
  <c r="T73" i="107"/>
  <c r="C72" i="107" l="1"/>
  <c r="T72" i="107"/>
  <c r="C71" i="107" l="1"/>
  <c r="T71" i="107"/>
  <c r="C70" i="107" l="1"/>
  <c r="T70" i="107"/>
  <c r="C69" i="107" l="1"/>
  <c r="T69" i="107"/>
  <c r="C68" i="107" l="1"/>
  <c r="T68" i="107"/>
  <c r="C67" i="107" l="1"/>
  <c r="T67" i="107"/>
  <c r="C66" i="107" l="1"/>
  <c r="T66" i="107"/>
  <c r="C65" i="107" l="1"/>
  <c r="T65" i="107"/>
  <c r="C64" i="107" l="1"/>
  <c r="T64" i="107"/>
  <c r="D65" i="107"/>
  <c r="J65" i="107" s="1"/>
  <c r="E65" i="107"/>
  <c r="I65" i="107" s="1"/>
  <c r="F65" i="107"/>
  <c r="G65" i="107"/>
  <c r="H65" i="107"/>
  <c r="E66" i="107"/>
  <c r="I66" i="107" s="1"/>
  <c r="D66" i="107"/>
  <c r="J66" i="107" s="1"/>
  <c r="F66" i="107"/>
  <c r="G66" i="107"/>
  <c r="H66" i="107"/>
  <c r="E67" i="107"/>
  <c r="I67" i="107" s="1"/>
  <c r="D67" i="107"/>
  <c r="J67" i="107" s="1"/>
  <c r="F67" i="107"/>
  <c r="G67" i="107"/>
  <c r="H67" i="107"/>
  <c r="E68" i="107"/>
  <c r="I68" i="107" s="1"/>
  <c r="D68" i="107"/>
  <c r="J68" i="107" s="1"/>
  <c r="F68" i="107"/>
  <c r="G68" i="107"/>
  <c r="H68" i="107"/>
  <c r="E69" i="107"/>
  <c r="I69" i="107" s="1"/>
  <c r="D69" i="107"/>
  <c r="J69" i="107" s="1"/>
  <c r="F69" i="107"/>
  <c r="G69" i="107"/>
  <c r="H69" i="107"/>
  <c r="E70" i="107"/>
  <c r="I70" i="107" s="1"/>
  <c r="D70" i="107"/>
  <c r="J70" i="107" s="1"/>
  <c r="F70" i="107"/>
  <c r="G70" i="107"/>
  <c r="H70" i="107"/>
  <c r="E71" i="107"/>
  <c r="I71" i="107" s="1"/>
  <c r="D71" i="107"/>
  <c r="J71" i="107" s="1"/>
  <c r="F71" i="107"/>
  <c r="G71" i="107"/>
  <c r="H71" i="107"/>
  <c r="E72" i="107"/>
  <c r="I72" i="107" s="1"/>
  <c r="D72" i="107"/>
  <c r="J72" i="107" s="1"/>
  <c r="F72" i="107"/>
  <c r="G72" i="107"/>
  <c r="H72" i="107"/>
  <c r="E73" i="107"/>
  <c r="I73" i="107" s="1"/>
  <c r="D73" i="107"/>
  <c r="J73" i="107" s="1"/>
  <c r="F73" i="107"/>
  <c r="G73" i="107"/>
  <c r="H73" i="107"/>
  <c r="E74" i="107"/>
  <c r="I74" i="107" s="1"/>
  <c r="D74" i="107"/>
  <c r="J74" i="107" s="1"/>
  <c r="F74" i="107"/>
  <c r="G74" i="107"/>
  <c r="H74" i="107"/>
  <c r="E75" i="107"/>
  <c r="I75" i="107" s="1"/>
  <c r="D75" i="107"/>
  <c r="J75" i="107" s="1"/>
  <c r="F75" i="107"/>
  <c r="G75" i="107"/>
  <c r="H75" i="107"/>
  <c r="E76" i="107"/>
  <c r="I76" i="107" s="1"/>
  <c r="D76" i="107"/>
  <c r="J76" i="107" s="1"/>
  <c r="F76" i="107"/>
  <c r="G76" i="107"/>
  <c r="H76" i="107"/>
  <c r="E77" i="107"/>
  <c r="I77" i="107" s="1"/>
  <c r="D77" i="107"/>
  <c r="J77" i="107" s="1"/>
  <c r="F77" i="107"/>
  <c r="G77" i="107"/>
  <c r="H77" i="107"/>
  <c r="E78" i="107"/>
  <c r="I78" i="107" s="1"/>
  <c r="D78" i="107"/>
  <c r="J78" i="107" s="1"/>
  <c r="F78" i="107"/>
  <c r="G78" i="107"/>
  <c r="H78" i="107"/>
  <c r="E79" i="107"/>
  <c r="I79" i="107" s="1"/>
  <c r="D79" i="107"/>
  <c r="J79" i="107" s="1"/>
  <c r="F79" i="107"/>
  <c r="G79" i="107"/>
  <c r="E80" i="107"/>
  <c r="I80" i="107" s="1"/>
  <c r="D80" i="107"/>
  <c r="J80" i="107" s="1"/>
  <c r="F80" i="107"/>
  <c r="G80" i="107"/>
  <c r="E81" i="107"/>
  <c r="I81" i="107" s="1"/>
  <c r="D81" i="107"/>
  <c r="J81" i="107" s="1"/>
  <c r="F81" i="107"/>
  <c r="G81" i="107"/>
  <c r="E82" i="107"/>
  <c r="I82" i="107" s="1"/>
  <c r="D82" i="107"/>
  <c r="J82" i="107" s="1"/>
  <c r="F82" i="107"/>
  <c r="G82" i="107"/>
  <c r="E83" i="107"/>
  <c r="I83" i="107" s="1"/>
  <c r="D83" i="107"/>
  <c r="J83" i="107" s="1"/>
  <c r="F83" i="107"/>
  <c r="G83" i="107"/>
  <c r="G84" i="107"/>
  <c r="F84" i="107"/>
  <c r="D84" i="107"/>
  <c r="J84" i="107" s="1"/>
  <c r="E84" i="107"/>
  <c r="I84" i="107" s="1"/>
  <c r="I64" i="107"/>
  <c r="J64" i="107"/>
  <c r="H84" i="107"/>
  <c r="H83" i="107"/>
  <c r="H82" i="107"/>
  <c r="H81" i="107"/>
  <c r="H80" i="107"/>
  <c r="H79" i="107"/>
</calcChain>
</file>

<file path=xl/sharedStrings.xml><?xml version="1.0" encoding="utf-8"?>
<sst xmlns="http://schemas.openxmlformats.org/spreadsheetml/2006/main" count="127" uniqueCount="106">
  <si>
    <t>Q</t>
  </si>
  <si>
    <t>атм</t>
  </si>
  <si>
    <t>С</t>
  </si>
  <si>
    <t>%</t>
  </si>
  <si>
    <t>м</t>
  </si>
  <si>
    <t>мм</t>
  </si>
  <si>
    <t>м3/сут</t>
  </si>
  <si>
    <t xml:space="preserve">м </t>
  </si>
  <si>
    <t>Гц</t>
  </si>
  <si>
    <t>шт</t>
  </si>
  <si>
    <t>м3/сут/атм</t>
  </si>
  <si>
    <t>град/100 м</t>
  </si>
  <si>
    <t>N</t>
  </si>
  <si>
    <t>T</t>
  </si>
  <si>
    <t>H</t>
  </si>
  <si>
    <t>,</t>
  </si>
  <si>
    <t>Физико - химические свойства флюида</t>
  </si>
  <si>
    <t>Данные по скважине</t>
  </si>
  <si>
    <t>ЭЦН</t>
  </si>
  <si>
    <t>Ступени</t>
  </si>
  <si>
    <t>Пласт</t>
  </si>
  <si>
    <t>Общая сепарация</t>
  </si>
  <si>
    <t>Деградация</t>
  </si>
  <si>
    <t>Ксепарации естественной</t>
  </si>
  <si>
    <t>Упражнение 1</t>
  </si>
  <si>
    <t>Упражнения по работе с макросами Unifloc VBA</t>
  </si>
  <si>
    <t>версия</t>
  </si>
  <si>
    <t>атмa</t>
  </si>
  <si>
    <t>МПа</t>
  </si>
  <si>
    <t>Ф</t>
  </si>
  <si>
    <t>F</t>
  </si>
  <si>
    <t>ЭЦН ID</t>
  </si>
  <si>
    <t>ЭЦН имя</t>
  </si>
  <si>
    <t>ЭЦН строка</t>
  </si>
  <si>
    <t>PI</t>
  </si>
  <si>
    <t>dT/dL</t>
  </si>
  <si>
    <t>Muob cal</t>
  </si>
  <si>
    <t>сПуаз</t>
  </si>
  <si>
    <t>θ</t>
  </si>
  <si>
    <t>°</t>
  </si>
  <si>
    <t>Перепад давления в насосе по ЭЦН</t>
  </si>
  <si>
    <t>Доля газа после сепарации</t>
  </si>
  <si>
    <t>Доля газа до сепарации</t>
  </si>
  <si>
    <t>Расчет распределения давления в скважине, оснащенной ЭЦН</t>
  </si>
  <si>
    <t>Ограничения</t>
  </si>
  <si>
    <t>Буферное постоянно</t>
  </si>
  <si>
    <t>Забойное давление по IPR</t>
  </si>
  <si>
    <t>Другая корреляция</t>
  </si>
  <si>
    <t>Другой диаметр</t>
  </si>
  <si>
    <r>
      <t>γ</t>
    </r>
    <r>
      <rPr>
        <vertAlign val="subscript"/>
        <sz val="12"/>
        <color theme="1"/>
        <rFont val="Calibri"/>
        <family val="2"/>
        <charset val="204"/>
      </rPr>
      <t>o</t>
    </r>
  </si>
  <si>
    <r>
      <t>кг/м</t>
    </r>
    <r>
      <rPr>
        <vertAlign val="superscript"/>
        <sz val="12"/>
        <rFont val="Calibri"/>
        <family val="2"/>
        <charset val="204"/>
        <scheme val="minor"/>
      </rPr>
      <t>3</t>
    </r>
  </si>
  <si>
    <r>
      <t>γ</t>
    </r>
    <r>
      <rPr>
        <vertAlign val="subscript"/>
        <sz val="12"/>
        <color theme="1"/>
        <rFont val="Calibri"/>
        <family val="2"/>
        <charset val="204"/>
        <scheme val="minor"/>
      </rPr>
      <t>w</t>
    </r>
  </si>
  <si>
    <r>
      <t>γ</t>
    </r>
    <r>
      <rPr>
        <vertAlign val="subscript"/>
        <sz val="12"/>
        <color theme="1"/>
        <rFont val="Calibri"/>
        <family val="2"/>
        <charset val="204"/>
        <scheme val="minor"/>
      </rPr>
      <t>g</t>
    </r>
  </si>
  <si>
    <r>
      <t>R</t>
    </r>
    <r>
      <rPr>
        <vertAlign val="subscript"/>
        <sz val="12"/>
        <color theme="1"/>
        <rFont val="Calibri"/>
        <family val="2"/>
        <charset val="204"/>
        <scheme val="minor"/>
      </rPr>
      <t>sb</t>
    </r>
  </si>
  <si>
    <r>
      <t>м</t>
    </r>
    <r>
      <rPr>
        <vertAlign val="superscript"/>
        <sz val="12"/>
        <color theme="1"/>
        <rFont val="Calibri"/>
        <family val="2"/>
        <charset val="204"/>
        <scheme val="minor"/>
      </rPr>
      <t>3</t>
    </r>
    <r>
      <rPr>
        <sz val="12"/>
        <rFont val="Arial Cyr"/>
        <charset val="204"/>
      </rPr>
      <t>/м</t>
    </r>
    <r>
      <rPr>
        <vertAlign val="superscript"/>
        <sz val="12"/>
        <color theme="1"/>
        <rFont val="Calibri"/>
        <family val="2"/>
        <charset val="204"/>
        <scheme val="minor"/>
      </rPr>
      <t>3</t>
    </r>
  </si>
  <si>
    <r>
      <t>м</t>
    </r>
    <r>
      <rPr>
        <vertAlign val="superscript"/>
        <sz val="12"/>
        <rFont val="Calibri"/>
        <family val="2"/>
        <charset val="204"/>
        <scheme val="minor"/>
      </rPr>
      <t>3</t>
    </r>
    <r>
      <rPr>
        <sz val="12"/>
        <rFont val="Arial Cyr"/>
        <charset val="204"/>
      </rPr>
      <t>/т</t>
    </r>
  </si>
  <si>
    <r>
      <t>R</t>
    </r>
    <r>
      <rPr>
        <vertAlign val="subscript"/>
        <sz val="12"/>
        <color theme="1"/>
        <rFont val="Calibri"/>
        <family val="2"/>
        <charset val="204"/>
        <scheme val="minor"/>
      </rPr>
      <t>p</t>
    </r>
  </si>
  <si>
    <r>
      <t>P</t>
    </r>
    <r>
      <rPr>
        <vertAlign val="subscript"/>
        <sz val="12"/>
        <color theme="1"/>
        <rFont val="Calibri"/>
        <family val="2"/>
        <charset val="204"/>
        <scheme val="minor"/>
      </rPr>
      <t>b cal</t>
    </r>
  </si>
  <si>
    <r>
      <t>T</t>
    </r>
    <r>
      <rPr>
        <vertAlign val="subscript"/>
        <sz val="12"/>
        <color theme="1"/>
        <rFont val="Calibri"/>
        <family val="2"/>
        <charset val="204"/>
        <scheme val="minor"/>
      </rPr>
      <t>res</t>
    </r>
  </si>
  <si>
    <r>
      <t>B</t>
    </r>
    <r>
      <rPr>
        <vertAlign val="subscript"/>
        <sz val="12"/>
        <color theme="1"/>
        <rFont val="Calibri"/>
        <family val="2"/>
        <charset val="204"/>
        <scheme val="minor"/>
      </rPr>
      <t>ob cal</t>
    </r>
  </si>
  <si>
    <r>
      <t>H</t>
    </r>
    <r>
      <rPr>
        <vertAlign val="subscript"/>
        <sz val="12"/>
        <rFont val="Arial Cyr"/>
        <charset val="204"/>
      </rPr>
      <t>mes</t>
    </r>
  </si>
  <si>
    <r>
      <t>H</t>
    </r>
    <r>
      <rPr>
        <vertAlign val="subscript"/>
        <sz val="12"/>
        <rFont val="Arial Cyr"/>
        <charset val="204"/>
      </rPr>
      <t>mes</t>
    </r>
    <r>
      <rPr>
        <sz val="12"/>
        <rFont val="Arial Cyr"/>
        <charset val="204"/>
      </rPr>
      <t>-H</t>
    </r>
    <r>
      <rPr>
        <vertAlign val="subscript"/>
        <sz val="12"/>
        <rFont val="Arial Cyr"/>
        <charset val="204"/>
      </rPr>
      <t>vert</t>
    </r>
  </si>
  <si>
    <r>
      <t>H</t>
    </r>
    <r>
      <rPr>
        <vertAlign val="subscript"/>
        <sz val="12"/>
        <rFont val="Arial Cyr"/>
        <charset val="204"/>
      </rPr>
      <t>pump</t>
    </r>
  </si>
  <si>
    <r>
      <t>ID</t>
    </r>
    <r>
      <rPr>
        <vertAlign val="subscript"/>
        <sz val="12"/>
        <rFont val="Arial Cyr"/>
        <charset val="204"/>
      </rPr>
      <t>cas</t>
    </r>
  </si>
  <si>
    <r>
      <t>OD</t>
    </r>
    <r>
      <rPr>
        <vertAlign val="subscript"/>
        <sz val="12"/>
        <rFont val="Arial Cyr"/>
        <charset val="204"/>
      </rPr>
      <t>tub</t>
    </r>
  </si>
  <si>
    <r>
      <t>ID</t>
    </r>
    <r>
      <rPr>
        <vertAlign val="subscript"/>
        <sz val="12"/>
        <rFont val="Arial Cyr"/>
        <charset val="204"/>
      </rPr>
      <t>tub</t>
    </r>
  </si>
  <si>
    <r>
      <t>D</t>
    </r>
    <r>
      <rPr>
        <vertAlign val="subscript"/>
        <sz val="12"/>
        <rFont val="Arial Cyr"/>
        <charset val="204"/>
      </rPr>
      <t>intake</t>
    </r>
  </si>
  <si>
    <r>
      <t>P</t>
    </r>
    <r>
      <rPr>
        <vertAlign val="subscript"/>
        <sz val="12"/>
        <rFont val="Arial Cyr"/>
        <charset val="204"/>
      </rPr>
      <t>buf</t>
    </r>
  </si>
  <si>
    <r>
      <t>P</t>
    </r>
    <r>
      <rPr>
        <vertAlign val="subscript"/>
        <sz val="12"/>
        <rFont val="Arial Cyr"/>
        <charset val="204"/>
      </rPr>
      <t>intake</t>
    </r>
  </si>
  <si>
    <r>
      <t>T</t>
    </r>
    <r>
      <rPr>
        <vertAlign val="subscript"/>
        <sz val="12"/>
        <rFont val="Arial Cyr"/>
        <charset val="204"/>
      </rPr>
      <t>intake</t>
    </r>
  </si>
  <si>
    <r>
      <t>P</t>
    </r>
    <r>
      <rPr>
        <vertAlign val="subscript"/>
        <sz val="12"/>
        <rFont val="Arial Cyr"/>
        <charset val="204"/>
      </rPr>
      <t>dis</t>
    </r>
  </si>
  <si>
    <r>
      <t>P</t>
    </r>
    <r>
      <rPr>
        <vertAlign val="subscript"/>
        <sz val="12"/>
        <rFont val="Arial Cyr"/>
        <charset val="204"/>
      </rPr>
      <t>wf</t>
    </r>
  </si>
  <si>
    <r>
      <t>Q</t>
    </r>
    <r>
      <rPr>
        <vertAlign val="subscript"/>
        <sz val="12"/>
        <rFont val="Arial Cyr"/>
        <charset val="204"/>
      </rPr>
      <t>liq</t>
    </r>
  </si>
  <si>
    <r>
      <t>f</t>
    </r>
    <r>
      <rPr>
        <vertAlign val="subscript"/>
        <sz val="12"/>
        <rFont val="Arial Cyr"/>
        <charset val="204"/>
      </rPr>
      <t>w</t>
    </r>
  </si>
  <si>
    <r>
      <t>ЭЦН Q</t>
    </r>
    <r>
      <rPr>
        <vertAlign val="subscript"/>
        <sz val="12"/>
        <rFont val="Arial Cyr"/>
        <charset val="204"/>
      </rPr>
      <t>nom</t>
    </r>
  </si>
  <si>
    <r>
      <t>ЭЦН H</t>
    </r>
    <r>
      <rPr>
        <vertAlign val="subscript"/>
        <sz val="12"/>
        <rFont val="Arial Cyr"/>
        <charset val="204"/>
      </rPr>
      <t>nom</t>
    </r>
  </si>
  <si>
    <r>
      <t>ЭЦН Q</t>
    </r>
    <r>
      <rPr>
        <vertAlign val="subscript"/>
        <sz val="12"/>
        <rFont val="Arial Cyr"/>
        <charset val="204"/>
      </rPr>
      <t>max</t>
    </r>
  </si>
  <si>
    <r>
      <t>K</t>
    </r>
    <r>
      <rPr>
        <vertAlign val="subscript"/>
        <sz val="12"/>
        <rFont val="Arial Cyr"/>
        <charset val="204"/>
      </rPr>
      <t>sep гс</t>
    </r>
  </si>
  <si>
    <r>
      <t>P</t>
    </r>
    <r>
      <rPr>
        <vertAlign val="subscript"/>
        <sz val="12"/>
        <rFont val="Arial Cyr"/>
        <charset val="204"/>
      </rPr>
      <t>sep</t>
    </r>
  </si>
  <si>
    <r>
      <t>T</t>
    </r>
    <r>
      <rPr>
        <vertAlign val="subscript"/>
        <sz val="12"/>
        <rFont val="Arial Cyr"/>
        <charset val="204"/>
      </rPr>
      <t>sep</t>
    </r>
  </si>
  <si>
    <r>
      <t>P</t>
    </r>
    <r>
      <rPr>
        <vertAlign val="subscript"/>
        <sz val="12"/>
        <rFont val="Arial Cyr"/>
        <charset val="204"/>
      </rPr>
      <t>res</t>
    </r>
  </si>
  <si>
    <t>Отложения парафинов</t>
  </si>
  <si>
    <t>Глубина спуска</t>
  </si>
  <si>
    <t>Доля газа в потоке</t>
  </si>
  <si>
    <t>Расход смеси</t>
  </si>
  <si>
    <t>PVT строка без сепарации</t>
  </si>
  <si>
    <t>PVT строка с сепарацией</t>
  </si>
  <si>
    <t>q</t>
  </si>
  <si>
    <t>Установка</t>
  </si>
  <si>
    <t>Функции</t>
  </si>
  <si>
    <t>=MF_p_pipe_atma(Q_;fw_;B64-$B$63;$D$63;0;PVT_str_2;;Dtub_;;$C$63;C64)</t>
  </si>
  <si>
    <t>=MF_p_pipe_atma(Q_;fw_;B65-$B$64;$E$64;0;PVT_str_2;;Dtub_;1;$C$64;C65)</t>
  </si>
  <si>
    <t>=MF_p_pipe_atma(Q_;fw_;B65-$B$64;$D$64;0;PVT_str_2;;$F$62;;$C$64;C65)</t>
  </si>
  <si>
    <t>=MF_p_pipe_atma(Q_;fw_;B65-$B$64;$G$64;0;PVT_str_2;;$G$62;;$C$64;C65)</t>
  </si>
  <si>
    <t>=MF_p_pipe_atma(Q_;fw_;B65-$B$64;$D$64;0;PVT_str_2;;Dtub_;;$C$64;C65)</t>
  </si>
  <si>
    <t>=MF_gas_fraction_d(E65;C65;fw_;PVT_str_2)</t>
  </si>
  <si>
    <t>=MF_q_mix_rc_m3day(Q_;fw_;D64;C64;PVT_str_2)</t>
  </si>
  <si>
    <t>=MF_p_pipe_atma(Q_;fw_;B83-$B$84;$N$84;1;PVT_str_2;;Dtub_;1;$C$84;C83)</t>
  </si>
  <si>
    <t>=MF_ksep_natural_d(Q_;wc_;N79;C79;Dintake_;Dcas_;PVT_str_)</t>
  </si>
  <si>
    <t>=MF_ksep_total_d(O79;KsepGasSep_)</t>
  </si>
  <si>
    <t>=MF_gas_fraction_d(N79;C79;fw_;PVT_str_2)</t>
  </si>
  <si>
    <t>=ESP_dp_atm($N$62;fw_;N79;NumStage_;Freq_;PumpID_;PVT_str_;C79;0;1;;$N$61)</t>
  </si>
  <si>
    <t>=MF_p_pipe_atma($N$62;fw_;B78-$B$79;$S$79;1;PVT_str_;;Dtub_;;$C$79;C78)</t>
  </si>
  <si>
    <t>=MF_gas_fraction_d(S79;C79;fw_;PVT_str_)</t>
  </si>
  <si>
    <t>P сверху вниз (Ф)</t>
  </si>
  <si>
    <t>P снизу вверх (ЭЦН)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</si>
</sst>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charset val="204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b/>
      <sz val="12"/>
      <name val="Arial Cyr"/>
      <charset val="204"/>
    </font>
    <font>
      <sz val="12"/>
      <name val="Arial Cyr"/>
      <charset val="204"/>
    </font>
    <font>
      <sz val="12"/>
      <color theme="1"/>
      <name val="Calibri"/>
      <family val="2"/>
      <charset val="204"/>
    </font>
    <font>
      <vertAlign val="subscript"/>
      <sz val="12"/>
      <color theme="1"/>
      <name val="Calibri"/>
      <family val="2"/>
      <charset val="204"/>
    </font>
    <font>
      <vertAlign val="superscript"/>
      <sz val="12"/>
      <name val="Calibri"/>
      <family val="2"/>
      <charset val="204"/>
      <scheme val="minor"/>
    </font>
    <font>
      <vertAlign val="subscript"/>
      <sz val="12"/>
      <color theme="1"/>
      <name val="Calibri"/>
      <family val="2"/>
      <charset val="204"/>
      <scheme val="minor"/>
    </font>
    <font>
      <vertAlign val="superscript"/>
      <sz val="12"/>
      <color theme="1"/>
      <name val="Calibri"/>
      <family val="2"/>
      <charset val="204"/>
      <scheme val="minor"/>
    </font>
    <font>
      <vertAlign val="subscript"/>
      <sz val="12"/>
      <name val="Arial Cyr"/>
      <charset val="204"/>
    </font>
    <font>
      <sz val="12"/>
      <color theme="1"/>
      <name val="Arial Cyr"/>
      <charset val="204"/>
    </font>
    <font>
      <sz val="12"/>
      <color rgb="FFFF0000"/>
      <name val="Arial Cyr"/>
      <charset val="204"/>
    </font>
    <font>
      <sz val="12"/>
      <color theme="0"/>
      <name val="Arial Cyr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1"/>
    <xf numFmtId="0" fontId="4" fillId="0" borderId="0"/>
    <xf numFmtId="0" fontId="2" fillId="0" borderId="0"/>
    <xf numFmtId="0" fontId="1" fillId="0" borderId="0"/>
    <xf numFmtId="9" fontId="5" fillId="0" borderId="0" applyFont="0" applyFill="0" applyBorder="0" applyAlignment="0" applyProtection="0"/>
  </cellStyleXfs>
  <cellXfs count="48">
    <xf numFmtId="0" fontId="0" fillId="0" borderId="0" xfId="0"/>
    <xf numFmtId="0" fontId="6" fillId="0" borderId="0" xfId="0" applyFont="1"/>
    <xf numFmtId="0" fontId="7" fillId="0" borderId="0" xfId="0" applyFont="1"/>
    <xf numFmtId="0" fontId="8" fillId="3" borderId="2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 wrapText="1"/>
    </xf>
    <xf numFmtId="1" fontId="7" fillId="4" borderId="2" xfId="0" applyNumberFormat="1" applyFont="1" applyFill="1" applyBorder="1" applyAlignment="1">
      <alignment horizontal="center"/>
    </xf>
    <xf numFmtId="0" fontId="11" fillId="3" borderId="2" xfId="0" applyFont="1" applyFill="1" applyBorder="1" applyAlignment="1">
      <alignment horizontal="center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/>
    </xf>
    <xf numFmtId="0" fontId="7" fillId="6" borderId="2" xfId="0" applyFont="1" applyFill="1" applyBorder="1" applyAlignment="1">
      <alignment horizontal="center" wrapText="1"/>
    </xf>
    <xf numFmtId="0" fontId="7" fillId="6" borderId="2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 wrapText="1"/>
    </xf>
    <xf numFmtId="0" fontId="7" fillId="6" borderId="2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9" fontId="7" fillId="2" borderId="2" xfId="0" applyNumberFormat="1" applyFont="1" applyFill="1" applyBorder="1" applyAlignment="1">
      <alignment horizontal="center"/>
    </xf>
    <xf numFmtId="2" fontId="7" fillId="9" borderId="2" xfId="0" applyNumberFormat="1" applyFont="1" applyFill="1" applyBorder="1" applyAlignment="1">
      <alignment horizontal="center"/>
    </xf>
    <xf numFmtId="2" fontId="7" fillId="2" borderId="2" xfId="0" applyNumberFormat="1" applyFont="1" applyFill="1" applyBorder="1" applyAlignment="1">
      <alignment horizontal="center"/>
    </xf>
    <xf numFmtId="2" fontId="7" fillId="4" borderId="2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/>
    </xf>
    <xf numFmtId="0" fontId="14" fillId="8" borderId="0" xfId="0" applyFont="1" applyFill="1"/>
    <xf numFmtId="0" fontId="7" fillId="6" borderId="2" xfId="0" applyFont="1" applyFill="1" applyBorder="1" applyAlignment="1">
      <alignment horizontal="center" vertical="center" wrapText="1"/>
    </xf>
    <xf numFmtId="0" fontId="7" fillId="0" borderId="0" xfId="0" applyFont="1" applyFill="1" applyBorder="1"/>
    <xf numFmtId="0" fontId="14" fillId="0" borderId="0" xfId="0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center" vertical="center" wrapText="1"/>
    </xf>
    <xf numFmtId="9" fontId="7" fillId="0" borderId="0" xfId="5" applyFont="1" applyFill="1" applyBorder="1" applyAlignment="1">
      <alignment horizontal="center"/>
    </xf>
    <xf numFmtId="2" fontId="7" fillId="0" borderId="0" xfId="0" applyNumberFormat="1" applyFont="1" applyFill="1" applyBorder="1"/>
    <xf numFmtId="2" fontId="14" fillId="0" borderId="0" xfId="0" applyNumberFormat="1" applyFont="1" applyFill="1" applyBorder="1" applyAlignment="1">
      <alignment horizontal="center"/>
    </xf>
    <xf numFmtId="0" fontId="7" fillId="0" borderId="0" xfId="0" quotePrefix="1" applyFont="1"/>
    <xf numFmtId="0" fontId="7" fillId="8" borderId="0" xfId="0" applyFont="1" applyFill="1"/>
    <xf numFmtId="0" fontId="7" fillId="8" borderId="2" xfId="0" applyFont="1" applyFill="1" applyBorder="1" applyAlignment="1">
      <alignment horizontal="center" vertical="center"/>
    </xf>
    <xf numFmtId="0" fontId="16" fillId="0" borderId="0" xfId="0" applyFont="1"/>
    <xf numFmtId="0" fontId="16" fillId="0" borderId="0" xfId="0" quotePrefix="1" applyFont="1"/>
    <xf numFmtId="0" fontId="16" fillId="0" borderId="0" xfId="0" applyFont="1" applyFill="1" applyBorder="1"/>
    <xf numFmtId="0" fontId="7" fillId="0" borderId="0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/>
    </xf>
    <xf numFmtId="2" fontId="14" fillId="0" borderId="0" xfId="0" applyNumberFormat="1" applyFont="1" applyFill="1" applyBorder="1"/>
  </cellXfs>
  <cellStyles count="6">
    <cellStyle name="Iau?iue_AA_1" xfId="1" xr:uid="{00000000-0005-0000-0000-000000000000}"/>
    <cellStyle name="Обычный" xfId="0" builtinId="0"/>
    <cellStyle name="Обычный 2" xfId="2" xr:uid="{00000000-0005-0000-0000-000003000000}"/>
    <cellStyle name="Обычный 3" xfId="3" xr:uid="{00000000-0005-0000-0000-000004000000}"/>
    <cellStyle name="Обычный 3 2" xfId="4" xr:uid="{00000000-0005-0000-0000-000005000000}"/>
    <cellStyle name="Процентный" xfId="5" builtinId="5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Объемное</a:t>
            </a:r>
            <a:r>
              <a:rPr lang="ru-RU" baseline="0"/>
              <a:t> содержание газа в потоке ГЖС</a:t>
            </a:r>
            <a:endParaRPr lang="ru-RU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well!$I$63</c:f>
              <c:strCache>
                <c:ptCount val="1"/>
                <c:pt idx="0">
                  <c:v>Доля газа в потоке</c:v>
                </c:pt>
              </c:strCache>
            </c:strRef>
          </c:tx>
          <c:xVal>
            <c:numRef>
              <c:f>well!$I$64:$I$84</c:f>
              <c:numCache>
                <c:formatCode>General</c:formatCode>
                <c:ptCount val="21"/>
                <c:pt idx="0">
                  <c:v>0.77201890811593255</c:v>
                </c:pt>
                <c:pt idx="1">
                  <c:v>0.73985410174663269</c:v>
                </c:pt>
                <c:pt idx="2">
                  <c:v>0.70042644933841103</c:v>
                </c:pt>
                <c:pt idx="3">
                  <c:v>0.65843654866446455</c:v>
                </c:pt>
                <c:pt idx="4">
                  <c:v>0.61412156777187055</c:v>
                </c:pt>
                <c:pt idx="5">
                  <c:v>0.56778076703816871</c:v>
                </c:pt>
                <c:pt idx="6">
                  <c:v>0.51975947954513357</c:v>
                </c:pt>
                <c:pt idx="7">
                  <c:v>0.47043070701816708</c:v>
                </c:pt>
                <c:pt idx="8">
                  <c:v>0.4201759986232308</c:v>
                </c:pt>
                <c:pt idx="9">
                  <c:v>0.36936741490485508</c:v>
                </c:pt>
                <c:pt idx="10">
                  <c:v>0.31824775123148186</c:v>
                </c:pt>
                <c:pt idx="11">
                  <c:v>0.26702260451601273</c:v>
                </c:pt>
                <c:pt idx="12">
                  <c:v>0.21623621997538411</c:v>
                </c:pt>
                <c:pt idx="13">
                  <c:v>0.16609586997288939</c:v>
                </c:pt>
                <c:pt idx="14">
                  <c:v>0.11676129160273291</c:v>
                </c:pt>
                <c:pt idx="15">
                  <c:v>6.8345969945157223E-2</c:v>
                </c:pt>
                <c:pt idx="16">
                  <c:v>2.0921272959634491E-2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xVal>
          <c:yVal>
            <c:numRef>
              <c:f>well!$B$64:$B$84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21CA-4CEE-B8B5-ABB26B1B19CE}"/>
            </c:ext>
          </c:extLst>
        </c:ser>
        <c:ser>
          <c:idx val="3"/>
          <c:order val="1"/>
          <c:tx>
            <c:strRef>
              <c:f>well!$Q$63</c:f>
              <c:strCache>
                <c:ptCount val="1"/>
                <c:pt idx="0">
                  <c:v>Доля газа до сепарации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xVal>
            <c:numRef>
              <c:f>well!$Q$64:$Q$84</c:f>
              <c:numCache>
                <c:formatCode>General</c:formatCode>
                <c:ptCount val="21"/>
                <c:pt idx="15">
                  <c:v>0.51403057823493636</c:v>
                </c:pt>
                <c:pt idx="16">
                  <c:v>0.47085989247468435</c:v>
                </c:pt>
                <c:pt idx="17">
                  <c:v>0.42720886850948231</c:v>
                </c:pt>
                <c:pt idx="18">
                  <c:v>0.38333667561684098</c:v>
                </c:pt>
                <c:pt idx="19">
                  <c:v>0.3394804500103103</c:v>
                </c:pt>
                <c:pt idx="20">
                  <c:v>0.29564550643585058</c:v>
                </c:pt>
              </c:numCache>
            </c:numRef>
          </c:xVal>
          <c:yVal>
            <c:numRef>
              <c:f>well!$B$64:$B$84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21CA-4CEE-B8B5-ABB26B1B19CE}"/>
            </c:ext>
          </c:extLst>
        </c:ser>
        <c:ser>
          <c:idx val="2"/>
          <c:order val="2"/>
          <c:tx>
            <c:strRef>
              <c:f>well!$T$63</c:f>
              <c:strCache>
                <c:ptCount val="1"/>
                <c:pt idx="0">
                  <c:v>Доля газа после сепарации</c:v>
                </c:pt>
              </c:strCache>
            </c:strRef>
          </c:tx>
          <c:xVal>
            <c:numRef>
              <c:f>well!$T$64:$T$84</c:f>
              <c:numCache>
                <c:formatCode>General</c:formatCode>
                <c:ptCount val="21"/>
                <c:pt idx="0">
                  <c:v>0.41271529710139848</c:v>
                </c:pt>
                <c:pt idx="1">
                  <c:v>0.30207058764847966</c:v>
                </c:pt>
                <c:pt idx="2">
                  <c:v>0.19089337252503616</c:v>
                </c:pt>
                <c:pt idx="3">
                  <c:v>7.5035429276090831E-2</c:v>
                </c:pt>
                <c:pt idx="4">
                  <c:v>2.5389367003848388E-17</c:v>
                </c:pt>
                <c:pt idx="5">
                  <c:v>2.2171242037401127E-17</c:v>
                </c:pt>
                <c:pt idx="6">
                  <c:v>1.974238777765357E-17</c:v>
                </c:pt>
                <c:pt idx="7">
                  <c:v>1.7852479026055964E-17</c:v>
                </c:pt>
                <c:pt idx="8">
                  <c:v>1.6346255173738697E-17</c:v>
                </c:pt>
                <c:pt idx="9">
                  <c:v>1.5122433426075226E-17</c:v>
                </c:pt>
                <c:pt idx="10">
                  <c:v>1.4112215299084812E-17</c:v>
                </c:pt>
                <c:pt idx="11">
                  <c:v>1.3267293181748694E-17</c:v>
                </c:pt>
                <c:pt idx="12">
                  <c:v>1.2552797617137878E-17</c:v>
                </c:pt>
                <c:pt idx="13">
                  <c:v>1.1942965620137346E-17</c:v>
                </c:pt>
                <c:pt idx="14">
                  <c:v>1.1418380831725775E-17</c:v>
                </c:pt>
                <c:pt idx="15">
                  <c:v>1.0964159097827486E-17</c:v>
                </c:pt>
              </c:numCache>
            </c:numRef>
          </c:xVal>
          <c:yVal>
            <c:numRef>
              <c:f>well!$B$64:$B$84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21CA-4CEE-B8B5-ABB26B1B19CE}"/>
            </c:ext>
          </c:extLst>
        </c:ser>
        <c:ser>
          <c:idx val="0"/>
          <c:order val="3"/>
          <c:tx>
            <c:strRef>
              <c:f>well!$Q$63</c:f>
              <c:strCache>
                <c:ptCount val="1"/>
                <c:pt idx="0">
                  <c:v>Доля газа до сепарации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well!$Q$64:$Q$84</c:f>
              <c:numCache>
                <c:formatCode>General</c:formatCode>
                <c:ptCount val="21"/>
                <c:pt idx="15">
                  <c:v>0.51403057823493636</c:v>
                </c:pt>
                <c:pt idx="16">
                  <c:v>0.47085989247468435</c:v>
                </c:pt>
                <c:pt idx="17">
                  <c:v>0.42720886850948231</c:v>
                </c:pt>
                <c:pt idx="18">
                  <c:v>0.38333667561684098</c:v>
                </c:pt>
                <c:pt idx="19">
                  <c:v>0.3394804500103103</c:v>
                </c:pt>
                <c:pt idx="20">
                  <c:v>0.29564550643585058</c:v>
                </c:pt>
              </c:numCache>
            </c:numRef>
          </c:xVal>
          <c:yVal>
            <c:numRef>
              <c:f>well!$B$64:$B$84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21CA-4CEE-B8B5-ABB26B1B19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4304640"/>
        <c:axId val="304305216"/>
      </c:scatterChart>
      <c:valAx>
        <c:axId val="304304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Доля газа, д.ед.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4305216"/>
        <c:crosses val="autoZero"/>
        <c:crossBetween val="midCat"/>
      </c:valAx>
      <c:valAx>
        <c:axId val="304305216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Глубина,</a:t>
                </a:r>
                <a:r>
                  <a:rPr lang="ru-RU" baseline="0"/>
                  <a:t> 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4304640"/>
        <c:crosses val="autoZero"/>
        <c:crossBetween val="midCat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IPR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well!$C$89</c:f>
              <c:strCache>
                <c:ptCount val="1"/>
                <c:pt idx="0">
                  <c:v>Забойное давление по IPR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well!$B$90:$B$107</c:f>
              <c:numCache>
                <c:formatCode>General</c:formatCode>
                <c:ptCount val="18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</c:numCache>
            </c:numRef>
          </c:xVal>
          <c:yVal>
            <c:numRef>
              <c:f>well!$C$90:$C$107</c:f>
              <c:numCache>
                <c:formatCode>General</c:formatCode>
                <c:ptCount val="18"/>
                <c:pt idx="0">
                  <c:v>250</c:v>
                </c:pt>
                <c:pt idx="1">
                  <c:v>236.25</c:v>
                </c:pt>
                <c:pt idx="2">
                  <c:v>222.5</c:v>
                </c:pt>
                <c:pt idx="3">
                  <c:v>208.75</c:v>
                </c:pt>
                <c:pt idx="4">
                  <c:v>195</c:v>
                </c:pt>
                <c:pt idx="5">
                  <c:v>181.25</c:v>
                </c:pt>
                <c:pt idx="6">
                  <c:v>167.5</c:v>
                </c:pt>
                <c:pt idx="7">
                  <c:v>153.75</c:v>
                </c:pt>
                <c:pt idx="8">
                  <c:v>140</c:v>
                </c:pt>
                <c:pt idx="9">
                  <c:v>126.25</c:v>
                </c:pt>
                <c:pt idx="10">
                  <c:v>112.27922061357854</c:v>
                </c:pt>
                <c:pt idx="11">
                  <c:v>96.747483193135054</c:v>
                </c:pt>
                <c:pt idx="12">
                  <c:v>78.674969975975969</c:v>
                </c:pt>
                <c:pt idx="13">
                  <c:v>56.151247353788534</c:v>
                </c:pt>
                <c:pt idx="14">
                  <c:v>21.742346141747674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146-4912-9447-76F925EB70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648104"/>
        <c:axId val="589648760"/>
      </c:scatterChart>
      <c:valAx>
        <c:axId val="589648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9648760"/>
        <c:crosses val="autoZero"/>
        <c:crossBetween val="midCat"/>
      </c:valAx>
      <c:valAx>
        <c:axId val="589648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9648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Распределение</a:t>
            </a:r>
            <a:r>
              <a:rPr lang="ru-RU" baseline="0"/>
              <a:t> давления</a:t>
            </a:r>
            <a:endParaRPr lang="ru-RU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well!$D$63</c:f>
              <c:strCache>
                <c:ptCount val="1"/>
                <c:pt idx="0">
                  <c:v>P сверху вниз (Ф)</c:v>
                </c:pt>
              </c:strCache>
            </c:strRef>
          </c:tx>
          <c:xVal>
            <c:numRef>
              <c:f>well!$D$64:$D$84</c:f>
              <c:numCache>
                <c:formatCode>General</c:formatCode>
                <c:ptCount val="21"/>
                <c:pt idx="0">
                  <c:v>20</c:v>
                </c:pt>
                <c:pt idx="1">
                  <c:v>23.8804496621269</c:v>
                </c:pt>
                <c:pt idx="2">
                  <c:v>28.059343253433077</c:v>
                </c:pt>
                <c:pt idx="3">
                  <c:v>32.525744599305952</c:v>
                </c:pt>
                <c:pt idx="4">
                  <c:v>37.266088198053957</c:v>
                </c:pt>
                <c:pt idx="5">
                  <c:v>42.264834455324866</c:v>
                </c:pt>
                <c:pt idx="6">
                  <c:v>47.505072740887172</c:v>
                </c:pt>
                <c:pt idx="7">
                  <c:v>52.969076957540999</c:v>
                </c:pt>
                <c:pt idx="8">
                  <c:v>58.638804990441983</c:v>
                </c:pt>
                <c:pt idx="9">
                  <c:v>64.496330983251553</c:v>
                </c:pt>
                <c:pt idx="10">
                  <c:v>70.524202426776597</c:v>
                </c:pt>
                <c:pt idx="11">
                  <c:v>76.705719268955832</c:v>
                </c:pt>
                <c:pt idx="12">
                  <c:v>83.025147320736565</c:v>
                </c:pt>
                <c:pt idx="13">
                  <c:v>89.582106167973961</c:v>
                </c:pt>
                <c:pt idx="14">
                  <c:v>96.436854264816475</c:v>
                </c:pt>
                <c:pt idx="15">
                  <c:v>103.57991682282803</c:v>
                </c:pt>
                <c:pt idx="16">
                  <c:v>111.00415091642307</c:v>
                </c:pt>
                <c:pt idx="17">
                  <c:v>118.68941589531273</c:v>
                </c:pt>
                <c:pt idx="18">
                  <c:v>126.43113598620617</c:v>
                </c:pt>
                <c:pt idx="19">
                  <c:v>134.17053333800069</c:v>
                </c:pt>
                <c:pt idx="20">
                  <c:v>141.90671495449652</c:v>
                </c:pt>
              </c:numCache>
            </c:numRef>
          </c:xVal>
          <c:yVal>
            <c:numRef>
              <c:f>well!$B$64:$B$84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39-45C8-AE90-0318D6813A80}"/>
            </c:ext>
          </c:extLst>
        </c:ser>
        <c:ser>
          <c:idx val="2"/>
          <c:order val="1"/>
          <c:tx>
            <c:strRef>
              <c:f>well!$S$63</c:f>
              <c:strCache>
                <c:ptCount val="1"/>
                <c:pt idx="0">
                  <c:v>P снизу вверх (ЭЦН)</c:v>
                </c:pt>
              </c:strCache>
            </c:strRef>
          </c:tx>
          <c:xVal>
            <c:numRef>
              <c:f>well!$S$64:$S$84</c:f>
              <c:numCache>
                <c:formatCode>General</c:formatCode>
                <c:ptCount val="21"/>
                <c:pt idx="0">
                  <c:v>25.916138280832367</c:v>
                </c:pt>
                <c:pt idx="1">
                  <c:v>31.91001156080441</c:v>
                </c:pt>
                <c:pt idx="2">
                  <c:v>38.370421370091385</c:v>
                </c:pt>
                <c:pt idx="3">
                  <c:v>45.610371391398317</c:v>
                </c:pt>
                <c:pt idx="4">
                  <c:v>53.644021233082142</c:v>
                </c:pt>
                <c:pt idx="5">
                  <c:v>61.840501720279896</c:v>
                </c:pt>
                <c:pt idx="6">
                  <c:v>70.031792040396965</c:v>
                </c:pt>
                <c:pt idx="7">
                  <c:v>78.2169381394352</c:v>
                </c:pt>
                <c:pt idx="8">
                  <c:v>86.395272471418323</c:v>
                </c:pt>
                <c:pt idx="9">
                  <c:v>94.56630966600072</c:v>
                </c:pt>
                <c:pt idx="10">
                  <c:v>102.72968568807659</c:v>
                </c:pt>
                <c:pt idx="11">
                  <c:v>110.88512041546977</c:v>
                </c:pt>
                <c:pt idx="12">
                  <c:v>119.03239359676135</c:v>
                </c:pt>
                <c:pt idx="13">
                  <c:v>127.17132883515931</c:v>
                </c:pt>
                <c:pt idx="14">
                  <c:v>135.30178258666535</c:v>
                </c:pt>
                <c:pt idx="15">
                  <c:v>143.42363640107197</c:v>
                </c:pt>
              </c:numCache>
            </c:numRef>
          </c:xVal>
          <c:yVal>
            <c:numRef>
              <c:f>well!$B$64:$B$84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539-45C8-AE90-0318D6813A80}"/>
            </c:ext>
          </c:extLst>
        </c:ser>
        <c:ser>
          <c:idx val="0"/>
          <c:order val="2"/>
          <c:tx>
            <c:strRef>
              <c:f>well!$N$63</c:f>
              <c:strCache>
                <c:ptCount val="1"/>
                <c:pt idx="0">
                  <c:v>P снизу вверх (ЭЦН)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well!$N$64:$N$84</c:f>
              <c:numCache>
                <c:formatCode>General</c:formatCode>
                <c:ptCount val="21"/>
                <c:pt idx="15">
                  <c:v>50.474365556565566</c:v>
                </c:pt>
                <c:pt idx="16">
                  <c:v>55.886314203251771</c:v>
                </c:pt>
                <c:pt idx="17">
                  <c:v>61.556367565893098</c:v>
                </c:pt>
                <c:pt idx="18">
                  <c:v>67.470643593385631</c:v>
                </c:pt>
                <c:pt idx="19">
                  <c:v>73.614618685277037</c:v>
                </c:pt>
                <c:pt idx="20">
                  <c:v>80</c:v>
                </c:pt>
              </c:numCache>
            </c:numRef>
          </c:xVal>
          <c:yVal>
            <c:numRef>
              <c:f>well!$B$64:$B$84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539-45C8-AE90-0318D6813A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4304640"/>
        <c:axId val="304305216"/>
      </c:scatterChart>
      <c:valAx>
        <c:axId val="304304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Доля газа, д.ед.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4305216"/>
        <c:crosses val="autoZero"/>
        <c:crossBetween val="midCat"/>
      </c:valAx>
      <c:valAx>
        <c:axId val="304305216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Глубина,</a:t>
                </a:r>
                <a:r>
                  <a:rPr lang="ru-RU" baseline="0"/>
                  <a:t> 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4304640"/>
        <c:crosses val="autoZero"/>
        <c:crossBetween val="midCat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239069</xdr:colOff>
      <xdr:row>61</xdr:row>
      <xdr:rowOff>74721</xdr:rowOff>
    </xdr:from>
    <xdr:to>
      <xdr:col>37</xdr:col>
      <xdr:colOff>156382</xdr:colOff>
      <xdr:row>88</xdr:row>
      <xdr:rowOff>47725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AABF45AF-75FB-4EC7-8477-3E20979EBC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728382</xdr:colOff>
      <xdr:row>3</xdr:row>
      <xdr:rowOff>44824</xdr:rowOff>
    </xdr:from>
    <xdr:to>
      <xdr:col>14</xdr:col>
      <xdr:colOff>407613</xdr:colOff>
      <xdr:row>12</xdr:row>
      <xdr:rowOff>114161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C46E6903-ACEA-4E5C-92DA-5701E0074DEA}"/>
            </a:ext>
          </a:extLst>
        </xdr:cNvPr>
        <xdr:cNvSpPr txBox="1"/>
      </xdr:nvSpPr>
      <xdr:spPr>
        <a:xfrm>
          <a:off x="5905500" y="515471"/>
          <a:ext cx="5595937" cy="194071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aseline="0"/>
            <a:t>В упражнении рассматривается работа скважины, оснащенной ЭЦН, фонтанирующей через затруб.</a:t>
          </a:r>
        </a:p>
        <a:p>
          <a:endParaRPr lang="ru-RU" sz="1100" baseline="0"/>
        </a:p>
        <a:p>
          <a:r>
            <a:rPr lang="ru-RU" sz="1100" baseline="0"/>
            <a:t>Вопросы для проработки</a:t>
          </a:r>
        </a:p>
        <a:p>
          <a:r>
            <a:rPr lang="ru-RU" sz="1100" baseline="0"/>
            <a:t>1. Как влияет сепарация, естественная и искусственная, на работу скважины?</a:t>
          </a:r>
        </a:p>
        <a:p>
          <a:r>
            <a:rPr lang="ru-RU" sz="1100" baseline="0"/>
            <a:t>2. Что позволяет учесть коэффициент деградации напорной характеристики ЭЦН?</a:t>
          </a:r>
        </a:p>
        <a:p>
          <a:r>
            <a:rPr lang="ru-RU" sz="1100" baseline="0"/>
            <a:t>3. Какое минимальное забойное давление можно считать оптимальным?</a:t>
          </a:r>
        </a:p>
        <a:p>
          <a:endParaRPr lang="ru-RU" sz="1100" baseline="0"/>
        </a:p>
      </xdr:txBody>
    </xdr:sp>
    <xdr:clientData/>
  </xdr:twoCellAnchor>
  <xdr:twoCellAnchor>
    <xdr:from>
      <xdr:col>3</xdr:col>
      <xdr:colOff>283277</xdr:colOff>
      <xdr:row>89</xdr:row>
      <xdr:rowOff>33647</xdr:rowOff>
    </xdr:from>
    <xdr:to>
      <xdr:col>13</xdr:col>
      <xdr:colOff>0</xdr:colOff>
      <xdr:row>114</xdr:row>
      <xdr:rowOff>17318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35FDCEC-D979-4BA7-87D9-E7987DCE73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103910</xdr:colOff>
      <xdr:row>62</xdr:row>
      <xdr:rowOff>51955</xdr:rowOff>
    </xdr:from>
    <xdr:to>
      <xdr:col>31</xdr:col>
      <xdr:colOff>21224</xdr:colOff>
      <xdr:row>88</xdr:row>
      <xdr:rowOff>215459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4A1B58FC-E62C-40C8-84ED-9EFAFDFF7F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egk/Documents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base"/>
      <sheetName val="Info"/>
    </sheetNames>
    <definedNames>
      <definedName name="ESP_dp_atm"/>
      <definedName name="ESP_eff_fr"/>
      <definedName name="ESP_encode_string"/>
      <definedName name="ESP_head_m"/>
      <definedName name="ESP_id_by_rate"/>
      <definedName name="ESP_max_rate_m3day"/>
      <definedName name="ESP_name"/>
      <definedName name="getUFVersion"/>
      <definedName name="IPR_pi_sm3dayatm"/>
      <definedName name="IPR_pwf_atma"/>
      <definedName name="IPR_qliq_sm3day"/>
      <definedName name="MF_gas_fraction_d"/>
      <definedName name="MF_ksep_natural_d"/>
      <definedName name="MF_ksep_total_d"/>
      <definedName name="MF_p_pipe_atma"/>
      <definedName name="MF_q_mix_rc_m3day"/>
      <definedName name="PVT_encode_string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Worksheet_well">
    <outlinePr summaryBelow="0"/>
  </sheetPr>
  <dimension ref="A1:AW194"/>
  <sheetViews>
    <sheetView tabSelected="1" topLeftCell="A46" zoomScale="55" zoomScaleNormal="55" workbookViewId="0">
      <selection activeCell="T83" sqref="T83"/>
    </sheetView>
  </sheetViews>
  <sheetFormatPr defaultRowHeight="15" outlineLevelRow="1" x14ac:dyDescent="0.2"/>
  <cols>
    <col min="1" max="1" width="9.140625" style="2"/>
    <col min="2" max="2" width="26.28515625" style="2" customWidth="1"/>
    <col min="3" max="3" width="15.28515625" style="2" customWidth="1"/>
    <col min="4" max="4" width="15.5703125" style="2" bestFit="1" customWidth="1"/>
    <col min="5" max="5" width="15.5703125" style="2" customWidth="1"/>
    <col min="6" max="6" width="11.85546875" style="2" customWidth="1"/>
    <col min="7" max="7" width="24" style="2" bestFit="1" customWidth="1"/>
    <col min="8" max="8" width="10.85546875" style="2" bestFit="1" customWidth="1"/>
    <col min="9" max="9" width="12.28515625" style="2" customWidth="1"/>
    <col min="10" max="10" width="12.42578125" style="2" customWidth="1"/>
    <col min="11" max="11" width="11.28515625" style="2" customWidth="1"/>
    <col min="12" max="12" width="10.140625" style="2" customWidth="1"/>
    <col min="13" max="13" width="14" style="2" bestFit="1" customWidth="1"/>
    <col min="14" max="14" width="9.140625" style="2"/>
    <col min="15" max="15" width="13" style="2" customWidth="1"/>
    <col min="16" max="16" width="9.140625" style="2"/>
    <col min="17" max="17" width="15.85546875" style="2" bestFit="1" customWidth="1"/>
    <col min="18" max="18" width="9.5703125" style="2" bestFit="1" customWidth="1"/>
    <col min="19" max="19" width="12.5703125" style="2" customWidth="1"/>
    <col min="20" max="20" width="15.85546875" style="2" bestFit="1" customWidth="1"/>
    <col min="21" max="16384" width="9.140625" style="2"/>
  </cols>
  <sheetData>
    <row r="1" spans="1:7" ht="15.75" x14ac:dyDescent="0.25">
      <c r="A1" s="1" t="s">
        <v>25</v>
      </c>
      <c r="F1" s="2" t="s">
        <v>26</v>
      </c>
      <c r="G1" s="2" t="str">
        <f>[1]!getUFVersion()</f>
        <v>7.13</v>
      </c>
    </row>
    <row r="2" spans="1:7" x14ac:dyDescent="0.2">
      <c r="A2" s="2" t="s">
        <v>43</v>
      </c>
    </row>
    <row r="6" spans="1:7" ht="15.75" x14ac:dyDescent="0.25">
      <c r="A6" s="1" t="s">
        <v>16</v>
      </c>
    </row>
    <row r="7" spans="1:7" ht="19.5" outlineLevel="1" x14ac:dyDescent="0.35">
      <c r="B7" s="3" t="s">
        <v>49</v>
      </c>
      <c r="C7" s="4">
        <v>0.87</v>
      </c>
      <c r="D7" s="5"/>
      <c r="E7" s="6">
        <f>gamma_oil_*1000</f>
        <v>870</v>
      </c>
      <c r="F7" s="7" t="s">
        <v>50</v>
      </c>
    </row>
    <row r="8" spans="1:7" ht="19.5" outlineLevel="1" x14ac:dyDescent="0.35">
      <c r="B8" s="7" t="s">
        <v>51</v>
      </c>
      <c r="C8" s="4">
        <v>1</v>
      </c>
      <c r="D8" s="5"/>
      <c r="E8" s="6">
        <f>gamma_wat_*1000</f>
        <v>1000</v>
      </c>
      <c r="F8" s="7" t="s">
        <v>50</v>
      </c>
    </row>
    <row r="9" spans="1:7" ht="19.5" outlineLevel="1" x14ac:dyDescent="0.35">
      <c r="B9" s="7" t="s">
        <v>52</v>
      </c>
      <c r="C9" s="4">
        <v>0.8</v>
      </c>
      <c r="D9" s="5"/>
      <c r="E9" s="6">
        <f>gamma_gas_*1.22</f>
        <v>0.97599999999999998</v>
      </c>
      <c r="F9" s="7" t="s">
        <v>50</v>
      </c>
    </row>
    <row r="10" spans="1:7" ht="19.5" outlineLevel="1" x14ac:dyDescent="0.35">
      <c r="B10" s="8" t="s">
        <v>53</v>
      </c>
      <c r="C10" s="4">
        <v>80</v>
      </c>
      <c r="D10" s="7" t="s">
        <v>54</v>
      </c>
      <c r="E10" s="9">
        <f>Rsb_/gamma_oil_</f>
        <v>91.954022988505741</v>
      </c>
      <c r="F10" s="7" t="s">
        <v>55</v>
      </c>
    </row>
    <row r="11" spans="1:7" ht="19.5" outlineLevel="1" x14ac:dyDescent="0.35">
      <c r="B11" s="8" t="s">
        <v>56</v>
      </c>
      <c r="C11" s="4">
        <v>80</v>
      </c>
      <c r="D11" s="7" t="s">
        <v>54</v>
      </c>
      <c r="E11" s="9">
        <f>Rsb_/gamma_oil_</f>
        <v>91.954022988505741</v>
      </c>
      <c r="F11" s="7" t="s">
        <v>55</v>
      </c>
    </row>
    <row r="12" spans="1:7" ht="18.75" outlineLevel="1" x14ac:dyDescent="0.35">
      <c r="B12" s="7" t="s">
        <v>57</v>
      </c>
      <c r="C12" s="4">
        <v>120</v>
      </c>
      <c r="D12" s="5" t="s">
        <v>27</v>
      </c>
      <c r="E12" s="9">
        <f>Pb_*1.01325</f>
        <v>121.59</v>
      </c>
      <c r="F12" s="5" t="s">
        <v>28</v>
      </c>
    </row>
    <row r="13" spans="1:7" ht="18.75" outlineLevel="1" x14ac:dyDescent="0.35">
      <c r="B13" s="7" t="s">
        <v>58</v>
      </c>
      <c r="C13" s="4">
        <v>100</v>
      </c>
      <c r="D13" s="5" t="s">
        <v>2</v>
      </c>
      <c r="E13" s="9">
        <f>Tres_*9/5+32</f>
        <v>212</v>
      </c>
      <c r="F13" s="5" t="s">
        <v>29</v>
      </c>
    </row>
    <row r="14" spans="1:7" ht="19.5" outlineLevel="1" x14ac:dyDescent="0.35">
      <c r="B14" s="8" t="s">
        <v>59</v>
      </c>
      <c r="C14" s="4">
        <v>1.2</v>
      </c>
      <c r="D14" s="7" t="s">
        <v>54</v>
      </c>
    </row>
    <row r="15" spans="1:7" ht="18.75" x14ac:dyDescent="0.35">
      <c r="B15" s="10" t="s">
        <v>36</v>
      </c>
      <c r="C15" s="4">
        <v>5</v>
      </c>
      <c r="D15" s="7" t="s">
        <v>37</v>
      </c>
    </row>
    <row r="16" spans="1:7" x14ac:dyDescent="0.2">
      <c r="B16" s="11"/>
      <c r="C16" s="12"/>
    </row>
    <row r="17" spans="1:4" ht="15.75" outlineLevel="1" x14ac:dyDescent="0.25">
      <c r="A17" s="1" t="s">
        <v>17</v>
      </c>
      <c r="B17" s="11"/>
      <c r="C17" s="12"/>
    </row>
    <row r="18" spans="1:4" ht="19.5" outlineLevel="1" x14ac:dyDescent="0.35">
      <c r="B18" s="13" t="s">
        <v>60</v>
      </c>
      <c r="C18" s="4">
        <v>2000</v>
      </c>
      <c r="D18" s="14" t="s">
        <v>4</v>
      </c>
    </row>
    <row r="19" spans="1:4" ht="19.5" outlineLevel="1" x14ac:dyDescent="0.35">
      <c r="B19" s="13" t="s">
        <v>61</v>
      </c>
      <c r="C19" s="4">
        <v>0</v>
      </c>
      <c r="D19" s="14" t="s">
        <v>4</v>
      </c>
    </row>
    <row r="20" spans="1:4" ht="19.5" outlineLevel="1" x14ac:dyDescent="0.35">
      <c r="B20" s="13" t="s">
        <v>62</v>
      </c>
      <c r="C20" s="4">
        <v>1500</v>
      </c>
      <c r="D20" s="14" t="s">
        <v>4</v>
      </c>
    </row>
    <row r="21" spans="1:4" ht="19.5" outlineLevel="1" x14ac:dyDescent="0.35">
      <c r="B21" s="13" t="s">
        <v>63</v>
      </c>
      <c r="C21" s="4">
        <v>125</v>
      </c>
      <c r="D21" s="14" t="s">
        <v>5</v>
      </c>
    </row>
    <row r="22" spans="1:4" ht="19.5" outlineLevel="1" x14ac:dyDescent="0.35">
      <c r="B22" s="13" t="s">
        <v>64</v>
      </c>
      <c r="C22" s="4">
        <v>80</v>
      </c>
      <c r="D22" s="14" t="s">
        <v>5</v>
      </c>
    </row>
    <row r="23" spans="1:4" ht="15.75" outlineLevel="1" x14ac:dyDescent="0.25">
      <c r="B23" s="15" t="s">
        <v>38</v>
      </c>
      <c r="C23" s="4">
        <v>90</v>
      </c>
      <c r="D23" s="7" t="s">
        <v>39</v>
      </c>
    </row>
    <row r="24" spans="1:4" ht="19.5" outlineLevel="1" x14ac:dyDescent="0.35">
      <c r="B24" s="13" t="s">
        <v>65</v>
      </c>
      <c r="C24" s="4">
        <v>62</v>
      </c>
      <c r="D24" s="14" t="s">
        <v>5</v>
      </c>
    </row>
    <row r="25" spans="1:4" ht="19.5" outlineLevel="1" x14ac:dyDescent="0.35">
      <c r="B25" s="13" t="s">
        <v>66</v>
      </c>
      <c r="C25" s="4">
        <v>100</v>
      </c>
      <c r="D25" s="14" t="s">
        <v>5</v>
      </c>
    </row>
    <row r="26" spans="1:4" ht="19.5" outlineLevel="1" x14ac:dyDescent="0.35">
      <c r="B26" s="13" t="s">
        <v>67</v>
      </c>
      <c r="C26" s="4">
        <v>20</v>
      </c>
      <c r="D26" s="14" t="s">
        <v>1</v>
      </c>
    </row>
    <row r="27" spans="1:4" ht="19.5" outlineLevel="1" x14ac:dyDescent="0.35">
      <c r="B27" s="13" t="s">
        <v>68</v>
      </c>
      <c r="C27" s="4">
        <v>34</v>
      </c>
      <c r="D27" s="14" t="s">
        <v>1</v>
      </c>
    </row>
    <row r="28" spans="1:4" ht="19.5" outlineLevel="1" x14ac:dyDescent="0.35">
      <c r="B28" s="13" t="s">
        <v>69</v>
      </c>
      <c r="C28" s="4">
        <v>80</v>
      </c>
      <c r="D28" s="14" t="s">
        <v>2</v>
      </c>
    </row>
    <row r="29" spans="1:4" ht="19.5" outlineLevel="1" x14ac:dyDescent="0.35">
      <c r="B29" s="13" t="s">
        <v>70</v>
      </c>
      <c r="C29" s="4">
        <v>150</v>
      </c>
      <c r="D29" s="14" t="s">
        <v>1</v>
      </c>
    </row>
    <row r="30" spans="1:4" ht="19.5" outlineLevel="1" x14ac:dyDescent="0.35">
      <c r="B30" s="13" t="s">
        <v>71</v>
      </c>
      <c r="C30" s="4">
        <v>140</v>
      </c>
      <c r="D30" s="14" t="s">
        <v>1</v>
      </c>
    </row>
    <row r="31" spans="1:4" ht="19.5" x14ac:dyDescent="0.35">
      <c r="B31" s="13" t="s">
        <v>72</v>
      </c>
      <c r="C31" s="4">
        <v>80</v>
      </c>
      <c r="D31" s="14" t="s">
        <v>6</v>
      </c>
    </row>
    <row r="32" spans="1:4" ht="19.5" x14ac:dyDescent="0.35">
      <c r="B32" s="13" t="s">
        <v>73</v>
      </c>
      <c r="C32" s="4">
        <v>0</v>
      </c>
      <c r="D32" s="14" t="s">
        <v>3</v>
      </c>
    </row>
    <row r="33" spans="1:24" outlineLevel="1" x14ac:dyDescent="0.2"/>
    <row r="34" spans="1:24" ht="15.75" outlineLevel="1" x14ac:dyDescent="0.25">
      <c r="A34" s="1" t="s">
        <v>18</v>
      </c>
    </row>
    <row r="35" spans="1:24" ht="19.5" outlineLevel="1" x14ac:dyDescent="0.35">
      <c r="B35" s="14" t="s">
        <v>74</v>
      </c>
      <c r="C35" s="4">
        <v>110</v>
      </c>
      <c r="D35" s="14" t="s">
        <v>6</v>
      </c>
    </row>
    <row r="36" spans="1:24" ht="19.5" outlineLevel="1" x14ac:dyDescent="0.35">
      <c r="B36" s="14" t="s">
        <v>75</v>
      </c>
      <c r="C36" s="4">
        <v>1500</v>
      </c>
      <c r="D36" s="14" t="s">
        <v>7</v>
      </c>
    </row>
    <row r="37" spans="1:24" outlineLevel="1" x14ac:dyDescent="0.2">
      <c r="B37" s="14" t="s">
        <v>30</v>
      </c>
      <c r="C37" s="4">
        <v>50</v>
      </c>
      <c r="D37" s="14" t="s">
        <v>8</v>
      </c>
    </row>
    <row r="38" spans="1:24" outlineLevel="1" x14ac:dyDescent="0.2">
      <c r="B38" s="14" t="s">
        <v>31</v>
      </c>
      <c r="C38" s="6">
        <f>[1]!ESP_id_by_rate(Q_ESP_)</f>
        <v>737</v>
      </c>
      <c r="D38" s="14"/>
      <c r="G38" s="16" t="s">
        <v>86</v>
      </c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</row>
    <row r="39" spans="1:24" outlineLevel="1" x14ac:dyDescent="0.2">
      <c r="B39" s="14" t="s">
        <v>32</v>
      </c>
      <c r="C39" s="6" t="str">
        <f>[1]!ESP_name(C38)</f>
        <v>ВНН5-125</v>
      </c>
      <c r="D39" s="14"/>
      <c r="G39" s="17" t="str">
        <f>[1]!PVT_encode_string(gamma_gas_,gamma_oil_,gamma_wat_,Rsb_,Rp_,Pb_,Tres_,Bob_,mu_,,KsepGasSep_,PKsep,TKsep)</f>
        <v>gamma_gas:0,800;gamma_oil:0,870;gamma_wat:1,000;rsb_m3m3:80,000;rp_m3m3:80,000;pb_atma:120,000;tres_C:100,000;bob_m3m3:1,200;muob_cP:5,000;PVTcorr:0;ksep_fr:0,900;p_ksep_atma:50,470;t_ksep_C:85,000;gas_only:False;</v>
      </c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</row>
    <row r="40" spans="1:24" ht="19.5" outlineLevel="1" x14ac:dyDescent="0.35">
      <c r="B40" s="14" t="s">
        <v>76</v>
      </c>
      <c r="C40" s="6">
        <f>[1]!ESP_max_rate_m3day(Freq_,PumpID_)*1</f>
        <v>230</v>
      </c>
      <c r="D40" s="14"/>
    </row>
    <row r="41" spans="1:24" x14ac:dyDescent="0.2">
      <c r="B41" s="14" t="s">
        <v>19</v>
      </c>
      <c r="C41" s="6">
        <f>INT(Head_ESP_/[1]!ESP_head_m(Q_ESP_,1,,PumpID_))</f>
        <v>243</v>
      </c>
      <c r="D41" s="14" t="s">
        <v>9</v>
      </c>
      <c r="G41" s="16" t="s">
        <v>33</v>
      </c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</row>
    <row r="42" spans="1:24" ht="19.5" x14ac:dyDescent="0.35">
      <c r="B42" s="14" t="s">
        <v>77</v>
      </c>
      <c r="C42" s="18">
        <v>0.9</v>
      </c>
      <c r="D42" s="14"/>
      <c r="G42" s="17" t="str">
        <f>[1]!ESP_encode_string(PumpID_,Head_ESP_,Freq_)</f>
        <v>ESP_ID:737,00000;HeadNom_m:1500,00000;ESPfreq_Hz:50,00000;ESP_U_V:1000,00000;MotorPowerNom_kW:30,00000;t_intake_C:85,00000;t_dis_C:85,00000;KsepGS_fr:0,00000;Ksep_manual_fr:0,00000;ESP_energy_fact_Whday:0,00000;ESP_cable_type:0;ESP_h_mes_m:0,00000;ESP_gas_degradation_type:0;c_calibr_head:1,00000;c_calibr_rate:1,00000;c_calibr_power:1,00000;PKV_work_min:-1,00000;PKV_stop_min:-1,00000;</v>
      </c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</row>
    <row r="43" spans="1:24" ht="19.5" x14ac:dyDescent="0.35">
      <c r="B43" s="14" t="s">
        <v>78</v>
      </c>
      <c r="C43" s="19">
        <v>50.47</v>
      </c>
      <c r="D43" s="14" t="s">
        <v>1</v>
      </c>
    </row>
    <row r="44" spans="1:24" ht="19.5" x14ac:dyDescent="0.35">
      <c r="B44" s="14" t="s">
        <v>79</v>
      </c>
      <c r="C44" s="20">
        <v>85</v>
      </c>
      <c r="D44" s="14" t="s">
        <v>2</v>
      </c>
      <c r="G44" s="16" t="s">
        <v>85</v>
      </c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</row>
    <row r="45" spans="1:24" x14ac:dyDescent="0.2">
      <c r="G45" s="17" t="str">
        <f>[1]!PVT_encode_string(gamma_gas_,gamma_oil_,,Rsb_,Rp_,Pb_,Tres_,Bob_,mu_,,,,)</f>
        <v>gamma_gas:0,800;gamma_oil:0,870;gamma_wat:1,000;rsb_m3m3:80,000;rp_m3m3:80,000;pb_atma:120,000;tres_C:100,000;bob_m3m3:1,200;muob_cP:5,000;PVTcorr:0;ksep_fr:0,000;p_ksep_atma:-1,000;t_ksep_C:-1,000;gas_only:False;</v>
      </c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</row>
    <row r="46" spans="1:24" ht="15.75" x14ac:dyDescent="0.25">
      <c r="A46" s="1" t="s">
        <v>20</v>
      </c>
    </row>
    <row r="47" spans="1:24" ht="19.5" x14ac:dyDescent="0.35">
      <c r="B47" s="14" t="s">
        <v>80</v>
      </c>
      <c r="C47" s="4">
        <v>250</v>
      </c>
      <c r="D47" s="14" t="s">
        <v>1</v>
      </c>
      <c r="G47" s="2" t="s">
        <v>44</v>
      </c>
    </row>
    <row r="48" spans="1:24" x14ac:dyDescent="0.2">
      <c r="B48" s="14" t="s">
        <v>34</v>
      </c>
      <c r="C48" s="21">
        <f>[1]!IPR_pi_sm3dayatm(Q_,Pwf_,Pres_,fw_,Pb_)</f>
        <v>0.72727272727272729</v>
      </c>
      <c r="D48" s="14" t="s">
        <v>10</v>
      </c>
      <c r="G48" s="2" t="s">
        <v>45</v>
      </c>
    </row>
    <row r="49" spans="1:49" x14ac:dyDescent="0.2">
      <c r="B49" s="14" t="s">
        <v>35</v>
      </c>
      <c r="C49" s="4">
        <v>3</v>
      </c>
      <c r="D49" s="14" t="s">
        <v>11</v>
      </c>
    </row>
    <row r="50" spans="1:49" x14ac:dyDescent="0.2">
      <c r="B50" s="22"/>
      <c r="C50" s="22"/>
      <c r="D50" s="22"/>
    </row>
    <row r="52" spans="1:49" x14ac:dyDescent="0.2">
      <c r="B52" s="5" t="s">
        <v>12</v>
      </c>
      <c r="C52" s="4">
        <v>20</v>
      </c>
      <c r="D52" s="5"/>
    </row>
    <row r="56" spans="1:49" outlineLevel="1" x14ac:dyDescent="0.2"/>
    <row r="57" spans="1:49" x14ac:dyDescent="0.2">
      <c r="A57" s="2" t="s">
        <v>24</v>
      </c>
      <c r="Y57" s="30"/>
      <c r="Z57" s="30"/>
      <c r="AA57" s="30"/>
      <c r="AB57" s="30"/>
    </row>
    <row r="58" spans="1:49" x14ac:dyDescent="0.2">
      <c r="Y58" s="30"/>
      <c r="Z58" s="30"/>
      <c r="AA58" s="30"/>
      <c r="AB58" s="30"/>
    </row>
    <row r="59" spans="1:49" outlineLevel="1" x14ac:dyDescent="0.2">
      <c r="A59" s="2" t="s">
        <v>29</v>
      </c>
      <c r="Y59" s="30"/>
      <c r="Z59" s="30"/>
      <c r="AA59" s="30"/>
      <c r="AB59" s="30"/>
    </row>
    <row r="60" spans="1:49" s="42" customFormat="1" outlineLevel="1" x14ac:dyDescent="0.2">
      <c r="B60" s="42" t="s">
        <v>89</v>
      </c>
      <c r="D60" s="43" t="s">
        <v>90</v>
      </c>
      <c r="E60" s="43" t="s">
        <v>91</v>
      </c>
      <c r="F60" s="43" t="s">
        <v>92</v>
      </c>
      <c r="G60" s="43" t="s">
        <v>93</v>
      </c>
      <c r="H60" s="43" t="s">
        <v>94</v>
      </c>
      <c r="I60" s="43" t="s">
        <v>95</v>
      </c>
      <c r="J60" s="43" t="s">
        <v>96</v>
      </c>
      <c r="N60" s="43" t="s">
        <v>97</v>
      </c>
      <c r="O60" s="43" t="s">
        <v>98</v>
      </c>
      <c r="P60" s="43" t="s">
        <v>99</v>
      </c>
      <c r="Q60" s="43" t="s">
        <v>100</v>
      </c>
      <c r="R60" s="43" t="s">
        <v>101</v>
      </c>
      <c r="S60" s="43" t="s">
        <v>102</v>
      </c>
      <c r="T60" s="43" t="s">
        <v>103</v>
      </c>
      <c r="Y60" s="44"/>
      <c r="Z60" s="44"/>
      <c r="AA60" s="44"/>
      <c r="AB60" s="44"/>
    </row>
    <row r="61" spans="1:49" outlineLevel="1" x14ac:dyDescent="0.2">
      <c r="A61" s="2" t="s">
        <v>29</v>
      </c>
      <c r="M61" s="2" t="s">
        <v>22</v>
      </c>
      <c r="N61" s="40">
        <v>0.9</v>
      </c>
      <c r="Y61" s="30"/>
      <c r="Z61" s="30"/>
      <c r="AA61" s="22"/>
      <c r="AB61" s="30"/>
    </row>
    <row r="62" spans="1:49" outlineLevel="1" x14ac:dyDescent="0.2">
      <c r="F62" s="2">
        <v>60</v>
      </c>
      <c r="G62" s="2">
        <v>50</v>
      </c>
      <c r="M62" s="2" t="s">
        <v>87</v>
      </c>
      <c r="N62" s="40">
        <f>[1]!IPR_qliq_sm3day(PI_,Pres_,N84,fw_,Pb_)</f>
        <v>119.32659932659934</v>
      </c>
    </row>
    <row r="63" spans="1:49" s="23" customFormat="1" ht="110.25" outlineLevel="1" x14ac:dyDescent="0.2">
      <c r="B63" s="24" t="s">
        <v>14</v>
      </c>
      <c r="C63" s="24" t="s">
        <v>13</v>
      </c>
      <c r="D63" s="25" t="s">
        <v>104</v>
      </c>
      <c r="E63" s="25" t="s">
        <v>47</v>
      </c>
      <c r="F63" s="25" t="s">
        <v>48</v>
      </c>
      <c r="G63" s="25" t="s">
        <v>81</v>
      </c>
      <c r="H63" s="25" t="s">
        <v>82</v>
      </c>
      <c r="I63" s="25" t="s">
        <v>83</v>
      </c>
      <c r="J63" s="25" t="s">
        <v>84</v>
      </c>
      <c r="N63" s="25" t="s">
        <v>105</v>
      </c>
      <c r="O63" s="25" t="s">
        <v>23</v>
      </c>
      <c r="P63" s="25" t="s">
        <v>21</v>
      </c>
      <c r="Q63" s="26" t="s">
        <v>42</v>
      </c>
      <c r="R63" s="25" t="s">
        <v>40</v>
      </c>
      <c r="S63" s="25" t="s">
        <v>105</v>
      </c>
      <c r="T63" s="26" t="s">
        <v>41</v>
      </c>
      <c r="U63" s="25"/>
      <c r="V63" s="25"/>
      <c r="W63" s="25"/>
      <c r="X63" s="25"/>
      <c r="Y63" s="25"/>
      <c r="Z63" s="25"/>
      <c r="AE63" s="45"/>
      <c r="AF63" s="35"/>
      <c r="AG63" s="35"/>
      <c r="AH63" s="35"/>
      <c r="AI63" s="35"/>
      <c r="AJ63" s="35"/>
      <c r="AK63" s="35"/>
      <c r="AL63" s="35"/>
      <c r="AM63" s="35"/>
      <c r="AN63" s="35"/>
      <c r="AO63" s="35"/>
      <c r="AP63" s="35"/>
      <c r="AQ63" s="35"/>
      <c r="AR63" s="35"/>
      <c r="AS63" s="35"/>
      <c r="AT63" s="35"/>
      <c r="AU63" s="45"/>
      <c r="AV63" s="45"/>
      <c r="AW63" s="45"/>
    </row>
    <row r="64" spans="1:49" outlineLevel="1" x14ac:dyDescent="0.2">
      <c r="B64" s="27">
        <v>0</v>
      </c>
      <c r="C64" s="27">
        <f t="shared" ref="C64:C83" si="0">C65-Tgrad*(B65-B64)/100</f>
        <v>40</v>
      </c>
      <c r="D64" s="28">
        <f>Pbuf_</f>
        <v>20</v>
      </c>
      <c r="E64" s="28">
        <f>Pbuf_</f>
        <v>20</v>
      </c>
      <c r="F64" s="28">
        <f>Pbuf_</f>
        <v>20</v>
      </c>
      <c r="G64" s="28">
        <f>Pbuf_</f>
        <v>20</v>
      </c>
      <c r="H64" s="28">
        <f>Pbuf_</f>
        <v>20</v>
      </c>
      <c r="I64" s="2">
        <f>[1]!MF_gas_fraction_d(E64,C64,fw_,PVT_str_2)</f>
        <v>0.77201890811593255</v>
      </c>
      <c r="J64" s="2">
        <f>[1]!MF_q_mix_rc_m3day(Q_,fw_,D64,C64,PVT_str_2)</f>
        <v>361.40952922134488</v>
      </c>
      <c r="S64" s="2">
        <f>[1]!MF_p_pipe_atma($N$62,fw_,B64-$B$79,$S$79,1,PVT_str_,,Dtub_,,$C$79,C64)</f>
        <v>25.916138280832367</v>
      </c>
      <c r="T64" s="2">
        <f>[1]!MF_gas_fraction_d(S64,C64,fw_,PVT_str_)</f>
        <v>0.41271529710139848</v>
      </c>
      <c r="AE64" s="30"/>
      <c r="AF64" s="32"/>
      <c r="AG64" s="30"/>
      <c r="AH64" s="30"/>
      <c r="AI64" s="30"/>
      <c r="AJ64" s="36"/>
      <c r="AK64" s="32"/>
      <c r="AL64" s="30"/>
      <c r="AM64" s="30"/>
      <c r="AN64" s="30"/>
      <c r="AO64" s="32"/>
      <c r="AP64" s="32"/>
      <c r="AQ64" s="30"/>
      <c r="AR64" s="30"/>
      <c r="AS64" s="30"/>
      <c r="AT64" s="30"/>
      <c r="AU64" s="30"/>
      <c r="AV64" s="30"/>
      <c r="AW64" s="30"/>
    </row>
    <row r="65" spans="2:49" outlineLevel="1" x14ac:dyDescent="0.2">
      <c r="B65" s="27">
        <f t="shared" ref="B65:B84" si="1">B64+Hmes_/N_</f>
        <v>100</v>
      </c>
      <c r="C65" s="27">
        <f t="shared" si="0"/>
        <v>43</v>
      </c>
      <c r="D65" s="2">
        <f>[1]!MF_p_pipe_atma(Q_,fw_,B65-$B$64,$D$64,0,PVT_str_2,,Dtub_,,$C$64,C65)</f>
        <v>23.8804496621269</v>
      </c>
      <c r="E65" s="2">
        <f>[1]!MF_p_pipe_atma(Q_,fw_,B65-$B$64,$E$64,0,PVT_str_2,,Dtub_,1,$C$64,C65)</f>
        <v>23.088246216513021</v>
      </c>
      <c r="F65" s="2">
        <f>[1]!MF_p_pipe_atma(Q_,fw_,B65-$B$64,$D$64,0,PVT_str_2,,$F$62,,$C$64,C65)</f>
        <v>23.890247291641085</v>
      </c>
      <c r="G65" s="2">
        <f>[1]!MF_p_pipe_atma(Q_,fw_,B65-$B$64,$G$64,0,PVT_str_2,,$G$62,,$C$64,C65)</f>
        <v>24.071056035914172</v>
      </c>
      <c r="H65" s="2">
        <f>[1]!MF_p_pipe_atma(Q_,fw_,B65-$B$64,$D$64,0,PVT_str_2,,Dtub_,,$C$64,C65)</f>
        <v>23.8804496621269</v>
      </c>
      <c r="I65" s="2">
        <f>[1]!MF_gas_fraction_d(E65,C65,fw_,PVT_str_2)</f>
        <v>0.73985410174663269</v>
      </c>
      <c r="J65" s="2">
        <f>[1]!MF_q_mix_rc_m3day(Q_,fw_,D65,C65,PVT_str_2)</f>
        <v>308.30218285391237</v>
      </c>
      <c r="S65" s="2">
        <f>[1]!MF_p_pipe_atma($N$62,fw_,B65-$B$79,$S$79,1,PVT_str_,,Dtub_,,$C$79,C65)</f>
        <v>31.91001156080441</v>
      </c>
      <c r="T65" s="2">
        <f>[1]!MF_gas_fraction_d(S65,C65,fw_,PVT_str_)</f>
        <v>0.30207058764847966</v>
      </c>
      <c r="AE65" s="30"/>
      <c r="AF65" s="32"/>
      <c r="AG65" s="30"/>
      <c r="AH65" s="30"/>
      <c r="AI65" s="30"/>
      <c r="AJ65" s="36"/>
      <c r="AK65" s="32"/>
      <c r="AL65" s="30"/>
      <c r="AM65" s="30"/>
      <c r="AN65" s="30"/>
      <c r="AO65" s="32"/>
      <c r="AP65" s="32"/>
      <c r="AQ65" s="30"/>
      <c r="AR65" s="30"/>
      <c r="AS65" s="30"/>
      <c r="AT65" s="30"/>
      <c r="AU65" s="30"/>
      <c r="AV65" s="30"/>
      <c r="AW65" s="30"/>
    </row>
    <row r="66" spans="2:49" outlineLevel="1" x14ac:dyDescent="0.2">
      <c r="B66" s="27">
        <f t="shared" si="1"/>
        <v>200</v>
      </c>
      <c r="C66" s="27">
        <f t="shared" si="0"/>
        <v>46</v>
      </c>
      <c r="D66" s="2">
        <f>[1]!MF_p_pipe_atma(Q_,fw_,B66-$B$64,$D$64,0,PVT_str_2,,Dtub_,,$C$64,C66)</f>
        <v>28.059343253433077</v>
      </c>
      <c r="E66" s="2">
        <f>[1]!MF_p_pipe_atma(Q_,fw_,B66-$B$64,$E$64,0,PVT_str_2,,Dtub_,1,$C$64,C66)</f>
        <v>26.919802145695872</v>
      </c>
      <c r="F66" s="2">
        <f>[1]!MF_p_pipe_atma(Q_,fw_,B66-$B$64,$D$64,0,PVT_str_2,,$F$62,,$C$64,C66)</f>
        <v>28.074459982496819</v>
      </c>
      <c r="G66" s="2">
        <f>[1]!MF_p_pipe_atma(Q_,fw_,B66-$B$64,$G$64,0,PVT_str_2,,$G$62,,$C$64,C66)</f>
        <v>28.402235783067955</v>
      </c>
      <c r="H66" s="2">
        <f>[1]!MF_p_pipe_atma(Q_,fw_,B66-$B$64,$D$64,0,PVT_str_2,,Dtub_,,$C$64,C66)</f>
        <v>28.059343253433077</v>
      </c>
      <c r="I66" s="2">
        <f>[1]!MF_gas_fraction_d(E66,C66,fw_,PVT_str_2)</f>
        <v>0.70042644933841103</v>
      </c>
      <c r="J66" s="2">
        <f>[1]!MF_q_mix_rc_m3day(Q_,fw_,D66,C66,PVT_str_2)</f>
        <v>267.51172042317012</v>
      </c>
      <c r="S66" s="2">
        <f>[1]!MF_p_pipe_atma($N$62,fw_,B66-$B$79,$S$79,1,PVT_str_,,Dtub_,,$C$79,C66)</f>
        <v>38.370421370091385</v>
      </c>
      <c r="T66" s="2">
        <f>[1]!MF_gas_fraction_d(S66,C66,fw_,PVT_str_)</f>
        <v>0.19089337252503616</v>
      </c>
      <c r="AE66" s="30"/>
      <c r="AF66" s="32"/>
      <c r="AG66" s="30"/>
      <c r="AH66" s="30"/>
      <c r="AI66" s="30"/>
      <c r="AJ66" s="36"/>
      <c r="AK66" s="32"/>
      <c r="AL66" s="30"/>
      <c r="AM66" s="30"/>
      <c r="AN66" s="30"/>
      <c r="AO66" s="32"/>
      <c r="AP66" s="32"/>
      <c r="AQ66" s="30"/>
      <c r="AR66" s="30"/>
      <c r="AS66" s="30"/>
      <c r="AT66" s="30"/>
      <c r="AU66" s="30"/>
      <c r="AV66" s="30"/>
      <c r="AW66" s="30"/>
    </row>
    <row r="67" spans="2:49" outlineLevel="1" x14ac:dyDescent="0.2">
      <c r="B67" s="27">
        <f t="shared" si="1"/>
        <v>300</v>
      </c>
      <c r="C67" s="27">
        <f t="shared" si="0"/>
        <v>49</v>
      </c>
      <c r="D67" s="2">
        <f>[1]!MF_p_pipe_atma(Q_,fw_,B67-$B$64,$D$64,0,PVT_str_2,,Dtub_,,$C$64,C67)</f>
        <v>32.525744599305952</v>
      </c>
      <c r="E67" s="2">
        <f>[1]!MF_p_pipe_atma(Q_,fw_,B67-$B$64,$E$64,0,PVT_str_2,,Dtub_,1,$C$64,C67)</f>
        <v>31.094889889264689</v>
      </c>
      <c r="F67" s="2">
        <f>[1]!MF_p_pipe_atma(Q_,fw_,B67-$B$64,$D$64,0,PVT_str_2,,$F$62,,$C$64,C67)</f>
        <v>32.542384836924541</v>
      </c>
      <c r="G67" s="2">
        <f>[1]!MF_p_pipe_atma(Q_,fw_,B67-$B$64,$G$64,0,PVT_str_2,,$G$62,,$C$64,C67)</f>
        <v>32.989410583044553</v>
      </c>
      <c r="H67" s="2">
        <f>[1]!MF_p_pipe_atma(Q_,fw_,B67-$B$64,$D$64,0,PVT_str_2,,Dtub_,,$C$64,C67)</f>
        <v>32.525744599305952</v>
      </c>
      <c r="I67" s="2">
        <f>[1]!MF_gas_fraction_d(E67,C67,fw_,PVT_str_2)</f>
        <v>0.65843654866446455</v>
      </c>
      <c r="J67" s="2">
        <f>[1]!MF_q_mix_rc_m3day(Q_,fw_,D67,C67,PVT_str_2)</f>
        <v>235.52768516112917</v>
      </c>
      <c r="S67" s="2">
        <f>[1]!MF_p_pipe_atma($N$62,fw_,B67-$B$79,$S$79,1,PVT_str_,,Dtub_,,$C$79,C67)</f>
        <v>45.610371391398317</v>
      </c>
      <c r="T67" s="2">
        <f>[1]!MF_gas_fraction_d(S67,C67,fw_,PVT_str_)</f>
        <v>7.5035429276090831E-2</v>
      </c>
      <c r="AE67" s="30"/>
      <c r="AF67" s="32"/>
      <c r="AG67" s="30"/>
      <c r="AH67" s="30"/>
      <c r="AI67" s="30"/>
      <c r="AJ67" s="36"/>
      <c r="AK67" s="32"/>
      <c r="AL67" s="30"/>
      <c r="AM67" s="30"/>
      <c r="AN67" s="30"/>
      <c r="AO67" s="32"/>
      <c r="AP67" s="32"/>
      <c r="AQ67" s="30"/>
      <c r="AR67" s="30"/>
      <c r="AS67" s="30"/>
      <c r="AT67" s="30"/>
      <c r="AU67" s="30"/>
      <c r="AV67" s="30"/>
      <c r="AW67" s="30"/>
    </row>
    <row r="68" spans="2:49" outlineLevel="1" x14ac:dyDescent="0.2">
      <c r="B68" s="27">
        <f t="shared" si="1"/>
        <v>400</v>
      </c>
      <c r="C68" s="27">
        <f t="shared" si="0"/>
        <v>52</v>
      </c>
      <c r="D68" s="2">
        <f>[1]!MF_p_pipe_atma(Q_,fw_,B68-$B$64,$D$64,0,PVT_str_2,,Dtub_,,$C$64,C68)</f>
        <v>37.266088198053957</v>
      </c>
      <c r="E68" s="2">
        <f>[1]!MF_p_pipe_atma(Q_,fw_,B68-$B$64,$E$64,0,PVT_str_2,,Dtub_,1,$C$64,C68)</f>
        <v>35.613278731861534</v>
      </c>
      <c r="F68" s="2">
        <f>[1]!MF_p_pipe_atma(Q_,fw_,B68-$B$64,$D$64,0,PVT_str_2,,$F$62,,$C$64,C68)</f>
        <v>37.281044173203561</v>
      </c>
      <c r="G68" s="2">
        <f>[1]!MF_p_pipe_atma(Q_,fw_,B68-$B$64,$G$64,0,PVT_str_2,,$G$62,,$C$64,C68)</f>
        <v>37.824170221398973</v>
      </c>
      <c r="H68" s="2">
        <f>[1]!MF_p_pipe_atma(Q_,fw_,B68-$B$64,$D$64,0,PVT_str_2,,Dtub_,,$C$64,C68)</f>
        <v>37.266088198053957</v>
      </c>
      <c r="I68" s="2">
        <f>[1]!MF_gas_fraction_d(E68,C68,fw_,PVT_str_2)</f>
        <v>0.61412156777187055</v>
      </c>
      <c r="J68" s="2">
        <f>[1]!MF_q_mix_rc_m3day(Q_,fw_,D68,C68,PVT_str_2)</f>
        <v>210.02601138961563</v>
      </c>
      <c r="S68" s="2">
        <f>[1]!MF_p_pipe_atma($N$62,fw_,B68-$B$79,$S$79,1,PVT_str_,,Dtub_,,$C$79,C68)</f>
        <v>53.644021233082142</v>
      </c>
      <c r="T68" s="2">
        <f>[1]!MF_gas_fraction_d(S68,C68,fw_,PVT_str_)</f>
        <v>2.5389367003848388E-17</v>
      </c>
      <c r="AE68" s="30"/>
      <c r="AF68" s="32"/>
      <c r="AG68" s="30"/>
      <c r="AH68" s="30"/>
      <c r="AI68" s="30"/>
      <c r="AJ68" s="36"/>
      <c r="AK68" s="32"/>
      <c r="AL68" s="30"/>
      <c r="AM68" s="30"/>
      <c r="AN68" s="30"/>
      <c r="AO68" s="32"/>
      <c r="AP68" s="32"/>
      <c r="AQ68" s="30"/>
      <c r="AR68" s="30"/>
      <c r="AS68" s="30"/>
      <c r="AT68" s="30"/>
      <c r="AU68" s="30"/>
      <c r="AV68" s="30"/>
      <c r="AW68" s="30"/>
    </row>
    <row r="69" spans="2:49" outlineLevel="1" x14ac:dyDescent="0.2">
      <c r="B69" s="27">
        <f t="shared" si="1"/>
        <v>500</v>
      </c>
      <c r="C69" s="27">
        <f t="shared" si="0"/>
        <v>55</v>
      </c>
      <c r="D69" s="2">
        <f>[1]!MF_p_pipe_atma(Q_,fw_,B69-$B$64,$D$64,0,PVT_str_2,,Dtub_,,$C$64,C69)</f>
        <v>42.264834455324866</v>
      </c>
      <c r="E69" s="2">
        <f>[1]!MF_p_pipe_atma(Q_,fw_,B69-$B$64,$E$64,0,PVT_str_2,,Dtub_,1,$C$64,C69)</f>
        <v>40.470165159289543</v>
      </c>
      <c r="F69" s="2">
        <f>[1]!MF_p_pipe_atma(Q_,fw_,B69-$B$64,$D$64,0,PVT_str_2,,$F$62,,$C$64,C69)</f>
        <v>42.275426109118925</v>
      </c>
      <c r="G69" s="2">
        <f>[1]!MF_p_pipe_atma(Q_,fw_,B69-$B$64,$G$64,0,PVT_str_2,,$G$62,,$C$64,C69)</f>
        <v>42.895167234750524</v>
      </c>
      <c r="H69" s="2">
        <f>[1]!MF_p_pipe_atma(Q_,fw_,B69-$B$64,$D$64,0,PVT_str_2,,Dtub_,,$C$64,C69)</f>
        <v>42.264834455324866</v>
      </c>
      <c r="I69" s="2">
        <f>[1]!MF_gas_fraction_d(E69,C69,fw_,PVT_str_2)</f>
        <v>0.56778076703816871</v>
      </c>
      <c r="J69" s="2">
        <f>[1]!MF_q_mix_rc_m3day(Q_,fw_,D69,C69,PVT_str_2)</f>
        <v>189.40866649119295</v>
      </c>
      <c r="S69" s="2">
        <f>[1]!MF_p_pipe_atma($N$62,fw_,B69-$B$79,$S$79,1,PVT_str_,,Dtub_,,$C$79,C69)</f>
        <v>61.840501720279896</v>
      </c>
      <c r="T69" s="2">
        <f>[1]!MF_gas_fraction_d(S69,C69,fw_,PVT_str_)</f>
        <v>2.2171242037401127E-17</v>
      </c>
      <c r="AE69" s="30"/>
      <c r="AF69" s="32"/>
      <c r="AG69" s="30"/>
      <c r="AH69" s="30"/>
      <c r="AI69" s="30"/>
      <c r="AJ69" s="36"/>
      <c r="AK69" s="32"/>
      <c r="AL69" s="30"/>
      <c r="AM69" s="30"/>
      <c r="AN69" s="30"/>
      <c r="AO69" s="32"/>
      <c r="AP69" s="32"/>
      <c r="AQ69" s="30"/>
      <c r="AR69" s="30"/>
      <c r="AS69" s="30"/>
      <c r="AT69" s="30"/>
      <c r="AU69" s="30"/>
      <c r="AV69" s="30"/>
      <c r="AW69" s="30"/>
    </row>
    <row r="70" spans="2:49" outlineLevel="1" x14ac:dyDescent="0.2">
      <c r="B70" s="27">
        <f t="shared" si="1"/>
        <v>600</v>
      </c>
      <c r="C70" s="27">
        <f t="shared" si="0"/>
        <v>58</v>
      </c>
      <c r="D70" s="2">
        <f>[1]!MF_p_pipe_atma(Q_,fw_,B70-$B$64,$D$64,0,PVT_str_2,,Dtub_,,$C$64,C70)</f>
        <v>47.505072740887172</v>
      </c>
      <c r="E70" s="2">
        <f>[1]!MF_p_pipe_atma(Q_,fw_,B70-$B$64,$E$64,0,PVT_str_2,,Dtub_,1,$C$64,C70)</f>
        <v>45.656717107957626</v>
      </c>
      <c r="F70" s="2">
        <f>[1]!MF_p_pipe_atma(Q_,fw_,B70-$B$64,$D$64,0,PVT_str_2,,$F$62,,$C$64,C70)</f>
        <v>47.509103034087566</v>
      </c>
      <c r="G70" s="2">
        <f>[1]!MF_p_pipe_atma(Q_,fw_,B70-$B$64,$G$64,0,PVT_str_2,,$G$62,,$C$64,C70)</f>
        <v>48.189069008581576</v>
      </c>
      <c r="H70" s="2">
        <f>[1]!MF_p_pipe_atma(Q_,fw_,B70-$B$64,$D$64,0,PVT_str_2,,Dtub_,,$C$64,C70)</f>
        <v>47.505072740887172</v>
      </c>
      <c r="I70" s="2">
        <f>[1]!MF_gas_fraction_d(E70,C70,fw_,PVT_str_2)</f>
        <v>0.51975947954513357</v>
      </c>
      <c r="J70" s="2">
        <f>[1]!MF_q_mix_rc_m3day(Q_,fw_,D70,C70,PVT_str_2)</f>
        <v>172.54257603523479</v>
      </c>
      <c r="S70" s="2">
        <f>[1]!MF_p_pipe_atma($N$62,fw_,B70-$B$79,$S$79,1,PVT_str_,,Dtub_,,$C$79,C70)</f>
        <v>70.031792040396965</v>
      </c>
      <c r="T70" s="2">
        <f>[1]!MF_gas_fraction_d(S70,C70,fw_,PVT_str_)</f>
        <v>1.974238777765357E-17</v>
      </c>
      <c r="AE70" s="30"/>
      <c r="AF70" s="32"/>
      <c r="AG70" s="30"/>
      <c r="AH70" s="30"/>
      <c r="AI70" s="30"/>
      <c r="AJ70" s="36"/>
      <c r="AK70" s="32"/>
      <c r="AL70" s="30"/>
      <c r="AM70" s="30"/>
      <c r="AN70" s="30"/>
      <c r="AO70" s="32"/>
      <c r="AP70" s="32"/>
      <c r="AQ70" s="30"/>
      <c r="AR70" s="30"/>
      <c r="AS70" s="30"/>
      <c r="AT70" s="30"/>
      <c r="AU70" s="30"/>
      <c r="AV70" s="30"/>
      <c r="AW70" s="30"/>
    </row>
    <row r="71" spans="2:49" outlineLevel="1" x14ac:dyDescent="0.2">
      <c r="B71" s="27">
        <f t="shared" si="1"/>
        <v>700</v>
      </c>
      <c r="C71" s="27">
        <f t="shared" si="0"/>
        <v>61</v>
      </c>
      <c r="D71" s="2">
        <f>[1]!MF_p_pipe_atma(Q_,fw_,B71-$B$64,$D$64,0,PVT_str_2,,Dtub_,,$C$64,C71)</f>
        <v>52.969076957540999</v>
      </c>
      <c r="E71" s="2">
        <f>[1]!MF_p_pipe_atma(Q_,fw_,B71-$B$64,$E$64,0,PVT_str_2,,Dtub_,1,$C$64,C71)</f>
        <v>51.160726050420251</v>
      </c>
      <c r="F71" s="2">
        <f>[1]!MF_p_pipe_atma(Q_,fw_,B71-$B$64,$D$64,0,PVT_str_2,,$F$62,,$C$64,C71)</f>
        <v>52.964792713691985</v>
      </c>
      <c r="G71" s="2">
        <f>[1]!MF_p_pipe_atma(Q_,fw_,B71-$B$64,$G$64,0,PVT_str_2,,$G$62,,$C$64,C71)</f>
        <v>53.691293390796197</v>
      </c>
      <c r="H71" s="2">
        <f>[1]!MF_p_pipe_atma(Q_,fw_,B71-$B$64,$D$64,0,PVT_str_2,,Dtub_,,$C$64,C71)</f>
        <v>52.969076957540999</v>
      </c>
      <c r="I71" s="2">
        <f>[1]!MF_gas_fraction_d(E71,C71,fw_,PVT_str_2)</f>
        <v>0.47043070701816708</v>
      </c>
      <c r="J71" s="2">
        <f>[1]!MF_q_mix_rc_m3day(Q_,fw_,D71,C71,PVT_str_2)</f>
        <v>158.60370487899948</v>
      </c>
      <c r="S71" s="2">
        <f>[1]!MF_p_pipe_atma($N$62,fw_,B71-$B$79,$S$79,1,PVT_str_,,Dtub_,,$C$79,C71)</f>
        <v>78.2169381394352</v>
      </c>
      <c r="T71" s="2">
        <f>[1]!MF_gas_fraction_d(S71,C71,fw_,PVT_str_)</f>
        <v>1.7852479026055964E-17</v>
      </c>
      <c r="AE71" s="30"/>
      <c r="AF71" s="32"/>
      <c r="AG71" s="30"/>
      <c r="AH71" s="30"/>
      <c r="AI71" s="30"/>
      <c r="AJ71" s="36"/>
      <c r="AK71" s="32"/>
      <c r="AL71" s="30"/>
      <c r="AM71" s="30"/>
      <c r="AN71" s="30"/>
      <c r="AO71" s="32"/>
      <c r="AP71" s="32"/>
      <c r="AQ71" s="30"/>
      <c r="AR71" s="30"/>
      <c r="AS71" s="30"/>
      <c r="AT71" s="30"/>
      <c r="AU71" s="30"/>
      <c r="AV71" s="30"/>
      <c r="AW71" s="30"/>
    </row>
    <row r="72" spans="2:49" outlineLevel="1" x14ac:dyDescent="0.2">
      <c r="B72" s="27">
        <f t="shared" si="1"/>
        <v>800</v>
      </c>
      <c r="C72" s="27">
        <f t="shared" si="0"/>
        <v>64</v>
      </c>
      <c r="D72" s="2">
        <f>[1]!MF_p_pipe_atma(Q_,fw_,B72-$B$64,$D$64,0,PVT_str_2,,Dtub_,,$C$64,C72)</f>
        <v>58.638804990441983</v>
      </c>
      <c r="E72" s="2">
        <f>[1]!MF_p_pipe_atma(Q_,fw_,B72-$B$64,$E$64,0,PVT_str_2,,Dtub_,1,$C$64,C72)</f>
        <v>56.967326593292192</v>
      </c>
      <c r="F72" s="2">
        <f>[1]!MF_p_pipe_atma(Q_,fw_,B72-$B$64,$D$64,0,PVT_str_2,,$F$62,,$C$64,C72)</f>
        <v>58.624858607430895</v>
      </c>
      <c r="G72" s="2">
        <f>[1]!MF_p_pipe_atma(Q_,fw_,B72-$B$64,$G$64,0,PVT_str_2,,$G$62,,$C$64,C72)</f>
        <v>59.386600521540132</v>
      </c>
      <c r="H72" s="2">
        <f>[1]!MF_p_pipe_atma(Q_,fw_,B72-$B$64,$D$64,0,PVT_str_2,,Dtub_,,$C$64,C72)</f>
        <v>58.638804990441983</v>
      </c>
      <c r="I72" s="2">
        <f>[1]!MF_gas_fraction_d(E72,C72,fw_,PVT_str_2)</f>
        <v>0.4201759986232308</v>
      </c>
      <c r="J72" s="2">
        <f>[1]!MF_q_mix_rc_m3day(Q_,fw_,D72,C72,PVT_str_2)</f>
        <v>146.97990638535228</v>
      </c>
      <c r="S72" s="2">
        <f>[1]!MF_p_pipe_atma($N$62,fw_,B72-$B$79,$S$79,1,PVT_str_,,Dtub_,,$C$79,C72)</f>
        <v>86.395272471418323</v>
      </c>
      <c r="T72" s="2">
        <f>[1]!MF_gas_fraction_d(S72,C72,fw_,PVT_str_)</f>
        <v>1.6346255173738697E-17</v>
      </c>
      <c r="AE72" s="30"/>
      <c r="AF72" s="32"/>
      <c r="AG72" s="30"/>
      <c r="AH72" s="30"/>
      <c r="AI72" s="30"/>
      <c r="AJ72" s="36"/>
      <c r="AK72" s="32"/>
      <c r="AL72" s="30"/>
      <c r="AM72" s="30"/>
      <c r="AN72" s="30"/>
      <c r="AO72" s="32"/>
      <c r="AP72" s="32"/>
      <c r="AQ72" s="30"/>
      <c r="AR72" s="30"/>
      <c r="AS72" s="30"/>
      <c r="AT72" s="30"/>
      <c r="AU72" s="30"/>
      <c r="AV72" s="30"/>
      <c r="AW72" s="30"/>
    </row>
    <row r="73" spans="2:49" outlineLevel="1" x14ac:dyDescent="0.2">
      <c r="B73" s="27">
        <f t="shared" si="1"/>
        <v>900</v>
      </c>
      <c r="C73" s="27">
        <f t="shared" si="0"/>
        <v>67</v>
      </c>
      <c r="D73" s="2">
        <f>[1]!MF_p_pipe_atma(Q_,fw_,B73-$B$64,$D$64,0,PVT_str_2,,Dtub_,,$C$64,C73)</f>
        <v>64.496330983251553</v>
      </c>
      <c r="E73" s="2">
        <f>[1]!MF_p_pipe_atma(Q_,fw_,B73-$B$64,$E$64,0,PVT_str_2,,Dtub_,1,$C$64,C73)</f>
        <v>63.05973366475677</v>
      </c>
      <c r="F73" s="2">
        <f>[1]!MF_p_pipe_atma(Q_,fw_,B73-$B$64,$D$64,0,PVT_str_2,,$F$62,,$C$64,C73)</f>
        <v>64.471741288124704</v>
      </c>
      <c r="G73" s="2">
        <f>[1]!MF_p_pipe_atma(Q_,fw_,B73-$B$64,$G$64,0,PVT_str_2,,$G$62,,$C$64,C73)</f>
        <v>65.259572097995942</v>
      </c>
      <c r="H73" s="2">
        <f>[1]!MF_p_pipe_atma(Q_,fw_,B73-$B$64,$D$64,0,PVT_str_2,,Dtub_,,$C$64,C73)</f>
        <v>64.496330983251553</v>
      </c>
      <c r="I73" s="2">
        <f>[1]!MF_gas_fraction_d(E73,C73,fw_,PVT_str_2)</f>
        <v>0.36936741490485508</v>
      </c>
      <c r="J73" s="2">
        <f>[1]!MF_q_mix_rc_m3day(Q_,fw_,D73,C73,PVT_str_2)</f>
        <v>137.20819451131507</v>
      </c>
      <c r="S73" s="2">
        <f>[1]!MF_p_pipe_atma($N$62,fw_,B73-$B$79,$S$79,1,PVT_str_,,Dtub_,,$C$79,C73)</f>
        <v>94.56630966600072</v>
      </c>
      <c r="T73" s="2">
        <f>[1]!MF_gas_fraction_d(S73,C73,fw_,PVT_str_)</f>
        <v>1.5122433426075226E-17</v>
      </c>
      <c r="AE73" s="30"/>
      <c r="AF73" s="32"/>
      <c r="AG73" s="30"/>
      <c r="AH73" s="30"/>
      <c r="AI73" s="30"/>
      <c r="AJ73" s="36"/>
      <c r="AK73" s="32"/>
      <c r="AL73" s="30"/>
      <c r="AM73" s="30"/>
      <c r="AN73" s="30"/>
      <c r="AO73" s="32"/>
      <c r="AP73" s="32"/>
      <c r="AQ73" s="30"/>
      <c r="AR73" s="30"/>
      <c r="AS73" s="30"/>
      <c r="AT73" s="30"/>
      <c r="AU73" s="30"/>
      <c r="AV73" s="30"/>
      <c r="AW73" s="30"/>
    </row>
    <row r="74" spans="2:49" outlineLevel="1" x14ac:dyDescent="0.2">
      <c r="B74" s="27">
        <f t="shared" si="1"/>
        <v>1000</v>
      </c>
      <c r="C74" s="27">
        <f t="shared" si="0"/>
        <v>70</v>
      </c>
      <c r="D74" s="2">
        <f>[1]!MF_p_pipe_atma(Q_,fw_,B74-$B$64,$D$64,0,PVT_str_2,,Dtub_,,$C$64,C74)</f>
        <v>70.524202426776597</v>
      </c>
      <c r="E74" s="2">
        <f>[1]!MF_p_pipe_atma(Q_,fw_,B74-$B$64,$E$64,0,PVT_str_2,,Dtub_,1,$C$64,C74)</f>
        <v>69.431711284907664</v>
      </c>
      <c r="F74" s="2">
        <f>[1]!MF_p_pipe_atma(Q_,fw_,B74-$B$64,$D$64,0,PVT_str_2,,$F$62,,$C$64,C74)</f>
        <v>70.488314587552381</v>
      </c>
      <c r="G74" s="2">
        <f>[1]!MF_p_pipe_atma(Q_,fw_,B74-$B$64,$G$64,0,PVT_str_2,,$G$62,,$C$64,C74)</f>
        <v>71.294993257098582</v>
      </c>
      <c r="H74" s="2">
        <f>[1]!MF_p_pipe_atma(Q_,fw_,B74-$B$64,$D$64,0,PVT_str_2,,Dtub_,,$C$64,C74)</f>
        <v>70.524202426776597</v>
      </c>
      <c r="I74" s="2">
        <f>[1]!MF_gas_fraction_d(E74,C74,fw_,PVT_str_2)</f>
        <v>0.31824775123148186</v>
      </c>
      <c r="J74" s="2">
        <f>[1]!MF_q_mix_rc_m3day(Q_,fw_,D74,C74,PVT_str_2)</f>
        <v>128.93298646244619</v>
      </c>
      <c r="S74" s="2">
        <f>[1]!MF_p_pipe_atma($N$62,fw_,B74-$B$79,$S$79,1,PVT_str_,,Dtub_,,$C$79,C74)</f>
        <v>102.72968568807659</v>
      </c>
      <c r="T74" s="2">
        <f>[1]!MF_gas_fraction_d(S74,C74,fw_,PVT_str_)</f>
        <v>1.4112215299084812E-17</v>
      </c>
      <c r="AE74" s="30"/>
      <c r="AF74" s="32"/>
      <c r="AG74" s="30"/>
      <c r="AH74" s="30"/>
      <c r="AI74" s="30"/>
      <c r="AJ74" s="36"/>
      <c r="AK74" s="32"/>
      <c r="AL74" s="30"/>
      <c r="AM74" s="30"/>
      <c r="AN74" s="30"/>
      <c r="AO74" s="32"/>
      <c r="AP74" s="32"/>
      <c r="AQ74" s="30"/>
      <c r="AR74" s="30"/>
      <c r="AS74" s="30"/>
      <c r="AT74" s="30"/>
      <c r="AU74" s="30"/>
      <c r="AV74" s="30"/>
      <c r="AW74" s="30"/>
    </row>
    <row r="75" spans="2:49" outlineLevel="1" x14ac:dyDescent="0.2">
      <c r="B75" s="27">
        <f t="shared" si="1"/>
        <v>1100</v>
      </c>
      <c r="C75" s="27">
        <f t="shared" si="0"/>
        <v>73</v>
      </c>
      <c r="D75" s="2">
        <f>[1]!MF_p_pipe_atma(Q_,fw_,B75-$B$64,$D$64,0,PVT_str_2,,Dtub_,,$C$64,C75)</f>
        <v>76.705719268955832</v>
      </c>
      <c r="E75" s="2">
        <f>[1]!MF_p_pipe_atma(Q_,fw_,B75-$B$64,$E$64,0,PVT_str_2,,Dtub_,1,$C$64,C75)</f>
        <v>76.078044730377329</v>
      </c>
      <c r="F75" s="2">
        <f>[1]!MF_p_pipe_atma(Q_,fw_,B75-$B$64,$D$64,0,PVT_str_2,,$F$62,,$C$64,C75)</f>
        <v>76.65816450012754</v>
      </c>
      <c r="G75" s="2">
        <f>[1]!MF_p_pipe_atma(Q_,fw_,B75-$B$64,$G$64,0,PVT_str_2,,$G$62,,$C$64,C75)</f>
        <v>77.478149699517033</v>
      </c>
      <c r="H75" s="2">
        <f>[1]!MF_p_pipe_atma(Q_,fw_,B75-$B$64,$D$64,0,PVT_str_2,,Dtub_,,$C$64,C75)</f>
        <v>76.705719268955832</v>
      </c>
      <c r="I75" s="2">
        <f>[1]!MF_gas_fraction_d(E75,C75,fw_,PVT_str_2)</f>
        <v>0.26702260451601273</v>
      </c>
      <c r="J75" s="2">
        <f>[1]!MF_q_mix_rc_m3day(Q_,fw_,D75,C75,PVT_str_2)</f>
        <v>121.8775567604601</v>
      </c>
      <c r="S75" s="2">
        <f>[1]!MF_p_pipe_atma($N$62,fw_,B75-$B$79,$S$79,1,PVT_str_,,Dtub_,,$C$79,C75)</f>
        <v>110.88512041546977</v>
      </c>
      <c r="T75" s="2">
        <f>[1]!MF_gas_fraction_d(S75,C75,fw_,PVT_str_)</f>
        <v>1.3267293181748694E-17</v>
      </c>
      <c r="AE75" s="30"/>
      <c r="AF75" s="32"/>
      <c r="AG75" s="30"/>
      <c r="AH75" s="30"/>
      <c r="AI75" s="30"/>
      <c r="AJ75" s="36"/>
      <c r="AK75" s="32"/>
      <c r="AL75" s="30"/>
      <c r="AM75" s="30"/>
      <c r="AN75" s="30"/>
      <c r="AO75" s="32"/>
      <c r="AP75" s="32"/>
      <c r="AQ75" s="30"/>
      <c r="AR75" s="30"/>
      <c r="AS75" s="30"/>
      <c r="AT75" s="30"/>
      <c r="AU75" s="30"/>
      <c r="AV75" s="30"/>
      <c r="AW75" s="30"/>
    </row>
    <row r="76" spans="2:49" outlineLevel="1" x14ac:dyDescent="0.2">
      <c r="B76" s="27">
        <f t="shared" si="1"/>
        <v>1200</v>
      </c>
      <c r="C76" s="27">
        <f t="shared" si="0"/>
        <v>76</v>
      </c>
      <c r="D76" s="2">
        <f>[1]!MF_p_pipe_atma(Q_,fw_,B76-$B$64,$D$64,0,PVT_str_2,,Dtub_,,$C$64,C76)</f>
        <v>83.025147320736565</v>
      </c>
      <c r="E76" s="2">
        <f>[1]!MF_p_pipe_atma(Q_,fw_,B76-$B$64,$E$64,0,PVT_str_2,,Dtub_,1,$C$64,C76)</f>
        <v>82.949164809094938</v>
      </c>
      <c r="F76" s="2">
        <f>[1]!MF_p_pipe_atma(Q_,fw_,B76-$B$64,$D$64,0,PVT_str_2,,$F$62,,$C$64,C76)</f>
        <v>82.971005975633673</v>
      </c>
      <c r="G76" s="2">
        <f>[1]!MF_p_pipe_atma(Q_,fw_,B76-$B$64,$G$64,0,PVT_str_2,,$G$62,,$C$64,C76)</f>
        <v>83.890407964446609</v>
      </c>
      <c r="H76" s="2">
        <f>[1]!MF_p_pipe_atma(Q_,fw_,B76-$B$64,$D$64,0,PVT_str_2,,Dtub_,,$C$64,C76)</f>
        <v>83.025147320736565</v>
      </c>
      <c r="I76" s="2">
        <f>[1]!MF_gas_fraction_d(E76,C76,fw_,PVT_str_2)</f>
        <v>0.21623621997538411</v>
      </c>
      <c r="J76" s="2">
        <f>[1]!MF_q_mix_rc_m3day(Q_,fw_,D76,C76,PVT_str_2)</f>
        <v>115.82405122053825</v>
      </c>
      <c r="S76" s="2">
        <f>[1]!MF_p_pipe_atma($N$62,fw_,B76-$B$79,$S$79,1,PVT_str_,,Dtub_,,$C$79,C76)</f>
        <v>119.03239359676135</v>
      </c>
      <c r="T76" s="2">
        <f>[1]!MF_gas_fraction_d(S76,C76,fw_,PVT_str_)</f>
        <v>1.2552797617137878E-17</v>
      </c>
      <c r="AE76" s="30"/>
      <c r="AF76" s="32"/>
      <c r="AG76" s="30"/>
      <c r="AH76" s="30"/>
      <c r="AI76" s="30"/>
      <c r="AJ76" s="36"/>
      <c r="AK76" s="32"/>
      <c r="AL76" s="30"/>
      <c r="AM76" s="30"/>
      <c r="AN76" s="30"/>
      <c r="AO76" s="32"/>
      <c r="AP76" s="32"/>
      <c r="AQ76" s="30"/>
      <c r="AR76" s="30"/>
      <c r="AS76" s="30"/>
      <c r="AT76" s="30"/>
      <c r="AU76" s="30"/>
      <c r="AV76" s="30"/>
      <c r="AW76" s="30"/>
    </row>
    <row r="77" spans="2:49" outlineLevel="1" x14ac:dyDescent="0.2">
      <c r="B77" s="27">
        <f t="shared" si="1"/>
        <v>1300</v>
      </c>
      <c r="C77" s="27">
        <f t="shared" si="0"/>
        <v>79</v>
      </c>
      <c r="D77" s="2">
        <f>[1]!MF_p_pipe_atma(Q_,fw_,B77-$B$64,$D$64,0,PVT_str_2,,Dtub_,,$C$64,C77)</f>
        <v>89.582106167973961</v>
      </c>
      <c r="E77" s="2">
        <f>[1]!MF_p_pipe_atma(Q_,fw_,B77-$B$64,$E$64,0,PVT_str_2,,Dtub_,1,$C$64,C77)</f>
        <v>90.027494892895163</v>
      </c>
      <c r="F77" s="2">
        <f>[1]!MF_p_pipe_atma(Q_,fw_,B77-$B$64,$D$64,0,PVT_str_2,,$F$62,,$C$64,C77)</f>
        <v>89.535481457476294</v>
      </c>
      <c r="G77" s="2">
        <f>[1]!MF_p_pipe_atma(Q_,fw_,B77-$B$64,$G$64,0,PVT_str_2,,$G$62,,$C$64,C77)</f>
        <v>90.609754155597884</v>
      </c>
      <c r="H77" s="2">
        <f>[1]!MF_p_pipe_atma(Q_,fw_,B77-$B$64,$D$64,0,PVT_str_2,,Dtub_,,$C$64,C77)</f>
        <v>89.582106167973961</v>
      </c>
      <c r="I77" s="2">
        <f>[1]!MF_gas_fraction_d(E77,C77,fw_,PVT_str_2)</f>
        <v>0.16609586997288939</v>
      </c>
      <c r="J77" s="2">
        <f>[1]!MF_q_mix_rc_m3day(Q_,fw_,D77,C77,PVT_str_2)</f>
        <v>110.49394109820405</v>
      </c>
      <c r="S77" s="2">
        <f>[1]!MF_p_pipe_atma($N$62,fw_,B77-$B$79,$S$79,1,PVT_str_,,Dtub_,,$C$79,C77)</f>
        <v>127.17132883515931</v>
      </c>
      <c r="T77" s="2">
        <f>[1]!MF_gas_fraction_d(S77,C77,fw_,PVT_str_)</f>
        <v>1.1942965620137346E-17</v>
      </c>
      <c r="AE77" s="30"/>
      <c r="AF77" s="32"/>
      <c r="AG77" s="30"/>
      <c r="AH77" s="30"/>
      <c r="AI77" s="30"/>
      <c r="AJ77" s="36"/>
      <c r="AK77" s="32"/>
      <c r="AL77" s="30"/>
      <c r="AM77" s="30"/>
      <c r="AN77" s="30"/>
      <c r="AO77" s="32"/>
      <c r="AP77" s="32"/>
      <c r="AQ77" s="30"/>
      <c r="AR77" s="30"/>
      <c r="AS77" s="30"/>
      <c r="AT77" s="30"/>
      <c r="AU77" s="30"/>
      <c r="AV77" s="30"/>
      <c r="AW77" s="30"/>
    </row>
    <row r="78" spans="2:49" outlineLevel="1" x14ac:dyDescent="0.2">
      <c r="B78" s="27">
        <f t="shared" si="1"/>
        <v>1400</v>
      </c>
      <c r="C78" s="27">
        <f t="shared" si="0"/>
        <v>82</v>
      </c>
      <c r="D78" s="2">
        <f>[1]!MF_p_pipe_atma(Q_,fw_,B78-$B$64,$D$64,0,PVT_str_2,,Dtub_,,$C$64,C78)</f>
        <v>96.436854264816475</v>
      </c>
      <c r="E78" s="2">
        <f>[1]!MF_p_pipe_atma(Q_,fw_,B78-$B$64,$E$64,0,PVT_str_2,,Dtub_,1,$C$64,C78)</f>
        <v>97.29612061405912</v>
      </c>
      <c r="F78" s="2">
        <f>[1]!MF_p_pipe_atma(Q_,fw_,B78-$B$64,$D$64,0,PVT_str_2,,$F$62,,$C$64,C78)</f>
        <v>96.397480538042146</v>
      </c>
      <c r="G78" s="2">
        <f>[1]!MF_p_pipe_atma(Q_,fw_,B78-$B$64,$G$64,0,PVT_str_2,,$G$62,,$C$64,C78)</f>
        <v>97.620530857738274</v>
      </c>
      <c r="H78" s="2">
        <f>[1]!MF_p_pipe_atma(Q_,fw_,B78-$B$64,$D$64,0,PVT_str_2,,Dtub_,,$C$64,C78)</f>
        <v>96.436854264816475</v>
      </c>
      <c r="I78" s="2">
        <f>[1]!MF_gas_fraction_d(E78,C78,fw_,PVT_str_2)</f>
        <v>0.11676129160273291</v>
      </c>
      <c r="J78" s="2">
        <f>[1]!MF_q_mix_rc_m3day(Q_,fw_,D78,C78,PVT_str_2)</f>
        <v>105.7307930298972</v>
      </c>
      <c r="S78" s="2">
        <f>[1]!MF_p_pipe_atma($N$62,fw_,B78-$B$79,$S$79,1,PVT_str_,,Dtub_,,$C$79,C78)</f>
        <v>135.30178258666535</v>
      </c>
      <c r="T78" s="2">
        <f>[1]!MF_gas_fraction_d(S78,C78,fw_,PVT_str_)</f>
        <v>1.1418380831725775E-17</v>
      </c>
      <c r="AE78" s="30"/>
      <c r="AF78" s="32"/>
      <c r="AG78" s="30"/>
      <c r="AH78" s="30"/>
      <c r="AI78" s="30"/>
      <c r="AJ78" s="36"/>
      <c r="AK78" s="32"/>
      <c r="AL78" s="30"/>
      <c r="AM78" s="30"/>
      <c r="AN78" s="30"/>
      <c r="AO78" s="32"/>
      <c r="AP78" s="32"/>
      <c r="AQ78" s="30"/>
      <c r="AR78" s="30"/>
      <c r="AS78" s="30"/>
      <c r="AT78" s="30"/>
      <c r="AU78" s="30"/>
      <c r="AV78" s="30"/>
      <c r="AW78" s="30"/>
    </row>
    <row r="79" spans="2:49" outlineLevel="1" x14ac:dyDescent="0.2">
      <c r="B79" s="41">
        <f t="shared" si="1"/>
        <v>1500</v>
      </c>
      <c r="C79" s="41">
        <f t="shared" si="0"/>
        <v>85</v>
      </c>
      <c r="D79" s="2">
        <f>[1]!MF_p_pipe_atma(Q_,fw_,B79-$B$64,$D$64,0,PVT_str_2,,Dtub_,,$C$64,C79)</f>
        <v>103.57991682282803</v>
      </c>
      <c r="E79" s="2">
        <f>[1]!MF_p_pipe_atma(Q_,fw_,B79-$B$64,$E$64,0,PVT_str_2,,Dtub_,1,$C$64,C79)</f>
        <v>104.7391215065412</v>
      </c>
      <c r="F79" s="2">
        <f>[1]!MF_p_pipe_atma(Q_,fw_,B79-$B$64,$D$64,0,PVT_str_2,,$F$62,,$C$64,C79)</f>
        <v>103.54700359335621</v>
      </c>
      <c r="G79" s="2">
        <f>[1]!MF_p_pipe_atma(Q_,fw_,B79-$B$64,$G$64,0,PVT_str_2,,$G$62,,$C$64,C79)</f>
        <v>104.91089395109391</v>
      </c>
      <c r="H79" s="2">
        <f>[1]!MF_p_pipe_atma(Q_,fw_,B79-$B$78,$H$78,0,PVT_str_2,,Dcas_,,$C$78,C79)</f>
        <v>104.19286185209668</v>
      </c>
      <c r="I79" s="2">
        <f>[1]!MF_gas_fraction_d(E79,C79,fw_,PVT_str_2)</f>
        <v>6.8345969945157223E-2</v>
      </c>
      <c r="J79" s="2">
        <f>[1]!MF_q_mix_rc_m3day(Q_,fw_,D79,C79,PVT_str_2)</f>
        <v>101.4699850124957</v>
      </c>
      <c r="M79" s="2" t="s">
        <v>88</v>
      </c>
      <c r="N79" s="2">
        <f>[1]!MF_p_pipe_atma(Q_,fw_,B79-$B$84,$N$84,1,PVT_str_2,,Dtub_,1,$C$84,C79)</f>
        <v>50.474365556565566</v>
      </c>
      <c r="O79" s="2">
        <f>[1]!MF_ksep_natural_d(Q_,wc_,N79,C79,Dintake_,Dcas_,PVT_str_)</f>
        <v>0.56354239426254726</v>
      </c>
      <c r="P79" s="2">
        <f>[1]!MF_ksep_total_d(O79,KsepGasSep_)</f>
        <v>0.95635423942625475</v>
      </c>
      <c r="Q79" s="2">
        <f>[1]!MF_gas_fraction_d(N79,C79,fw_,PVT_str_2)</f>
        <v>0.51403057823493636</v>
      </c>
      <c r="R79" s="2">
        <f>[1]!ESP_dp_atm($N$62,fw_,N79,NumStage_,Freq_,PumpID_,PVT_str_,C79,0,1,,$N$61)</f>
        <v>92.949270844506401</v>
      </c>
      <c r="S79" s="2">
        <f>N79+R79</f>
        <v>143.42363640107197</v>
      </c>
      <c r="T79" s="2">
        <f>[1]!MF_gas_fraction_d(S79,C79,fw_,PVT_str_)</f>
        <v>1.0964159097827486E-17</v>
      </c>
      <c r="U79" s="2">
        <f>[1]!ESP_eff_fr(N62,NumStage_,Freq_,PumpID_,mu_,N61)</f>
        <v>0.46162952925771533</v>
      </c>
      <c r="AE79" s="30"/>
      <c r="AF79" s="32"/>
      <c r="AG79" s="37"/>
      <c r="AH79" s="37"/>
      <c r="AI79" s="36"/>
      <c r="AJ79" s="36"/>
      <c r="AK79" s="32"/>
      <c r="AL79" s="46"/>
      <c r="AM79" s="30"/>
      <c r="AN79" s="47"/>
      <c r="AO79" s="38"/>
      <c r="AP79" s="38"/>
      <c r="AQ79" s="30"/>
      <c r="AR79" s="30"/>
      <c r="AS79" s="30"/>
      <c r="AT79" s="30"/>
      <c r="AU79" s="30"/>
      <c r="AV79" s="30"/>
      <c r="AW79" s="30"/>
    </row>
    <row r="80" spans="2:49" outlineLevel="1" x14ac:dyDescent="0.2">
      <c r="B80" s="27">
        <f t="shared" si="1"/>
        <v>1600</v>
      </c>
      <c r="C80" s="27">
        <f t="shared" si="0"/>
        <v>88</v>
      </c>
      <c r="D80" s="2">
        <f>[1]!MF_p_pipe_atma(Q_,fw_,B80-$B$64,$D$64,0,PVT_str_2,,Dtub_,,$C$64,C80)</f>
        <v>111.00415091642307</v>
      </c>
      <c r="E80" s="2">
        <f>[1]!MF_p_pipe_atma(Q_,fw_,B80-$B$64,$E$64,0,PVT_str_2,,Dtub_,1,$C$64,C80)</f>
        <v>112.34166548975013</v>
      </c>
      <c r="F80" s="2">
        <f>[1]!MF_p_pipe_atma(Q_,fw_,B80-$B$64,$D$64,0,PVT_str_2,,$F$62,,$C$64,C80)</f>
        <v>110.97700880443089</v>
      </c>
      <c r="G80" s="2">
        <f>[1]!MF_p_pipe_atma(Q_,fw_,B80-$B$64,$G$64,0,PVT_str_2,,$G$62,,$C$64,C80)</f>
        <v>112.58956305630154</v>
      </c>
      <c r="H80" s="2">
        <f>[1]!MF_p_pipe_atma(Q_,fw_,B80-$B$78,$H$78,0,PVT_str_2,,Dcas_,,$C$78,C80)</f>
        <v>111.92582989056264</v>
      </c>
      <c r="I80" s="2">
        <f>[1]!MF_gas_fraction_d(E80,C80,fw_,PVT_str_2)</f>
        <v>2.0921272959634491E-2</v>
      </c>
      <c r="J80" s="2">
        <f>[1]!MF_q_mix_rc_m3day(Q_,fw_,D80,C80,PVT_str_2)</f>
        <v>97.650981845249007</v>
      </c>
      <c r="N80" s="2">
        <f>[1]!MF_p_pipe_atma(Q_,fw_,B80-$B$84,$N$84,1,PVT_str_2,,Dtub_,1,$C$84,C80)</f>
        <v>55.886314203251771</v>
      </c>
      <c r="Q80" s="2">
        <f>[1]!MF_gas_fraction_d(N80,C80,fw_,PVT_str_2)</f>
        <v>0.47085989247468435</v>
      </c>
      <c r="AE80" s="30"/>
      <c r="AF80" s="32"/>
      <c r="AG80" s="30"/>
      <c r="AH80" s="30"/>
      <c r="AI80" s="36"/>
      <c r="AJ80" s="30"/>
      <c r="AK80" s="32"/>
      <c r="AL80" s="30"/>
      <c r="AM80" s="30"/>
      <c r="AN80" s="30"/>
      <c r="AO80" s="30"/>
      <c r="AP80" s="30"/>
      <c r="AQ80" s="30"/>
      <c r="AR80" s="30"/>
      <c r="AS80" s="30"/>
      <c r="AT80" s="30"/>
      <c r="AU80" s="30"/>
      <c r="AV80" s="30"/>
      <c r="AW80" s="30"/>
    </row>
    <row r="81" spans="2:49" outlineLevel="1" x14ac:dyDescent="0.2">
      <c r="B81" s="27">
        <f t="shared" si="1"/>
        <v>1700</v>
      </c>
      <c r="C81" s="27">
        <f t="shared" si="0"/>
        <v>91</v>
      </c>
      <c r="D81" s="2">
        <f>[1]!MF_p_pipe_atma(Q_,fw_,B81-$B$64,$D$64,0,PVT_str_2,,Dtub_,,$C$64,C81)</f>
        <v>118.68941589531273</v>
      </c>
      <c r="E81" s="2">
        <f>[1]!MF_p_pipe_atma(Q_,fw_,B81-$B$64,$E$64,0,PVT_str_2,,Dtub_,1,$C$64,C81)</f>
        <v>120.06917357293435</v>
      </c>
      <c r="F81" s="2">
        <f>[1]!MF_p_pipe_atma(Q_,fw_,B81-$B$64,$D$64,0,PVT_str_2,,$F$62,,$C$64,C81)</f>
        <v>118.66796680361803</v>
      </c>
      <c r="G81" s="2">
        <f>[1]!MF_p_pipe_atma(Q_,fw_,B81-$B$64,$G$64,0,PVT_str_2,,$G$62,,$C$64,C81)</f>
        <v>120.40933222418801</v>
      </c>
      <c r="H81" s="2">
        <f>[1]!MF_p_pipe_atma(Q_,fw_,B81-$B$78,$H$78,0,PVT_str_2,,Dcas_,,$C$78,C81)</f>
        <v>119.63836006746671</v>
      </c>
      <c r="I81" s="2">
        <f>[1]!MF_gas_fraction_d(E81,C81,fw_,PVT_str_2)</f>
        <v>0</v>
      </c>
      <c r="J81" s="2">
        <f>[1]!MF_q_mix_rc_m3day(Q_,fw_,D81,C81,PVT_str_2)</f>
        <v>95.323186453262878</v>
      </c>
      <c r="N81" s="2">
        <f>[1]!MF_p_pipe_atma(Q_,fw_,B81-$B$84,$N$84,1,PVT_str_2,,Dtub_,1,$C$84,C81)</f>
        <v>61.556367565893098</v>
      </c>
      <c r="Q81" s="2">
        <f>[1]!MF_gas_fraction_d(N81,C81,fw_,PVT_str_2)</f>
        <v>0.42720886850948231</v>
      </c>
      <c r="AE81" s="30"/>
      <c r="AF81" s="32"/>
      <c r="AG81" s="30"/>
      <c r="AH81" s="30"/>
      <c r="AI81" s="36"/>
      <c r="AJ81" s="30"/>
      <c r="AK81" s="32"/>
      <c r="AL81" s="30"/>
      <c r="AM81" s="30"/>
      <c r="AN81" s="30"/>
      <c r="AO81" s="30"/>
      <c r="AP81" s="30"/>
      <c r="AQ81" s="30"/>
      <c r="AR81" s="30"/>
      <c r="AS81" s="30"/>
      <c r="AT81" s="30"/>
      <c r="AU81" s="30"/>
      <c r="AV81" s="30"/>
      <c r="AW81" s="30"/>
    </row>
    <row r="82" spans="2:49" outlineLevel="1" x14ac:dyDescent="0.2">
      <c r="B82" s="27">
        <f t="shared" si="1"/>
        <v>1800</v>
      </c>
      <c r="C82" s="27">
        <f t="shared" si="0"/>
        <v>94</v>
      </c>
      <c r="D82" s="2">
        <f>[1]!MF_p_pipe_atma(Q_,fw_,B82-$B$64,$D$64,0,PVT_str_2,,Dtub_,,$C$64,C82)</f>
        <v>126.43113598620617</v>
      </c>
      <c r="E82" s="2">
        <f>[1]!MF_p_pipe_atma(Q_,fw_,B82-$B$64,$E$64,0,PVT_str_2,,Dtub_,1,$C$64,C82)</f>
        <v>127.81055518686402</v>
      </c>
      <c r="F82" s="2">
        <f>[1]!MF_p_pipe_atma(Q_,fw_,B82-$B$64,$D$64,0,PVT_str_2,,$F$62,,$C$64,C82)</f>
        <v>126.41578330552488</v>
      </c>
      <c r="G82" s="2">
        <f>[1]!MF_p_pipe_atma(Q_,fw_,B82-$B$64,$G$64,0,PVT_str_2,,$G$62,,$C$64,C82)</f>
        <v>128.21996702516563</v>
      </c>
      <c r="H82" s="2">
        <f>[1]!MF_p_pipe_atma(Q_,fw_,B82-$B$78,$H$78,0,PVT_str_2,,Dcas_,,$C$78,C82)</f>
        <v>127.34670800176646</v>
      </c>
      <c r="I82" s="2">
        <f>[1]!MF_gas_fraction_d(E82,C82,fw_,PVT_str_2)</f>
        <v>0</v>
      </c>
      <c r="J82" s="2">
        <f>[1]!MF_q_mix_rc_m3day(Q_,fw_,D82,C82,PVT_str_2)</f>
        <v>95.347194991748765</v>
      </c>
      <c r="N82" s="2">
        <f>[1]!MF_p_pipe_atma(Q_,fw_,B82-$B$84,$N$84,1,PVT_str_2,,Dtub_,1,$C$84,C82)</f>
        <v>67.470643593385631</v>
      </c>
      <c r="Q82" s="2">
        <f>[1]!MF_gas_fraction_d(N82,C82,fw_,PVT_str_2)</f>
        <v>0.38333667561684098</v>
      </c>
      <c r="AE82" s="30"/>
      <c r="AF82" s="32"/>
      <c r="AG82" s="30"/>
      <c r="AH82" s="30"/>
      <c r="AI82" s="36"/>
      <c r="AJ82" s="30"/>
      <c r="AK82" s="32"/>
      <c r="AL82" s="30"/>
      <c r="AM82" s="30"/>
      <c r="AN82" s="30"/>
      <c r="AO82" s="30"/>
      <c r="AP82" s="30"/>
      <c r="AQ82" s="30"/>
      <c r="AR82" s="30"/>
      <c r="AS82" s="30"/>
      <c r="AT82" s="30"/>
      <c r="AU82" s="30"/>
      <c r="AV82" s="30"/>
      <c r="AW82" s="30"/>
    </row>
    <row r="83" spans="2:49" outlineLevel="1" x14ac:dyDescent="0.2">
      <c r="B83" s="27">
        <f t="shared" si="1"/>
        <v>1900</v>
      </c>
      <c r="C83" s="27">
        <f t="shared" si="0"/>
        <v>97</v>
      </c>
      <c r="D83" s="2">
        <f>[1]!MF_p_pipe_atma(Q_,fw_,B83-$B$64,$D$64,0,PVT_str_2,,Dtub_,,$C$64,C83)</f>
        <v>134.17053333800069</v>
      </c>
      <c r="E83" s="2">
        <f>[1]!MF_p_pipe_atma(Q_,fw_,B83-$B$64,$E$64,0,PVT_str_2,,Dtub_,1,$C$64,C83)</f>
        <v>135.54937248925305</v>
      </c>
      <c r="F83" s="2">
        <f>[1]!MF_p_pipe_atma(Q_,fw_,B83-$B$64,$D$64,0,PVT_str_2,,$F$62,,$C$64,C83)</f>
        <v>134.1613125083249</v>
      </c>
      <c r="G83" s="2">
        <f>[1]!MF_p_pipe_atma(Q_,fw_,B83-$B$64,$G$64,0,PVT_str_2,,$G$62,,$C$64,C83)</f>
        <v>136.02831724007407</v>
      </c>
      <c r="H83" s="2">
        <f>[1]!MF_p_pipe_atma(Q_,fw_,B83-$B$78,$H$78,0,PVT_str_2,,Dcas_,,$C$78,C83)</f>
        <v>135.05238707233895</v>
      </c>
      <c r="I83" s="2">
        <f>[1]!MF_gas_fraction_d(E83,C83,fw_,PVT_str_2)</f>
        <v>0</v>
      </c>
      <c r="J83" s="2">
        <f>[1]!MF_q_mix_rc_m3day(Q_,fw_,D83,C83,PVT_str_2)</f>
        <v>95.383413498749121</v>
      </c>
      <c r="N83" s="2">
        <f>[1]!MF_p_pipe_atma(Q_,fw_,B83-$B$84,$N$84,1,PVT_str_2,,Dtub_,1,$C$84,C83)</f>
        <v>73.614618685277037</v>
      </c>
      <c r="Q83" s="2">
        <f>[1]!MF_gas_fraction_d(N83,C83,fw_,PVT_str_2)</f>
        <v>0.3394804500103103</v>
      </c>
      <c r="AE83" s="30"/>
      <c r="AF83" s="32"/>
      <c r="AG83" s="30"/>
      <c r="AH83" s="30"/>
      <c r="AI83" s="36"/>
      <c r="AJ83" s="30"/>
      <c r="AK83" s="32"/>
      <c r="AL83" s="30"/>
      <c r="AM83" s="30"/>
      <c r="AN83" s="30"/>
      <c r="AO83" s="30"/>
      <c r="AP83" s="30"/>
      <c r="AQ83" s="30"/>
      <c r="AR83" s="30"/>
      <c r="AS83" s="30"/>
      <c r="AT83" s="30"/>
      <c r="AU83" s="30"/>
      <c r="AV83" s="30"/>
      <c r="AW83" s="30"/>
    </row>
    <row r="84" spans="2:49" outlineLevel="1" x14ac:dyDescent="0.2">
      <c r="B84" s="27">
        <f t="shared" si="1"/>
        <v>2000</v>
      </c>
      <c r="C84" s="27">
        <f>Tres_</f>
        <v>100</v>
      </c>
      <c r="D84" s="2">
        <f>[1]!MF_p_pipe_atma(Q_,fw_,B84-$B$64,$D$64,0,PVT_str_2,,Dtub_,,$C$64,C84)</f>
        <v>141.90671495449652</v>
      </c>
      <c r="E84" s="2">
        <f>[1]!MF_p_pipe_atma(Q_,fw_,B84-$B$64,$E$64,0,PVT_str_2,,Dtub_,1,$C$64,C84)</f>
        <v>143.28476784681681</v>
      </c>
      <c r="F84" s="2">
        <f>[1]!MF_p_pipe_atma(Q_,fw_,B84-$B$64,$D$64,0,PVT_str_2,,$F$62,,$C$64,C84)</f>
        <v>141.90366062678578</v>
      </c>
      <c r="G84" s="2">
        <f>[1]!MF_p_pipe_atma(Q_,fw_,B84-$B$64,$G$64,0,PVT_str_2,,$G$62,,$C$64,C84)</f>
        <v>143.83353013167144</v>
      </c>
      <c r="H84" s="2">
        <f>[1]!MF_p_pipe_atma(Q_,fw_,B84-$B$78,$H$78,0,PVT_str_2,,Dcas_,,$C$78,C84)</f>
        <v>142.75452966067536</v>
      </c>
      <c r="I84" s="2">
        <f>[1]!MF_gas_fraction_d(E84,C84,fw_,PVT_str_2)</f>
        <v>0</v>
      </c>
      <c r="J84" s="2">
        <f>[1]!MF_q_mix_rc_m3day(Q_,fw_,D84,C84,PVT_str_2)</f>
        <v>95.42989193086143</v>
      </c>
      <c r="N84" s="40">
        <v>80</v>
      </c>
      <c r="Q84" s="2">
        <f>[1]!MF_gas_fraction_d(N84,C84,fw_,PVT_str_2)</f>
        <v>0.29564550643585058</v>
      </c>
      <c r="AE84" s="30"/>
      <c r="AF84" s="22"/>
      <c r="AG84" s="30"/>
      <c r="AH84" s="30"/>
      <c r="AI84" s="36"/>
      <c r="AJ84" s="30"/>
      <c r="AK84" s="32"/>
      <c r="AL84" s="30"/>
      <c r="AM84" s="30"/>
      <c r="AN84" s="30"/>
      <c r="AO84" s="30"/>
      <c r="AP84" s="30"/>
      <c r="AQ84" s="30"/>
      <c r="AR84" s="30"/>
      <c r="AS84" s="30"/>
      <c r="AT84" s="30"/>
      <c r="AU84" s="30"/>
      <c r="AV84" s="30"/>
      <c r="AW84" s="30"/>
    </row>
    <row r="85" spans="2:49" outlineLevel="1" x14ac:dyDescent="0.2"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0"/>
      <c r="AR85" s="30"/>
      <c r="AS85" s="30"/>
      <c r="AT85" s="30"/>
      <c r="AU85" s="30"/>
      <c r="AV85" s="30"/>
      <c r="AW85" s="30"/>
    </row>
    <row r="86" spans="2:49" outlineLevel="1" x14ac:dyDescent="0.2"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30"/>
      <c r="AR86" s="30"/>
      <c r="AS86" s="30"/>
      <c r="AT86" s="30"/>
      <c r="AU86" s="30"/>
      <c r="AV86" s="30"/>
      <c r="AW86" s="30"/>
    </row>
    <row r="87" spans="2:49" outlineLevel="1" x14ac:dyDescent="0.2"/>
    <row r="88" spans="2:49" outlineLevel="1" x14ac:dyDescent="0.2"/>
    <row r="89" spans="2:49" s="23" customFormat="1" ht="72.75" customHeight="1" outlineLevel="1" x14ac:dyDescent="0.2">
      <c r="B89" s="29" t="s">
        <v>0</v>
      </c>
      <c r="C89" s="29" t="s">
        <v>46</v>
      </c>
      <c r="D89" s="24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</row>
    <row r="90" spans="2:49" x14ac:dyDescent="0.2">
      <c r="B90" s="2">
        <v>0</v>
      </c>
      <c r="C90" s="2">
        <f>[1]!IPR_pwf_atma(PI_,Pres_,B90,fw_,Pb_)</f>
        <v>250</v>
      </c>
    </row>
    <row r="91" spans="2:49" outlineLevel="1" x14ac:dyDescent="0.2">
      <c r="B91" s="30">
        <v>10</v>
      </c>
      <c r="C91" s="2">
        <f>[1]!IPR_pwf_atma(PI_,Pres_,B91,fw_,Pb_)</f>
        <v>236.25</v>
      </c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</row>
    <row r="92" spans="2:49" outlineLevel="1" x14ac:dyDescent="0.2">
      <c r="B92" s="30">
        <v>20</v>
      </c>
      <c r="C92" s="2">
        <f>[1]!IPR_pwf_atma(PI_,Pres_,B92,fw_,Pb_)</f>
        <v>222.5</v>
      </c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</row>
    <row r="93" spans="2:49" outlineLevel="1" x14ac:dyDescent="0.2">
      <c r="B93" s="2">
        <v>30</v>
      </c>
      <c r="C93" s="2">
        <f>[1]!IPR_pwf_atma(PI_,Pres_,B93,fw_,Pb_)</f>
        <v>208.75</v>
      </c>
      <c r="D93" s="22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</row>
    <row r="94" spans="2:49" outlineLevel="1" x14ac:dyDescent="0.2">
      <c r="B94" s="30">
        <v>40</v>
      </c>
      <c r="C94" s="2">
        <f>[1]!IPR_pwf_atma(PI_,Pres_,B94,fw_,Pb_)</f>
        <v>195</v>
      </c>
      <c r="D94" s="31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</row>
    <row r="95" spans="2:49" outlineLevel="1" x14ac:dyDescent="0.2">
      <c r="B95" s="30">
        <v>50</v>
      </c>
      <c r="C95" s="2">
        <f>[1]!IPR_pwf_atma(PI_,Pres_,B95,fw_,Pb_)</f>
        <v>181.25</v>
      </c>
      <c r="D95" s="22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</row>
    <row r="96" spans="2:49" outlineLevel="1" x14ac:dyDescent="0.2">
      <c r="B96" s="2">
        <v>60</v>
      </c>
      <c r="C96" s="2">
        <f>[1]!IPR_pwf_atma(PI_,Pres_,B96,fw_,Pb_)</f>
        <v>167.5</v>
      </c>
      <c r="D96" s="22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</row>
    <row r="97" spans="2:21" outlineLevel="1" x14ac:dyDescent="0.2">
      <c r="B97" s="30">
        <v>70</v>
      </c>
      <c r="C97" s="2">
        <f>[1]!IPR_pwf_atma(PI_,Pres_,B97,fw_,Pb_)</f>
        <v>153.75</v>
      </c>
      <c r="D97" s="32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</row>
    <row r="98" spans="2:21" outlineLevel="1" x14ac:dyDescent="0.2">
      <c r="B98" s="30">
        <v>80</v>
      </c>
      <c r="C98" s="2">
        <f>[1]!IPR_pwf_atma(PI_,Pres_,B98,fw_,Pb_)</f>
        <v>140</v>
      </c>
      <c r="D98" s="32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</row>
    <row r="99" spans="2:21" outlineLevel="1" x14ac:dyDescent="0.2">
      <c r="B99" s="2">
        <v>90</v>
      </c>
      <c r="C99" s="2">
        <f>[1]!IPR_pwf_atma(PI_,Pres_,B99,fw_,Pb_)</f>
        <v>126.25</v>
      </c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</row>
    <row r="100" spans="2:21" ht="15.75" outlineLevel="1" x14ac:dyDescent="0.25">
      <c r="B100" s="30">
        <v>100</v>
      </c>
      <c r="C100" s="2">
        <f>[1]!IPR_pwf_atma(PI_,Pres_,B100,fw_,Pb_)</f>
        <v>112.27922061357854</v>
      </c>
      <c r="D100" s="33"/>
      <c r="E100" s="34"/>
      <c r="F100" s="35"/>
      <c r="G100" s="35"/>
      <c r="H100" s="35"/>
      <c r="I100" s="35"/>
      <c r="J100" s="35"/>
      <c r="K100" s="35"/>
      <c r="L100" s="35"/>
      <c r="M100" s="35"/>
      <c r="N100" s="35"/>
      <c r="O100" s="30"/>
      <c r="P100" s="30"/>
      <c r="Q100" s="30"/>
      <c r="R100" s="30"/>
      <c r="S100" s="30"/>
      <c r="T100" s="30"/>
      <c r="U100" s="30"/>
    </row>
    <row r="101" spans="2:21" outlineLevel="1" x14ac:dyDescent="0.2">
      <c r="B101" s="30">
        <v>110</v>
      </c>
      <c r="C101" s="2">
        <f>[1]!IPR_pwf_atma(PI_,Pres_,B101,fw_,Pb_)</f>
        <v>96.747483193135054</v>
      </c>
      <c r="D101" s="22"/>
      <c r="E101" s="32"/>
      <c r="F101" s="32"/>
      <c r="G101" s="30"/>
      <c r="H101" s="30"/>
      <c r="I101" s="30"/>
      <c r="J101" s="36"/>
      <c r="K101" s="32"/>
      <c r="L101" s="32"/>
      <c r="M101" s="30"/>
      <c r="N101" s="30"/>
      <c r="O101" s="30"/>
      <c r="P101" s="30"/>
      <c r="Q101" s="30"/>
      <c r="R101" s="30"/>
      <c r="S101" s="30"/>
      <c r="T101" s="30"/>
      <c r="U101" s="30"/>
    </row>
    <row r="102" spans="2:21" outlineLevel="1" x14ac:dyDescent="0.2">
      <c r="B102" s="2">
        <v>120</v>
      </c>
      <c r="C102" s="2">
        <f>[1]!IPR_pwf_atma(PI_,Pres_,B102,fw_,Pb_)</f>
        <v>78.674969975975969</v>
      </c>
      <c r="D102" s="22"/>
      <c r="E102" s="32"/>
      <c r="F102" s="32"/>
      <c r="G102" s="30"/>
      <c r="H102" s="30"/>
      <c r="I102" s="30"/>
      <c r="J102" s="36"/>
      <c r="K102" s="32"/>
      <c r="L102" s="32"/>
      <c r="M102" s="30"/>
      <c r="N102" s="30"/>
      <c r="O102" s="30"/>
      <c r="P102" s="30"/>
      <c r="Q102" s="30"/>
      <c r="R102" s="30"/>
      <c r="S102" s="30"/>
      <c r="T102" s="30"/>
      <c r="U102" s="30"/>
    </row>
    <row r="103" spans="2:21" outlineLevel="1" x14ac:dyDescent="0.2">
      <c r="B103" s="30">
        <v>130</v>
      </c>
      <c r="C103" s="2">
        <f>[1]!IPR_pwf_atma(PI_,Pres_,B103,fw_,Pb_)</f>
        <v>56.151247353788534</v>
      </c>
      <c r="D103" s="22"/>
      <c r="E103" s="32"/>
      <c r="F103" s="32"/>
      <c r="G103" s="30"/>
      <c r="H103" s="30"/>
      <c r="I103" s="30"/>
      <c r="J103" s="36"/>
      <c r="K103" s="32"/>
      <c r="L103" s="32"/>
      <c r="M103" s="30"/>
      <c r="N103" s="30"/>
      <c r="O103" s="30"/>
      <c r="P103" s="30"/>
      <c r="Q103" s="30"/>
      <c r="R103" s="30"/>
      <c r="S103" s="30"/>
      <c r="T103" s="30"/>
      <c r="U103" s="30"/>
    </row>
    <row r="104" spans="2:21" outlineLevel="1" x14ac:dyDescent="0.2">
      <c r="B104" s="30">
        <v>140</v>
      </c>
      <c r="C104" s="2">
        <f>[1]!IPR_pwf_atma(PI_,Pres_,B104,fw_,Pb_)</f>
        <v>21.742346141747674</v>
      </c>
      <c r="D104" s="22"/>
      <c r="E104" s="32"/>
      <c r="F104" s="32"/>
      <c r="G104" s="30"/>
      <c r="H104" s="30"/>
      <c r="I104" s="30"/>
      <c r="J104" s="36"/>
      <c r="K104" s="32"/>
      <c r="L104" s="32"/>
      <c r="M104" s="30"/>
      <c r="N104" s="30"/>
      <c r="O104" s="30"/>
      <c r="P104" s="30"/>
      <c r="Q104" s="30"/>
      <c r="R104" s="30"/>
      <c r="S104" s="30"/>
      <c r="T104" s="30"/>
      <c r="U104" s="30"/>
    </row>
    <row r="105" spans="2:21" outlineLevel="1" x14ac:dyDescent="0.2">
      <c r="B105" s="2">
        <v>150</v>
      </c>
      <c r="C105" s="2">
        <f>[1]!IPR_pwf_atma(PI_,Pres_,B105,fw_,Pb_)</f>
        <v>0</v>
      </c>
      <c r="D105" s="22"/>
      <c r="E105" s="32"/>
      <c r="F105" s="32"/>
      <c r="G105" s="30"/>
      <c r="H105" s="30"/>
      <c r="I105" s="30"/>
      <c r="J105" s="36"/>
      <c r="K105" s="32"/>
      <c r="L105" s="32"/>
      <c r="M105" s="30"/>
      <c r="N105" s="30"/>
      <c r="O105" s="30"/>
      <c r="P105" s="30"/>
      <c r="Q105" s="30"/>
      <c r="R105" s="30"/>
      <c r="S105" s="30"/>
      <c r="T105" s="30"/>
      <c r="U105" s="30"/>
    </row>
    <row r="106" spans="2:21" outlineLevel="1" x14ac:dyDescent="0.2">
      <c r="B106" s="30">
        <v>160</v>
      </c>
      <c r="C106" s="2">
        <f>[1]!IPR_pwf_atma(PI_,Pres_,B106,fw_,Pb_)</f>
        <v>0</v>
      </c>
      <c r="D106" s="22"/>
      <c r="E106" s="32"/>
      <c r="F106" s="32"/>
      <c r="G106" s="30"/>
      <c r="H106" s="30"/>
      <c r="I106" s="30"/>
      <c r="J106" s="36"/>
      <c r="K106" s="32"/>
      <c r="L106" s="32"/>
      <c r="M106" s="30"/>
      <c r="N106" s="30"/>
      <c r="O106" s="30"/>
      <c r="P106" s="30"/>
      <c r="Q106" s="30"/>
      <c r="R106" s="30"/>
      <c r="S106" s="30"/>
      <c r="T106" s="30"/>
      <c r="U106" s="30"/>
    </row>
    <row r="107" spans="2:21" outlineLevel="1" x14ac:dyDescent="0.2">
      <c r="B107" s="30">
        <v>170</v>
      </c>
      <c r="C107" s="2">
        <f>[1]!IPR_pwf_atma(PI_,Pres_,B107,fw_,Pb_)</f>
        <v>0</v>
      </c>
      <c r="D107" s="22"/>
      <c r="E107" s="32"/>
      <c r="F107" s="32"/>
      <c r="G107" s="30"/>
      <c r="H107" s="30"/>
      <c r="I107" s="30"/>
      <c r="J107" s="36"/>
      <c r="K107" s="32"/>
      <c r="L107" s="32"/>
      <c r="M107" s="30"/>
      <c r="N107" s="30"/>
      <c r="O107" s="30"/>
      <c r="P107" s="30"/>
      <c r="Q107" s="30"/>
      <c r="R107" s="30"/>
      <c r="S107" s="30"/>
      <c r="T107" s="30"/>
      <c r="U107" s="30"/>
    </row>
    <row r="108" spans="2:21" outlineLevel="1" x14ac:dyDescent="0.2">
      <c r="B108" s="30"/>
      <c r="D108" s="22"/>
      <c r="E108" s="32"/>
      <c r="F108" s="32"/>
      <c r="G108" s="30"/>
      <c r="H108" s="30"/>
      <c r="I108" s="30"/>
      <c r="J108" s="36"/>
      <c r="K108" s="32"/>
      <c r="L108" s="32"/>
      <c r="M108" s="30"/>
      <c r="N108" s="30"/>
      <c r="O108" s="30"/>
      <c r="P108" s="30"/>
      <c r="Q108" s="30"/>
      <c r="R108" s="30"/>
      <c r="S108" s="30"/>
      <c r="T108" s="30"/>
      <c r="U108" s="30"/>
    </row>
    <row r="109" spans="2:21" outlineLevel="1" x14ac:dyDescent="0.2">
      <c r="B109" s="30"/>
      <c r="C109" s="22"/>
      <c r="D109" s="22"/>
      <c r="E109" s="32"/>
      <c r="F109" s="32"/>
      <c r="G109" s="30"/>
      <c r="H109" s="30"/>
      <c r="I109" s="30"/>
      <c r="J109" s="36"/>
      <c r="K109" s="32"/>
      <c r="L109" s="32"/>
      <c r="M109" s="30"/>
      <c r="N109" s="30"/>
      <c r="O109" s="30"/>
      <c r="P109" s="30"/>
      <c r="Q109" s="30"/>
      <c r="R109" s="30"/>
      <c r="S109" s="30"/>
      <c r="T109" s="30"/>
      <c r="U109" s="30"/>
    </row>
    <row r="110" spans="2:21" outlineLevel="1" x14ac:dyDescent="0.2">
      <c r="B110" s="30"/>
      <c r="C110" s="22"/>
      <c r="D110" s="22"/>
      <c r="E110" s="32"/>
      <c r="F110" s="32"/>
      <c r="G110" s="30"/>
      <c r="H110" s="30"/>
      <c r="I110" s="30"/>
      <c r="J110" s="36"/>
      <c r="K110" s="32"/>
      <c r="L110" s="32"/>
      <c r="M110" s="30"/>
      <c r="N110" s="30"/>
      <c r="O110" s="30"/>
      <c r="P110" s="30"/>
      <c r="Q110" s="30"/>
      <c r="R110" s="30"/>
      <c r="S110" s="30"/>
      <c r="T110" s="30"/>
      <c r="U110" s="30"/>
    </row>
    <row r="111" spans="2:21" outlineLevel="1" x14ac:dyDescent="0.2">
      <c r="B111" s="30"/>
      <c r="C111" s="22"/>
      <c r="D111" s="22"/>
      <c r="E111" s="32"/>
      <c r="F111" s="32"/>
      <c r="G111" s="30"/>
      <c r="H111" s="30"/>
      <c r="I111" s="30"/>
      <c r="J111" s="36"/>
      <c r="K111" s="32"/>
      <c r="L111" s="32"/>
      <c r="M111" s="30"/>
      <c r="N111" s="30"/>
      <c r="O111" s="30"/>
      <c r="P111" s="30"/>
      <c r="Q111" s="30"/>
      <c r="R111" s="30"/>
      <c r="S111" s="30"/>
      <c r="T111" s="30"/>
      <c r="U111" s="30"/>
    </row>
    <row r="112" spans="2:21" outlineLevel="1" x14ac:dyDescent="0.2">
      <c r="B112" s="30"/>
      <c r="C112" s="22"/>
      <c r="D112" s="22"/>
      <c r="E112" s="32"/>
      <c r="F112" s="32"/>
      <c r="G112" s="30"/>
      <c r="H112" s="30"/>
      <c r="I112" s="30"/>
      <c r="J112" s="36"/>
      <c r="K112" s="32"/>
      <c r="L112" s="32"/>
      <c r="M112" s="30"/>
      <c r="N112" s="30"/>
      <c r="O112" s="30"/>
      <c r="P112" s="30"/>
      <c r="Q112" s="30"/>
      <c r="R112" s="30"/>
      <c r="S112" s="30"/>
      <c r="T112" s="30"/>
      <c r="U112" s="30"/>
    </row>
    <row r="113" spans="2:21" outlineLevel="1" x14ac:dyDescent="0.2">
      <c r="B113" s="30"/>
      <c r="C113" s="22"/>
      <c r="D113" s="22"/>
      <c r="E113" s="32"/>
      <c r="F113" s="32"/>
      <c r="G113" s="30"/>
      <c r="H113" s="30"/>
      <c r="I113" s="30"/>
      <c r="J113" s="36"/>
      <c r="K113" s="32"/>
      <c r="L113" s="32"/>
      <c r="M113" s="30"/>
      <c r="N113" s="30"/>
      <c r="O113" s="30"/>
      <c r="P113" s="30"/>
      <c r="Q113" s="30"/>
      <c r="R113" s="30"/>
      <c r="S113" s="30"/>
      <c r="T113" s="30"/>
      <c r="U113" s="30"/>
    </row>
    <row r="114" spans="2:21" outlineLevel="1" x14ac:dyDescent="0.2">
      <c r="B114" s="30"/>
      <c r="C114" s="22"/>
      <c r="D114" s="22"/>
      <c r="E114" s="32"/>
      <c r="F114" s="32"/>
      <c r="G114" s="30"/>
      <c r="H114" s="30"/>
      <c r="I114" s="30"/>
      <c r="J114" s="36"/>
      <c r="K114" s="32"/>
      <c r="L114" s="32"/>
      <c r="M114" s="30"/>
      <c r="N114" s="30"/>
      <c r="O114" s="30"/>
      <c r="P114" s="30"/>
      <c r="Q114" s="30"/>
      <c r="R114" s="30"/>
      <c r="S114" s="30"/>
      <c r="T114" s="30"/>
      <c r="U114" s="30"/>
    </row>
    <row r="115" spans="2:21" outlineLevel="1" x14ac:dyDescent="0.2">
      <c r="B115" s="30"/>
      <c r="C115" s="22"/>
      <c r="D115" s="22"/>
      <c r="E115" s="32"/>
      <c r="F115" s="32"/>
      <c r="G115" s="30"/>
      <c r="H115" s="30"/>
      <c r="I115" s="30"/>
      <c r="J115" s="36"/>
      <c r="K115" s="32"/>
      <c r="L115" s="32"/>
      <c r="M115" s="30"/>
      <c r="N115" s="30"/>
      <c r="O115" s="30"/>
      <c r="P115" s="30"/>
      <c r="Q115" s="30"/>
      <c r="R115" s="30"/>
      <c r="S115" s="30"/>
      <c r="T115" s="30"/>
      <c r="U115" s="30"/>
    </row>
    <row r="116" spans="2:21" outlineLevel="1" x14ac:dyDescent="0.2">
      <c r="B116" s="30"/>
      <c r="C116" s="22"/>
      <c r="D116" s="22"/>
      <c r="E116" s="32"/>
      <c r="F116" s="32"/>
      <c r="G116" s="37"/>
      <c r="H116" s="37"/>
      <c r="I116" s="36"/>
      <c r="J116" s="36"/>
      <c r="K116" s="32"/>
      <c r="L116" s="30"/>
      <c r="M116" s="38"/>
      <c r="N116" s="38"/>
      <c r="O116" s="30"/>
      <c r="P116" s="30"/>
      <c r="Q116" s="30"/>
      <c r="R116" s="30"/>
      <c r="S116" s="30"/>
      <c r="T116" s="30"/>
      <c r="U116" s="30"/>
    </row>
    <row r="117" spans="2:21" outlineLevel="1" x14ac:dyDescent="0.2">
      <c r="B117" s="30"/>
      <c r="C117" s="22"/>
      <c r="D117" s="22"/>
      <c r="E117" s="32"/>
      <c r="F117" s="32"/>
      <c r="G117" s="32"/>
      <c r="H117" s="30"/>
      <c r="I117" s="36"/>
      <c r="J117" s="30"/>
      <c r="K117" s="30"/>
      <c r="L117" s="30"/>
      <c r="M117" s="32"/>
      <c r="N117" s="30"/>
      <c r="O117" s="30"/>
      <c r="P117" s="30"/>
      <c r="Q117" s="30"/>
      <c r="R117" s="30"/>
      <c r="S117" s="30"/>
      <c r="T117" s="30"/>
      <c r="U117" s="30"/>
    </row>
    <row r="118" spans="2:21" outlineLevel="1" x14ac:dyDescent="0.2">
      <c r="B118" s="30"/>
      <c r="C118" s="22"/>
      <c r="D118" s="22"/>
      <c r="E118" s="32"/>
      <c r="F118" s="32"/>
      <c r="G118" s="30"/>
      <c r="H118" s="30"/>
      <c r="I118" s="36"/>
      <c r="J118" s="30"/>
      <c r="K118" s="30"/>
      <c r="L118" s="30"/>
      <c r="M118" s="32"/>
      <c r="N118" s="30"/>
      <c r="O118" s="30"/>
      <c r="P118" s="30"/>
      <c r="Q118" s="30"/>
      <c r="R118" s="30"/>
      <c r="S118" s="30"/>
      <c r="T118" s="30"/>
      <c r="U118" s="30"/>
    </row>
    <row r="119" spans="2:21" outlineLevel="1" x14ac:dyDescent="0.2">
      <c r="B119" s="30"/>
      <c r="C119" s="22"/>
      <c r="D119" s="22"/>
      <c r="E119" s="32"/>
      <c r="F119" s="32"/>
      <c r="G119" s="30"/>
      <c r="H119" s="30"/>
      <c r="I119" s="36"/>
      <c r="J119" s="30"/>
      <c r="K119" s="30"/>
      <c r="L119" s="30"/>
      <c r="M119" s="32"/>
      <c r="N119" s="30"/>
      <c r="O119" s="30"/>
      <c r="P119" s="30"/>
      <c r="Q119" s="30"/>
      <c r="R119" s="30"/>
      <c r="S119" s="30"/>
      <c r="T119" s="30"/>
      <c r="U119" s="30"/>
    </row>
    <row r="120" spans="2:21" outlineLevel="1" x14ac:dyDescent="0.2">
      <c r="B120" s="30"/>
      <c r="C120" s="22"/>
      <c r="D120" s="22"/>
      <c r="E120" s="32"/>
      <c r="F120" s="32"/>
      <c r="G120" s="30"/>
      <c r="H120" s="30"/>
      <c r="I120" s="36"/>
      <c r="J120" s="30"/>
      <c r="K120" s="30"/>
      <c r="L120" s="30"/>
      <c r="M120" s="32"/>
      <c r="N120" s="30"/>
      <c r="O120" s="30"/>
      <c r="P120" s="30"/>
      <c r="Q120" s="30"/>
      <c r="R120" s="30"/>
      <c r="S120" s="30"/>
      <c r="T120" s="30"/>
      <c r="U120" s="30"/>
    </row>
    <row r="121" spans="2:21" outlineLevel="1" x14ac:dyDescent="0.2">
      <c r="B121" s="30"/>
      <c r="C121" s="22"/>
      <c r="D121" s="22"/>
      <c r="E121" s="32"/>
      <c r="F121" s="22"/>
      <c r="G121" s="30"/>
      <c r="H121" s="30"/>
      <c r="I121" s="36"/>
      <c r="J121" s="30"/>
      <c r="K121" s="30"/>
      <c r="L121" s="30"/>
      <c r="M121" s="32"/>
      <c r="N121" s="30"/>
      <c r="O121" s="30"/>
      <c r="P121" s="30"/>
      <c r="Q121" s="30"/>
      <c r="R121" s="30"/>
      <c r="S121" s="30"/>
      <c r="T121" s="30"/>
      <c r="U121" s="30"/>
    </row>
    <row r="122" spans="2:21" outlineLevel="1" x14ac:dyDescent="0.2"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</row>
    <row r="123" spans="2:21" outlineLevel="1" x14ac:dyDescent="0.2"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</row>
    <row r="124" spans="2:21" x14ac:dyDescent="0.2"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</row>
    <row r="125" spans="2:21" x14ac:dyDescent="0.2"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</row>
    <row r="126" spans="2:21" x14ac:dyDescent="0.2"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</row>
    <row r="127" spans="2:21" x14ac:dyDescent="0.2"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</row>
    <row r="128" spans="2:21" x14ac:dyDescent="0.2"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</row>
    <row r="129" spans="2:21" x14ac:dyDescent="0.2"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</row>
    <row r="183" spans="12:12" x14ac:dyDescent="0.2">
      <c r="L183" s="2" t="s">
        <v>15</v>
      </c>
    </row>
    <row r="194" spans="12:12" x14ac:dyDescent="0.2">
      <c r="L194" s="39"/>
    </row>
  </sheetData>
  <mergeCells count="6">
    <mergeCell ref="G45:X45"/>
    <mergeCell ref="G38:X38"/>
    <mergeCell ref="G39:X39"/>
    <mergeCell ref="G41:X41"/>
    <mergeCell ref="G42:X42"/>
    <mergeCell ref="G44:X4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48</vt:i4>
      </vt:variant>
    </vt:vector>
  </HeadingPairs>
  <TitlesOfParts>
    <vt:vector size="49" baseType="lpstr">
      <vt:lpstr>well</vt:lpstr>
      <vt:lpstr>well!Bob_</vt:lpstr>
      <vt:lpstr>well!Dcas_</vt:lpstr>
      <vt:lpstr>well!Dintake_</vt:lpstr>
      <vt:lpstr>well!Dtub_</vt:lpstr>
      <vt:lpstr>well!Dtub_out_</vt:lpstr>
      <vt:lpstr>ESPstr</vt:lpstr>
      <vt:lpstr>well!Freq_</vt:lpstr>
      <vt:lpstr>well!Freq1_</vt:lpstr>
      <vt:lpstr>fw_</vt:lpstr>
      <vt:lpstr>well!gamma_gas_</vt:lpstr>
      <vt:lpstr>well!gamma_oil_</vt:lpstr>
      <vt:lpstr>well!gamma_wat_</vt:lpstr>
      <vt:lpstr>well!Head_ESP_</vt:lpstr>
      <vt:lpstr>well!Hmes_</vt:lpstr>
      <vt:lpstr>well!Hpump_</vt:lpstr>
      <vt:lpstr>well!Kdegr_</vt:lpstr>
      <vt:lpstr>Kdegr1_</vt:lpstr>
      <vt:lpstr>well!KsepGasSep_</vt:lpstr>
      <vt:lpstr>mu_</vt:lpstr>
      <vt:lpstr>well!N_</vt:lpstr>
      <vt:lpstr>well!NumStage_</vt:lpstr>
      <vt:lpstr>well!Pb_</vt:lpstr>
      <vt:lpstr>well!Pbuf_</vt:lpstr>
      <vt:lpstr>well!Pdis_</vt:lpstr>
      <vt:lpstr>well!PI_</vt:lpstr>
      <vt:lpstr>well!Pintake_</vt:lpstr>
      <vt:lpstr>PKsep</vt:lpstr>
      <vt:lpstr>PKsep2</vt:lpstr>
      <vt:lpstr>well!Pres_</vt:lpstr>
      <vt:lpstr>well!PumpID_</vt:lpstr>
      <vt:lpstr>PVT_str_</vt:lpstr>
      <vt:lpstr>PVT_str_2</vt:lpstr>
      <vt:lpstr>well!Pwf_</vt:lpstr>
      <vt:lpstr>well!Pwf1_</vt:lpstr>
      <vt:lpstr>well!Q_</vt:lpstr>
      <vt:lpstr>well!Q_ESP_</vt:lpstr>
      <vt:lpstr>well!Qmax</vt:lpstr>
      <vt:lpstr>well!Qreal_</vt:lpstr>
      <vt:lpstr>well!Rp_</vt:lpstr>
      <vt:lpstr>well!Rsb_</vt:lpstr>
      <vt:lpstr>well!Tgrad</vt:lpstr>
      <vt:lpstr>theta_</vt:lpstr>
      <vt:lpstr>well!Tintake_</vt:lpstr>
      <vt:lpstr>TKsep</vt:lpstr>
      <vt:lpstr>TKsep2</vt:lpstr>
      <vt:lpstr>well!Tres_</vt:lpstr>
      <vt:lpstr>well!Udl_</vt:lpstr>
      <vt:lpstr>well!wc_</vt:lpstr>
    </vt:vector>
  </TitlesOfParts>
  <Company>CAF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Олег Кобзарь</cp:lastModifiedBy>
  <cp:lastPrinted>2007-08-27T05:31:44Z</cp:lastPrinted>
  <dcterms:created xsi:type="dcterms:W3CDTF">2005-04-11T05:46:28Z</dcterms:created>
  <dcterms:modified xsi:type="dcterms:W3CDTF">2019-11-30T10:05:16Z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