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cercises\excercises 2\"/>
    </mc:Choice>
  </mc:AlternateContent>
  <xr:revisionPtr revIDLastSave="0" documentId="13_ncr:1_{215C5972-A6EC-4BBE-ABEB-A1BA1408A8FE}" xr6:coauthVersionLast="43" xr6:coauthVersionMax="43" xr10:uidLastSave="{00000000-0000-0000-0000-000000000000}"/>
  <bookViews>
    <workbookView xWindow="-38520" yWindow="-120" windowWidth="38640" windowHeight="21390" xr2:uid="{7F603498-48FA-40A8-AB9B-D5E4C9CE020B}"/>
  </bookViews>
  <sheets>
    <sheet name="Клапана" sheetId="2" r:id="rId1"/>
    <sheet name="Лист1" sheetId="1" r:id="rId2"/>
  </sheets>
  <externalReferences>
    <externalReference r:id="rId3"/>
    <externalReference r:id="rId4"/>
  </externalReferences>
  <definedNames>
    <definedName name="choose_incl_analysis">[1]Адаптация!$F$67</definedName>
    <definedName name="choose_incl_predict">[1]Анализ!$F$63</definedName>
    <definedName name="chosen_KCD_num_data">'[1]Исх. данные'!$J$8</definedName>
    <definedName name="chosen_TR_num_data">'[1]Исх. данные'!$J$9</definedName>
    <definedName name="CJT_gas">[1]Адаптация!$K$28</definedName>
    <definedName name="correl_analysis">[1]Адаптация!$R$4</definedName>
    <definedName name="correl_predict">[1]Анализ!$M$4</definedName>
    <definedName name="d_choke_correct">[1]Адаптация!$E$17</definedName>
    <definedName name="d_choke_FromBottomToUpModel">[1]Адаптация!#REF!</definedName>
    <definedName name="d_choke_original">[1]Адаптация!$C$17</definedName>
    <definedName name="d_choke_predict">[1]Анализ!$C$17</definedName>
    <definedName name="Dek_original">[1]Адаптация!$C$46:$C$52</definedName>
    <definedName name="Dek_predict">[1]Анализ!$C$52:$C$58</definedName>
    <definedName name="Dkl_correct">[1]Адаптация!$H$53:$H$59</definedName>
    <definedName name="Dkl_original">[1]Адаптация!$H$46:$H$52</definedName>
    <definedName name="Dkl_predict">[1]Анализ!$H$52:$H$58</definedName>
    <definedName name="Dnkt_original">[1]Адаптация!$E$46:$E$52</definedName>
    <definedName name="Dnkt_predict">[1]Анализ!$E$52:$E$58</definedName>
    <definedName name="field_data">'[1]Исх. данные'!$C$4</definedName>
    <definedName name="gamma_gas_correct">[1]Адаптация!$E$29</definedName>
    <definedName name="gamma_gas_original">[1]Адаптация!$C$29</definedName>
    <definedName name="gamma_gas_predict">[1]Анализ!$C$29</definedName>
    <definedName name="gf_correct">[1]Адаптация!$E$21</definedName>
    <definedName name="gf_original">[1]Адаптация!$C$21</definedName>
    <definedName name="gf_predict">[1]Анализ!$C$21</definedName>
    <definedName name="H_num_correct">[1]Адаптация!$AU$66</definedName>
    <definedName name="H_num_original">[1]Адаптация!$AB$66</definedName>
    <definedName name="H_num_predict">[1]Анализ!$Q$61</definedName>
    <definedName name="Hdyn_correct">[1]Адаптация!$K$5</definedName>
    <definedName name="Hek_data">'[1]Исх. данные'!$G$14:$G$20</definedName>
    <definedName name="Hek_original">[1]Адаптация!$B$46:$B$52</definedName>
    <definedName name="Hek_predict">[1]Анализ!$B$52:$B$58</definedName>
    <definedName name="Hkl_correct">[1]Адаптация!$G$53:$G$59</definedName>
    <definedName name="Hkl_original">[1]Адаптация!$G$46:$G$52</definedName>
    <definedName name="Hkl_predict">[1]Анализ!$G$52:$G$58</definedName>
    <definedName name="Hnkt_original">[1]Адаптация!$D$46:$D$52</definedName>
    <definedName name="Hnkt_predict">[1]Анализ!$D$52:$D$58</definedName>
    <definedName name="Hp_correct">[1]Адаптация!$E$37</definedName>
    <definedName name="Hp_data">'[1]Исх. данные'!$C$40</definedName>
    <definedName name="Hp_original">[1]Адаптация!$C$37</definedName>
    <definedName name="Hp_predict">[1]Анализ!$C$37</definedName>
    <definedName name="Hres_tr_plot">'[1]Исх. данные'!$J$63</definedName>
    <definedName name="Hsp_correct">[1]Адаптация!$E$36</definedName>
    <definedName name="Hsp_original">[1]Адаптация!$C$36</definedName>
    <definedName name="Hsp_predict">[1]Анализ!$C$36</definedName>
    <definedName name="Hst_w_correct">[1]Адаптация!$K$6</definedName>
    <definedName name="Hvd_correct">[1]Адаптация!$E$35</definedName>
    <definedName name="Hvd_data">'[1]Исх. данные'!$C$38</definedName>
    <definedName name="Hvd_original">[1]Адаптация!$C$35</definedName>
    <definedName name="Hvd_predict">[1]Анализ!$C$35</definedName>
    <definedName name="kl_num_correct">[1]Адаптация!$AU$67</definedName>
    <definedName name="kl_num_original">[1]Адаптация!$AB$67</definedName>
    <definedName name="kl_num_predict">[1]Анализ!$Q$62</definedName>
    <definedName name="l_max_analysis">[1]Адаптация!$W$67</definedName>
    <definedName name="l_max_design">[1]Дизайн!$L$74</definedName>
    <definedName name="l_max_predict">[1]Анализ!$L$61</definedName>
    <definedName name="num_tr_plot">'[1]Исх. данные'!$L$63</definedName>
    <definedName name="Pann_btm_correct">[1]Адаптация!$F$22</definedName>
    <definedName name="Pann_btm_original">[1]Адаптация!$D$22</definedName>
    <definedName name="Pann_btm_predict">[1]Анализ!$D$22</definedName>
    <definedName name="Pann_correct">[1]Адаптация!$E$22</definedName>
    <definedName name="Pann_original">[1]Адаптация!$C$22</definedName>
    <definedName name="Pann_predict">[1]Анализ!$C$22</definedName>
    <definedName name="Pb_correct">[1]Адаптация!$E$30</definedName>
    <definedName name="Pb_original">[1]Адаптация!$C$30</definedName>
    <definedName name="Pb_predict">[1]Анализ!$C$30</definedName>
    <definedName name="Pbuf_FromBottomToUpModel">[1]Адаптация!#REF!</definedName>
    <definedName name="pi_FromBottomUpToModel">[1]Адаптация!#REF!</definedName>
    <definedName name="pi_predict">[1]Анализ!$C$15</definedName>
    <definedName name="PipeRoughness_correct">[1]Адаптация!$E$38</definedName>
    <definedName name="PipeRoughness_original">[1]Адаптация!$C$38</definedName>
    <definedName name="PipeRoughness_predict">[1]Анализ!$C$38</definedName>
    <definedName name="Pkl_correct">[1]Адаптация!$I$53:$I$59</definedName>
    <definedName name="Pkl_original">[1]Адаптация!$I$46:$I$52</definedName>
    <definedName name="Pkl_predict">[1]Анализ!$I$52:$I$58</definedName>
    <definedName name="Plin_FromBottomToUpModel">[1]Адаптация!#REF!</definedName>
    <definedName name="Plin_FromUpToBottomModel">[1]Адаптация!$AS$10</definedName>
    <definedName name="Plin_FromUpToBottomModel_predict">[1]Анализ!$R$9</definedName>
    <definedName name="Pres_correct">[1]Адаптация!$E$13</definedName>
    <definedName name="Pres_FromBottomToUpModel">[1]Адаптация!#REF!</definedName>
    <definedName name="Pres_original">[1]Адаптация!$C$13</definedName>
    <definedName name="Pres_predict">[1]Анализ!$C$13</definedName>
    <definedName name="pvt_correl_analysis">[1]Адаптация!$R$5</definedName>
    <definedName name="pvt_correl_predict">[1]Анализ!$M$5</definedName>
    <definedName name="Pwf_btm_kl_predict">[1]Анализ!$AH$14</definedName>
    <definedName name="Pwf_correct">[1]Адаптация!$E$14</definedName>
    <definedName name="Pwf_FromBottomToUpModel">[1]Адаптация!#REF!</definedName>
    <definedName name="Pwf_original">[1]Адаптация!$C$14</definedName>
    <definedName name="Pwf_pr_design">[1]Дизайн!$J$11</definedName>
    <definedName name="Pwf_predict">[1]Анализ!$C$14</definedName>
    <definedName name="Qg_data">'[1]Исх. данные'!$C$22</definedName>
    <definedName name="Qg_inj_btm_kl_predict">[1]Анализ!$AH$19</definedName>
    <definedName name="Qg_inj_correct">[1]Адаптация!$E$19</definedName>
    <definedName name="Qg_inj_data">'[1]Исх. данные'!$C$21</definedName>
    <definedName name="Qg_inj_original">[1]Адаптация!$C$19</definedName>
    <definedName name="Qg_inj_predict">[1]Анализ!$C$19</definedName>
    <definedName name="Qginj_pr_design">[1]Дизайн!$J$12</definedName>
    <definedName name="Qginjmax_predict">[1]Анализ!$BV$61</definedName>
    <definedName name="Qkl_btm_kl_predict">[1]Анализ!$AI$33</definedName>
    <definedName name="Ql_btm_kl_predict">[1]Анализ!$AH$10</definedName>
    <definedName name="Ql_correct">[1]Адаптация!$E$10</definedName>
    <definedName name="Ql_data">'[1]Исх. данные'!$C$12</definedName>
    <definedName name="Ql_FromBottomToUpModel">[1]Адаптация!#REF!</definedName>
    <definedName name="Ql_original">[1]Адаптация!$C$10</definedName>
    <definedName name="Ql_pr_design">[1]Дизайн!$L$9</definedName>
    <definedName name="Ql_pr_design1">[1]Дизайн!$J$9</definedName>
    <definedName name="Ql_predict">[1]Анализ!$C$10</definedName>
    <definedName name="Qo_btm_kl_predict">[1]Анализ!$AH$12</definedName>
    <definedName name="Qo_correct">[1]Адаптация!$E$12</definedName>
    <definedName name="Qo_data">'[1]Исх. данные'!$C$14</definedName>
    <definedName name="Qo_FromBottomToUpModel">[1]Адаптация!#REF!</definedName>
    <definedName name="Qo_original">[1]Адаптация!$C$12</definedName>
    <definedName name="Qo_pr_design">[1]Дизайн!$J$10</definedName>
    <definedName name="Qo_predict">[1]Анализ!$C$12</definedName>
    <definedName name="R_">[1]Адаптация!$K$36</definedName>
    <definedName name="ro_oil_correct">[1]Адаптация!$E$27</definedName>
    <definedName name="ro_oil_original">[1]Адаптация!$C$27</definedName>
    <definedName name="ro_oil_predict">[1]Анализ!$C$27</definedName>
    <definedName name="ro_water_correct">[1]Адаптация!$E$28</definedName>
    <definedName name="ro_water_original">[1]Адаптация!$C$28</definedName>
    <definedName name="ro_water_predict">[1]Анализ!$C$28</definedName>
    <definedName name="solver_adj" localSheetId="0" hidden="1">Клапана!$C$16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Клапана!$J$19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_bottom_correct">[1]Адаптация!$K$21</definedName>
    <definedName name="T_bottom_original">[1]Адаптация!$D$31</definedName>
    <definedName name="T_bottom_predict">[1]Анализ!$D$31</definedName>
    <definedName name="T_top_correct">[1]Адаптация!$K$17</definedName>
    <definedName name="T_top_original">[1]Адаптация!$C$31</definedName>
    <definedName name="T_top_predict">[1]Анализ!$C$31</definedName>
    <definedName name="Tgeo">[1]Адаптация!$I$17:$L$22</definedName>
    <definedName name="Uto">[1]Адаптация!$K$27</definedName>
    <definedName name="wc_btm_kl_predict">[1]Анализ!$AH$11</definedName>
    <definedName name="wc_correct">[1]Адаптация!$E$11</definedName>
    <definedName name="wc_FromBottomToUpModel">[1]Адаптация!#REF!</definedName>
    <definedName name="wc_original">[1]Адаптация!$C$11</definedName>
    <definedName name="wc_predict">[1]Анализ!$C$11</definedName>
    <definedName name="well_num_data">'[1]Исх. данные'!$C$8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8" i="2" l="1"/>
  <c r="C39" i="2" l="1"/>
  <c r="I21" i="2"/>
  <c r="I24" i="2" s="1"/>
  <c r="G21" i="2"/>
  <c r="C16" i="2"/>
  <c r="C17" i="2" s="1"/>
  <c r="AC7" i="2"/>
  <c r="AD7" i="2" s="1"/>
  <c r="AB7" i="2"/>
  <c r="W7" i="2"/>
  <c r="AC6" i="2"/>
  <c r="AB6" i="2"/>
  <c r="AD6" i="2" s="1"/>
  <c r="W6" i="2"/>
  <c r="AC5" i="2"/>
  <c r="AD5" i="2" s="1"/>
  <c r="AB5" i="2"/>
  <c r="W5" i="2"/>
  <c r="AC4" i="2"/>
  <c r="AD4" i="2" s="1"/>
  <c r="AB4" i="2"/>
  <c r="W4" i="2"/>
  <c r="AC3" i="2"/>
  <c r="AB3" i="2"/>
  <c r="AD3" i="2" s="1"/>
  <c r="W3" i="2"/>
  <c r="C13" i="2" s="1"/>
  <c r="S23" i="2" l="1"/>
  <c r="C42" i="2"/>
  <c r="C40" i="2"/>
  <c r="R24" i="2" s="1"/>
  <c r="I25" i="2"/>
  <c r="S24" i="2"/>
  <c r="C8" i="2"/>
  <c r="C12" i="2"/>
  <c r="C29" i="2" a="1"/>
  <c r="J23" i="2"/>
  <c r="J87" i="2"/>
  <c r="J75" i="2"/>
  <c r="J67" i="2"/>
  <c r="J55" i="2"/>
  <c r="J39" i="2"/>
  <c r="J31" i="2"/>
  <c r="J98" i="2"/>
  <c r="J94" i="2"/>
  <c r="J90" i="2"/>
  <c r="J86" i="2"/>
  <c r="J82" i="2"/>
  <c r="J78" i="2"/>
  <c r="J74" i="2"/>
  <c r="J70" i="2"/>
  <c r="J66" i="2"/>
  <c r="J62" i="2"/>
  <c r="J58" i="2"/>
  <c r="J54" i="2"/>
  <c r="J50" i="2"/>
  <c r="J46" i="2"/>
  <c r="J42" i="2"/>
  <c r="J38" i="2"/>
  <c r="J34" i="2"/>
  <c r="J30" i="2"/>
  <c r="J26" i="2"/>
  <c r="J99" i="2"/>
  <c r="J91" i="2"/>
  <c r="J79" i="2"/>
  <c r="J63" i="2"/>
  <c r="J51" i="2"/>
  <c r="J43" i="2"/>
  <c r="J27" i="2"/>
  <c r="J97" i="2"/>
  <c r="J93" i="2"/>
  <c r="J89" i="2"/>
  <c r="J85" i="2"/>
  <c r="J81" i="2"/>
  <c r="J77" i="2"/>
  <c r="J73" i="2"/>
  <c r="J69" i="2"/>
  <c r="J65" i="2"/>
  <c r="J61" i="2"/>
  <c r="J57" i="2"/>
  <c r="J53" i="2"/>
  <c r="J49" i="2"/>
  <c r="J45" i="2"/>
  <c r="J41" i="2"/>
  <c r="J37" i="2"/>
  <c r="J33" i="2"/>
  <c r="J29" i="2"/>
  <c r="J25" i="2"/>
  <c r="J95" i="2"/>
  <c r="J83" i="2"/>
  <c r="J71" i="2"/>
  <c r="J59" i="2"/>
  <c r="J47" i="2"/>
  <c r="J35" i="2"/>
  <c r="J96" i="2"/>
  <c r="J92" i="2"/>
  <c r="J88" i="2"/>
  <c r="J84" i="2"/>
  <c r="J80" i="2"/>
  <c r="J76" i="2"/>
  <c r="J72" i="2"/>
  <c r="J68" i="2"/>
  <c r="J64" i="2"/>
  <c r="J60" i="2"/>
  <c r="J56" i="2"/>
  <c r="J52" i="2"/>
  <c r="J48" i="2"/>
  <c r="J44" i="2"/>
  <c r="J40" i="2"/>
  <c r="J36" i="2"/>
  <c r="J32" i="2"/>
  <c r="J28" i="2"/>
  <c r="J24" i="2"/>
  <c r="P23" i="2"/>
  <c r="P95" i="2"/>
  <c r="P87" i="2"/>
  <c r="P79" i="2"/>
  <c r="P67" i="2"/>
  <c r="P55" i="2"/>
  <c r="P47" i="2"/>
  <c r="P35" i="2"/>
  <c r="P27" i="2"/>
  <c r="P98" i="2"/>
  <c r="P94" i="2"/>
  <c r="P90" i="2"/>
  <c r="P86" i="2"/>
  <c r="P82" i="2"/>
  <c r="P78" i="2"/>
  <c r="P74" i="2"/>
  <c r="P70" i="2"/>
  <c r="P66" i="2"/>
  <c r="P62" i="2"/>
  <c r="P58" i="2"/>
  <c r="P54" i="2"/>
  <c r="P50" i="2"/>
  <c r="P46" i="2"/>
  <c r="P42" i="2"/>
  <c r="P38" i="2"/>
  <c r="P34" i="2"/>
  <c r="P30" i="2"/>
  <c r="P26" i="2"/>
  <c r="P83" i="2"/>
  <c r="P71" i="2"/>
  <c r="P59" i="2"/>
  <c r="P39" i="2"/>
  <c r="P97" i="2"/>
  <c r="P89" i="2"/>
  <c r="P85" i="2"/>
  <c r="P81" i="2"/>
  <c r="P77" i="2"/>
  <c r="P73" i="2"/>
  <c r="P69" i="2"/>
  <c r="P65" i="2"/>
  <c r="P61" i="2"/>
  <c r="P57" i="2"/>
  <c r="P53" i="2"/>
  <c r="P49" i="2"/>
  <c r="P45" i="2"/>
  <c r="P41" i="2"/>
  <c r="P37" i="2"/>
  <c r="P33" i="2"/>
  <c r="P29" i="2"/>
  <c r="P25" i="2"/>
  <c r="P99" i="2"/>
  <c r="P91" i="2"/>
  <c r="P75" i="2"/>
  <c r="P63" i="2"/>
  <c r="P51" i="2"/>
  <c r="P43" i="2"/>
  <c r="P31" i="2"/>
  <c r="P93" i="2"/>
  <c r="P96" i="2"/>
  <c r="P92" i="2"/>
  <c r="P88" i="2"/>
  <c r="P84" i="2"/>
  <c r="P80" i="2"/>
  <c r="P76" i="2"/>
  <c r="P72" i="2"/>
  <c r="P68" i="2"/>
  <c r="P64" i="2"/>
  <c r="P60" i="2"/>
  <c r="P56" i="2"/>
  <c r="P52" i="2"/>
  <c r="P48" i="2"/>
  <c r="P44" i="2"/>
  <c r="P40" i="2"/>
  <c r="P36" i="2"/>
  <c r="P32" i="2"/>
  <c r="P28" i="2"/>
  <c r="P24" i="2"/>
  <c r="Q23" i="2"/>
  <c r="Q95" i="2"/>
  <c r="Q87" i="2"/>
  <c r="Q75" i="2"/>
  <c r="Q63" i="2"/>
  <c r="Q47" i="2"/>
  <c r="Q35" i="2"/>
  <c r="Q98" i="2"/>
  <c r="Q94" i="2"/>
  <c r="Q90" i="2"/>
  <c r="Q86" i="2"/>
  <c r="Q82" i="2"/>
  <c r="Q78" i="2"/>
  <c r="Q74" i="2"/>
  <c r="Q70" i="2"/>
  <c r="Q66" i="2"/>
  <c r="Q62" i="2"/>
  <c r="Q58" i="2"/>
  <c r="Q54" i="2"/>
  <c r="Q50" i="2"/>
  <c r="Q46" i="2"/>
  <c r="Q42" i="2"/>
  <c r="Q38" i="2"/>
  <c r="Q34" i="2"/>
  <c r="Q30" i="2"/>
  <c r="Q26" i="2"/>
  <c r="Q99" i="2"/>
  <c r="Q83" i="2"/>
  <c r="Q67" i="2"/>
  <c r="Q55" i="2"/>
  <c r="Q43" i="2"/>
  <c r="Q31" i="2"/>
  <c r="Q93" i="2"/>
  <c r="Q89" i="2"/>
  <c r="Q85" i="2"/>
  <c r="Q81" i="2"/>
  <c r="Q77" i="2"/>
  <c r="Q73" i="2"/>
  <c r="Q69" i="2"/>
  <c r="Q65" i="2"/>
  <c r="Q61" i="2"/>
  <c r="Q57" i="2"/>
  <c r="Q53" i="2"/>
  <c r="Q49" i="2"/>
  <c r="Q45" i="2"/>
  <c r="Q41" i="2"/>
  <c r="Q37" i="2"/>
  <c r="Q33" i="2"/>
  <c r="Q29" i="2"/>
  <c r="Q25" i="2"/>
  <c r="Q91" i="2"/>
  <c r="Q79" i="2"/>
  <c r="Q71" i="2"/>
  <c r="Q59" i="2"/>
  <c r="Q51" i="2"/>
  <c r="Q39" i="2"/>
  <c r="Q27" i="2"/>
  <c r="Q97" i="2"/>
  <c r="Q96" i="2"/>
  <c r="Q92" i="2"/>
  <c r="Q88" i="2"/>
  <c r="Q84" i="2"/>
  <c r="Q80" i="2"/>
  <c r="Q76" i="2"/>
  <c r="Q72" i="2"/>
  <c r="Q68" i="2"/>
  <c r="Q64" i="2"/>
  <c r="Q60" i="2"/>
  <c r="Q56" i="2"/>
  <c r="Q52" i="2"/>
  <c r="Q48" i="2"/>
  <c r="Q44" i="2"/>
  <c r="Q40" i="2"/>
  <c r="Q36" i="2"/>
  <c r="Q32" i="2"/>
  <c r="Q28" i="2"/>
  <c r="Q24" i="2"/>
  <c r="C29" i="2" l="1"/>
  <c r="C31" i="2"/>
  <c r="D31" i="2"/>
  <c r="C35" i="2"/>
  <c r="C32" i="2"/>
  <c r="D32" i="2"/>
  <c r="C33" i="2"/>
  <c r="C34" i="2"/>
  <c r="D33" i="2"/>
  <c r="D35" i="2"/>
  <c r="D29" i="2"/>
  <c r="D30" i="2"/>
  <c r="D34" i="2"/>
  <c r="C30" i="2"/>
  <c r="J19" i="2"/>
  <c r="S25" i="2"/>
  <c r="R25" i="2"/>
  <c r="I26" i="2"/>
  <c r="R23" i="2"/>
  <c r="C41" i="2"/>
  <c r="C21" i="2" a="1"/>
  <c r="C27" i="2" l="1"/>
  <c r="C26" i="2"/>
  <c r="C24" i="2"/>
  <c r="D23" i="2"/>
  <c r="D25" i="2"/>
  <c r="D27" i="2"/>
  <c r="D26" i="2"/>
  <c r="C21" i="2"/>
  <c r="D22" i="2"/>
  <c r="C23" i="2"/>
  <c r="D24" i="2"/>
  <c r="C22" i="2"/>
  <c r="C25" i="2"/>
  <c r="D21" i="2"/>
  <c r="I27" i="2"/>
  <c r="S26" i="2"/>
  <c r="R26" i="2"/>
  <c r="I28" i="2" l="1"/>
  <c r="S27" i="2"/>
  <c r="R27" i="2"/>
  <c r="I29" i="2" l="1"/>
  <c r="S28" i="2"/>
  <c r="R28" i="2"/>
  <c r="I30" i="2" l="1"/>
  <c r="S29" i="2"/>
  <c r="R29" i="2"/>
  <c r="I31" i="2" l="1"/>
  <c r="S30" i="2"/>
  <c r="R30" i="2"/>
  <c r="I32" i="2" l="1"/>
  <c r="S31" i="2"/>
  <c r="R31" i="2"/>
  <c r="I33" i="2" l="1"/>
  <c r="S32" i="2"/>
  <c r="R32" i="2"/>
  <c r="I34" i="2" l="1"/>
  <c r="S33" i="2"/>
  <c r="R33" i="2"/>
  <c r="I35" i="2" l="1"/>
  <c r="S34" i="2"/>
  <c r="R34" i="2"/>
  <c r="I36" i="2" l="1"/>
  <c r="S35" i="2"/>
  <c r="R35" i="2"/>
  <c r="I37" i="2" l="1"/>
  <c r="S36" i="2"/>
  <c r="R36" i="2"/>
  <c r="I38" i="2" l="1"/>
  <c r="S37" i="2"/>
  <c r="R37" i="2"/>
  <c r="I39" i="2" l="1"/>
  <c r="S38" i="2"/>
  <c r="R38" i="2"/>
  <c r="S39" i="2" l="1"/>
  <c r="R39" i="2"/>
  <c r="I40" i="2"/>
  <c r="I41" i="2" l="1"/>
  <c r="R40" i="2"/>
  <c r="S40" i="2"/>
  <c r="R41" i="2" l="1"/>
  <c r="S41" i="2"/>
  <c r="I42" i="2"/>
  <c r="S42" i="2" l="1"/>
  <c r="R42" i="2"/>
  <c r="I43" i="2"/>
  <c r="I44" i="2" l="1"/>
  <c r="S43" i="2"/>
  <c r="R43" i="2"/>
  <c r="I45" i="2" l="1"/>
  <c r="S44" i="2"/>
  <c r="R44" i="2"/>
  <c r="I46" i="2" l="1"/>
  <c r="S45" i="2"/>
  <c r="R45" i="2"/>
  <c r="I47" i="2" l="1"/>
  <c r="S46" i="2"/>
  <c r="R46" i="2"/>
  <c r="I48" i="2" l="1"/>
  <c r="S47" i="2"/>
  <c r="R47" i="2"/>
  <c r="I49" i="2" l="1"/>
  <c r="S48" i="2"/>
  <c r="R48" i="2"/>
  <c r="I50" i="2" l="1"/>
  <c r="S49" i="2"/>
  <c r="R49" i="2"/>
  <c r="R50" i="2" l="1"/>
  <c r="I51" i="2"/>
  <c r="S50" i="2"/>
  <c r="R51" i="2" l="1"/>
  <c r="I52" i="2"/>
  <c r="S51" i="2"/>
  <c r="S52" i="2" l="1"/>
  <c r="R52" i="2"/>
  <c r="I53" i="2"/>
  <c r="I54" i="2" l="1"/>
  <c r="R53" i="2"/>
  <c r="S53" i="2"/>
  <c r="S54" i="2" l="1"/>
  <c r="R54" i="2"/>
  <c r="I55" i="2"/>
  <c r="I56" i="2" l="1"/>
  <c r="S55" i="2"/>
  <c r="R55" i="2"/>
  <c r="I57" i="2" l="1"/>
  <c r="S56" i="2"/>
  <c r="R56" i="2"/>
  <c r="I58" i="2" l="1"/>
  <c r="S57" i="2"/>
  <c r="R57" i="2"/>
  <c r="I59" i="2" l="1"/>
  <c r="S58" i="2"/>
  <c r="R58" i="2"/>
  <c r="I60" i="2" l="1"/>
  <c r="S59" i="2"/>
  <c r="R59" i="2"/>
  <c r="I61" i="2" l="1"/>
  <c r="S60" i="2"/>
  <c r="R60" i="2"/>
  <c r="I62" i="2" l="1"/>
  <c r="S61" i="2"/>
  <c r="R61" i="2"/>
  <c r="I63" i="2" l="1"/>
  <c r="S62" i="2"/>
  <c r="R62" i="2"/>
  <c r="R63" i="2" l="1"/>
  <c r="S63" i="2"/>
  <c r="I64" i="2"/>
  <c r="S64" i="2" l="1"/>
  <c r="I65" i="2"/>
  <c r="R64" i="2"/>
  <c r="I66" i="2" l="1"/>
  <c r="R65" i="2"/>
  <c r="S65" i="2"/>
  <c r="S66" i="2" l="1"/>
  <c r="R66" i="2"/>
  <c r="I67" i="2"/>
  <c r="I68" i="2" l="1"/>
  <c r="S67" i="2"/>
  <c r="R67" i="2"/>
  <c r="I69" i="2" l="1"/>
  <c r="S68" i="2"/>
  <c r="R68" i="2"/>
  <c r="I70" i="2" l="1"/>
  <c r="S69" i="2"/>
  <c r="R69" i="2"/>
  <c r="I71" i="2" l="1"/>
  <c r="S70" i="2"/>
  <c r="R70" i="2"/>
  <c r="I72" i="2" l="1"/>
  <c r="S71" i="2"/>
  <c r="R71" i="2"/>
  <c r="I73" i="2" l="1"/>
  <c r="S72" i="2"/>
  <c r="R72" i="2"/>
  <c r="I74" i="2" l="1"/>
  <c r="S73" i="2"/>
  <c r="R73" i="2"/>
  <c r="R74" i="2" l="1"/>
  <c r="I75" i="2"/>
  <c r="S74" i="2"/>
  <c r="R75" i="2" l="1"/>
  <c r="I76" i="2"/>
  <c r="S75" i="2"/>
  <c r="S76" i="2" l="1"/>
  <c r="R76" i="2"/>
  <c r="I77" i="2"/>
  <c r="I78" i="2" l="1"/>
  <c r="R77" i="2"/>
  <c r="S77" i="2"/>
  <c r="S78" i="2" l="1"/>
  <c r="I79" i="2"/>
  <c r="R78" i="2"/>
  <c r="I80" i="2" l="1"/>
  <c r="S79" i="2"/>
  <c r="R79" i="2"/>
  <c r="I81" i="2" l="1"/>
  <c r="S80" i="2"/>
  <c r="R80" i="2"/>
  <c r="I82" i="2" l="1"/>
  <c r="S81" i="2"/>
  <c r="R81" i="2"/>
  <c r="I83" i="2" l="1"/>
  <c r="S82" i="2"/>
  <c r="R82" i="2"/>
  <c r="I84" i="2" l="1"/>
  <c r="S83" i="2"/>
  <c r="R83" i="2"/>
  <c r="I85" i="2" l="1"/>
  <c r="S84" i="2"/>
  <c r="R84" i="2"/>
  <c r="I86" i="2" l="1"/>
  <c r="S85" i="2"/>
  <c r="R85" i="2"/>
  <c r="R86" i="2" l="1"/>
  <c r="I87" i="2"/>
  <c r="S86" i="2"/>
  <c r="R87" i="2" l="1"/>
  <c r="I88" i="2"/>
  <c r="S87" i="2"/>
  <c r="S88" i="2" l="1"/>
  <c r="R88" i="2"/>
  <c r="I89" i="2"/>
  <c r="I90" i="2" l="1"/>
  <c r="R89" i="2"/>
  <c r="S89" i="2"/>
  <c r="S90" i="2" l="1"/>
  <c r="R90" i="2"/>
  <c r="I91" i="2"/>
  <c r="I92" i="2" l="1"/>
  <c r="S91" i="2"/>
  <c r="R91" i="2"/>
  <c r="I93" i="2" l="1"/>
  <c r="S92" i="2"/>
  <c r="R92" i="2"/>
  <c r="I94" i="2" l="1"/>
  <c r="S93" i="2"/>
  <c r="R93" i="2"/>
  <c r="I95" i="2" l="1"/>
  <c r="S94" i="2"/>
  <c r="R94" i="2"/>
  <c r="I96" i="2" l="1"/>
  <c r="S95" i="2"/>
  <c r="R95" i="2"/>
  <c r="I97" i="2" l="1"/>
  <c r="S96" i="2"/>
  <c r="R96" i="2"/>
  <c r="I98" i="2" l="1"/>
  <c r="S97" i="2"/>
  <c r="R97" i="2"/>
  <c r="R98" i="2" l="1"/>
  <c r="I99" i="2"/>
  <c r="S98" i="2"/>
  <c r="R99" i="2" l="1"/>
  <c r="S99" i="2"/>
</calcChain>
</file>

<file path=xl/sharedStrings.xml><?xml version="1.0" encoding="utf-8"?>
<sst xmlns="http://schemas.openxmlformats.org/spreadsheetml/2006/main" count="61" uniqueCount="42">
  <si>
    <t>Расчетный модуль по газлифтным клапанам</t>
  </si>
  <si>
    <t>Клапан</t>
  </si>
  <si>
    <t>Название</t>
  </si>
  <si>
    <t>Порт</t>
  </si>
  <si>
    <t>Внешний диаметр</t>
  </si>
  <si>
    <t>Площадь сильфорна эфф
Ab</t>
  </si>
  <si>
    <t xml:space="preserve">Порт </t>
  </si>
  <si>
    <t>Площадь порта
Ap</t>
  </si>
  <si>
    <t>Ap/Ab</t>
  </si>
  <si>
    <t>1-Ap/Ab</t>
  </si>
  <si>
    <t>PPEF</t>
  </si>
  <si>
    <t>мм</t>
  </si>
  <si>
    <t>мм2</t>
  </si>
  <si>
    <t xml:space="preserve">Wheatherford  </t>
  </si>
  <si>
    <t>R-1</t>
  </si>
  <si>
    <t>Параметры клапана</t>
  </si>
  <si>
    <t>Тип клапана</t>
  </si>
  <si>
    <t>IPO</t>
  </si>
  <si>
    <t>Производитель</t>
  </si>
  <si>
    <t>Wheatherford</t>
  </si>
  <si>
    <t>Название клапана</t>
  </si>
  <si>
    <t>Диаметр клапана (внешний)</t>
  </si>
  <si>
    <t>R-1 port 5/16</t>
  </si>
  <si>
    <t>Диаметр порта</t>
  </si>
  <si>
    <t>R</t>
  </si>
  <si>
    <t>Диаметр вкрутки 1</t>
  </si>
  <si>
    <t>Диаметр вкрутки 2</t>
  </si>
  <si>
    <t xml:space="preserve">Эффективный диаметр </t>
  </si>
  <si>
    <t>Давление на входе</t>
  </si>
  <si>
    <t>атм</t>
  </si>
  <si>
    <t>Давление после порта</t>
  </si>
  <si>
    <t>Давление на выходе</t>
  </si>
  <si>
    <t>Расход газа</t>
  </si>
  <si>
    <t>Плотность газа, уд</t>
  </si>
  <si>
    <t>Температура газа</t>
  </si>
  <si>
    <t>С</t>
  </si>
  <si>
    <t>Давление зарядки на стенде</t>
  </si>
  <si>
    <t>Давление в сильфоне</t>
  </si>
  <si>
    <t>Давление закрытия клапана</t>
  </si>
  <si>
    <t>Давление открытия клапана</t>
  </si>
  <si>
    <t>Состояние клапана</t>
  </si>
  <si>
    <t>Максимальное давление открытия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</si>
</sst>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_-* #,##0.00_€_-;\-* #,##0.00_€_-;_-* &quot;-&quot;??_€_-;_-@_-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164" fontId="1" fillId="0" borderId="0" xfId="1" applyNumberFormat="1"/>
    <xf numFmtId="0" fontId="2" fillId="2" borderId="4" xfId="1" applyFont="1" applyFill="1" applyBorder="1" applyAlignment="1">
      <alignment horizontal="left" vertical="center"/>
    </xf>
    <xf numFmtId="0" fontId="1" fillId="2" borderId="7" xfId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left" vertical="center"/>
    </xf>
    <xf numFmtId="0" fontId="1" fillId="2" borderId="10" xfId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1" fontId="1" fillId="4" borderId="9" xfId="1" applyNumberFormat="1" applyFill="1" applyBorder="1" applyAlignment="1" applyProtection="1">
      <alignment horizontal="center"/>
      <protection locked="0"/>
    </xf>
    <xf numFmtId="1" fontId="1" fillId="0" borderId="0" xfId="1" applyNumberFormat="1"/>
    <xf numFmtId="2" fontId="0" fillId="4" borderId="9" xfId="2" applyNumberFormat="1" applyFont="1" applyFill="1" applyBorder="1" applyAlignment="1" applyProtection="1">
      <alignment horizontal="center"/>
      <protection locked="0"/>
    </xf>
    <xf numFmtId="1" fontId="0" fillId="4" borderId="11" xfId="2" applyNumberFormat="1" applyFont="1" applyFill="1" applyBorder="1" applyAlignment="1" applyProtection="1">
      <alignment horizontal="center"/>
      <protection locked="0"/>
    </xf>
    <xf numFmtId="1" fontId="0" fillId="4" borderId="12" xfId="2" applyNumberFormat="1" applyFont="1" applyFill="1" applyBorder="1" applyAlignment="1" applyProtection="1">
      <alignment horizontal="center"/>
      <protection locked="0"/>
    </xf>
    <xf numFmtId="2" fontId="0" fillId="3" borderId="9" xfId="2" applyNumberFormat="1" applyFont="1" applyFill="1" applyBorder="1" applyAlignment="1" applyProtection="1">
      <alignment horizontal="center"/>
      <protection locked="0"/>
    </xf>
    <xf numFmtId="0" fontId="2" fillId="2" borderId="8" xfId="1" applyFont="1" applyFill="1" applyBorder="1" applyAlignment="1">
      <alignment horizontal="left" vertical="center" wrapText="1"/>
    </xf>
    <xf numFmtId="2" fontId="0" fillId="4" borderId="9" xfId="2" applyNumberFormat="1" applyFont="1" applyFill="1" applyBorder="1" applyAlignment="1" applyProtection="1">
      <alignment horizontal="center"/>
      <protection locked="0"/>
    </xf>
    <xf numFmtId="1" fontId="0" fillId="4" borderId="9" xfId="2" applyNumberFormat="1" applyFont="1" applyFill="1" applyBorder="1" applyAlignment="1" applyProtection="1">
      <alignment horizontal="center"/>
      <protection locked="0"/>
    </xf>
    <xf numFmtId="2" fontId="1" fillId="3" borderId="9" xfId="1" applyNumberFormat="1" applyFill="1" applyBorder="1" applyAlignment="1" applyProtection="1">
      <alignment horizontal="center"/>
      <protection locked="0"/>
    </xf>
    <xf numFmtId="2" fontId="0" fillId="5" borderId="9" xfId="2" applyNumberFormat="1" applyFont="1" applyFill="1" applyBorder="1" applyAlignment="1" applyProtection="1">
      <alignment horizontal="center"/>
      <protection locked="0"/>
    </xf>
    <xf numFmtId="2" fontId="0" fillId="6" borderId="9" xfId="2" applyNumberFormat="1" applyFont="1" applyFill="1" applyBorder="1" applyAlignment="1" applyProtection="1">
      <alignment horizont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165" fontId="1" fillId="3" borderId="5" xfId="1" applyNumberFormat="1" applyFill="1" applyBorder="1" applyAlignment="1" applyProtection="1">
      <alignment horizontal="center"/>
      <protection locked="0"/>
    </xf>
    <xf numFmtId="165" fontId="1" fillId="3" borderId="6" xfId="1" applyNumberFormat="1" applyFill="1" applyBorder="1" applyAlignment="1" applyProtection="1">
      <alignment horizontal="center"/>
      <protection locked="0"/>
    </xf>
    <xf numFmtId="165" fontId="0" fillId="3" borderId="9" xfId="2" applyNumberFormat="1" applyFont="1" applyFill="1" applyBorder="1" applyAlignment="1" applyProtection="1">
      <alignment horizontal="center"/>
      <protection locked="0"/>
    </xf>
    <xf numFmtId="1" fontId="0" fillId="3" borderId="9" xfId="2" applyNumberFormat="1" applyFont="1" applyFill="1" applyBorder="1" applyAlignment="1" applyProtection="1">
      <alignment horizontal="center"/>
      <protection locked="0"/>
    </xf>
    <xf numFmtId="1" fontId="1" fillId="4" borderId="9" xfId="1" applyNumberFormat="1" applyFill="1" applyBorder="1" applyAlignment="1" applyProtection="1">
      <alignment horizontal="center"/>
      <protection locked="0"/>
    </xf>
    <xf numFmtId="1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</cellXfs>
  <cellStyles count="3">
    <cellStyle name="Обычный" xfId="0" builtinId="0"/>
    <cellStyle name="Обычный 2" xfId="1" xr:uid="{59DE2439-BB31-4F47-9019-227E568A9073}"/>
    <cellStyle name="Финансовый 2" xfId="2" xr:uid="{76448D99-8040-4132-8D13-109A8AFF0A7E}"/>
  </cellStyles>
  <dxfs count="1">
    <dxf>
      <font>
        <b/>
        <i val="0"/>
        <condense val="0"/>
        <extend val="0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Расход</a:t>
            </a:r>
            <a:r>
              <a:rPr lang="ru-RU" baseline="0"/>
              <a:t> газа через г/л клапан</a:t>
            </a:r>
          </a:p>
          <a:p>
            <a:pPr>
              <a:defRPr/>
            </a:pPr>
            <a:r>
              <a:rPr lang="ru-RU" sz="1400" baseline="0"/>
              <a:t>при постоянном давлении перед клапаном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Клапана!$C$21</c:f>
              <c:numCache>
                <c:formatCode>0.0</c:formatCode>
                <c:ptCount val="1"/>
                <c:pt idx="0">
                  <c:v>38.793031469636993</c:v>
                </c:pt>
              </c:numCache>
            </c:numRef>
          </c:xVal>
          <c:yVal>
            <c:numRef>
              <c:f>Клапана!$C$25</c:f>
              <c:numCache>
                <c:formatCode>0</c:formatCode>
                <c:ptCount val="1"/>
                <c:pt idx="0">
                  <c:v>11196.362826507397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EC-4B82-935C-F2F38BD2767D}"/>
            </c:ext>
          </c:extLst>
        </c:ser>
        <c:ser>
          <c:idx val="3"/>
          <c:order val="1"/>
          <c:marker>
            <c:symbol val="none"/>
          </c:marker>
          <c:xVal>
            <c:numRef>
              <c:f>Клапана!$I$23:$I$73</c:f>
              <c:numCache>
                <c:formatCode>General</c:formatCode>
                <c:ptCount val="51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</c:numCache>
            </c:numRef>
          </c:xVal>
          <c:yVal>
            <c:numRef>
              <c:f>Клапана!$P$23:$P$73</c:f>
              <c:numCache>
                <c:formatCode>General</c:formatCode>
                <c:ptCount val="51"/>
                <c:pt idx="0">
                  <c:v>11196.369889092713</c:v>
                </c:pt>
                <c:pt idx="1">
                  <c:v>11196.354979735419</c:v>
                </c:pt>
                <c:pt idx="2">
                  <c:v>11196.358935572605</c:v>
                </c:pt>
                <c:pt idx="3">
                  <c:v>11196.362448697566</c:v>
                </c:pt>
                <c:pt idx="4">
                  <c:v>11196.356007967914</c:v>
                </c:pt>
                <c:pt idx="5">
                  <c:v>11196.367518449346</c:v>
                </c:pt>
                <c:pt idx="6">
                  <c:v>11196.364362350938</c:v>
                </c:pt>
                <c:pt idx="7">
                  <c:v>11196.360692135222</c:v>
                </c:pt>
                <c:pt idx="8">
                  <c:v>11196.365376301137</c:v>
                </c:pt>
                <c:pt idx="9">
                  <c:v>11196.364419474436</c:v>
                </c:pt>
                <c:pt idx="10">
                  <c:v>11196.360677854625</c:v>
                </c:pt>
                <c:pt idx="11">
                  <c:v>11196.367004333779</c:v>
                </c:pt>
                <c:pt idx="12">
                  <c:v>11196.373145156731</c:v>
                </c:pt>
                <c:pt idx="13">
                  <c:v>11196.355093983635</c:v>
                </c:pt>
                <c:pt idx="14">
                  <c:v>11196.369460663025</c:v>
                </c:pt>
                <c:pt idx="15">
                  <c:v>11196.365276333616</c:v>
                </c:pt>
                <c:pt idx="16">
                  <c:v>11196.365433424909</c:v>
                </c:pt>
                <c:pt idx="17">
                  <c:v>11196.354836925429</c:v>
                </c:pt>
                <c:pt idx="18">
                  <c:v>11196.362091672543</c:v>
                </c:pt>
                <c:pt idx="19">
                  <c:v>11196.363862515822</c:v>
                </c:pt>
                <c:pt idx="20">
                  <c:v>11196.369746282913</c:v>
                </c:pt>
                <c:pt idx="21">
                  <c:v>11196.358121555588</c:v>
                </c:pt>
                <c:pt idx="22">
                  <c:v>11196.35597940558</c:v>
                </c:pt>
                <c:pt idx="23">
                  <c:v>11196.367232829682</c:v>
                </c:pt>
                <c:pt idx="24">
                  <c:v>11196.363319838336</c:v>
                </c:pt>
                <c:pt idx="25">
                  <c:v>11196.373716395745</c:v>
                </c:pt>
                <c:pt idx="26">
                  <c:v>11196.36449087937</c:v>
                </c:pt>
                <c:pt idx="27">
                  <c:v>11195.845906996999</c:v>
                </c:pt>
                <c:pt idx="28">
                  <c:v>11181.488542041881</c:v>
                </c:pt>
                <c:pt idx="29">
                  <c:v>11147.306514460461</c:v>
                </c:pt>
                <c:pt idx="30">
                  <c:v>11092.966525985956</c:v>
                </c:pt>
                <c:pt idx="31">
                  <c:v>11018.047339003395</c:v>
                </c:pt>
                <c:pt idx="32">
                  <c:v>10922.039013985175</c:v>
                </c:pt>
                <c:pt idx="33">
                  <c:v>10804.298269102548</c:v>
                </c:pt>
                <c:pt idx="34">
                  <c:v>10664.029496431194</c:v>
                </c:pt>
                <c:pt idx="35">
                  <c:v>10500.225762101461</c:v>
                </c:pt>
                <c:pt idx="36">
                  <c:v>10311.738983747033</c:v>
                </c:pt>
                <c:pt idx="37">
                  <c:v>10097.096625577997</c:v>
                </c:pt>
                <c:pt idx="38">
                  <c:v>9854.5711365249135</c:v>
                </c:pt>
                <c:pt idx="39">
                  <c:v>9581.978537486777</c:v>
                </c:pt>
                <c:pt idx="40">
                  <c:v>9276.6478074847182</c:v>
                </c:pt>
                <c:pt idx="41">
                  <c:v>8935.2027938050687</c:v>
                </c:pt>
                <c:pt idx="42">
                  <c:v>8553.2691265259309</c:v>
                </c:pt>
                <c:pt idx="43">
                  <c:v>8125.144180397122</c:v>
                </c:pt>
                <c:pt idx="44">
                  <c:v>7643.0429902572723</c:v>
                </c:pt>
                <c:pt idx="45">
                  <c:v>7095.9426916811944</c:v>
                </c:pt>
                <c:pt idx="46">
                  <c:v>6467.3984341697551</c:v>
                </c:pt>
                <c:pt idx="47">
                  <c:v>5730.6618573157002</c:v>
                </c:pt>
                <c:pt idx="48">
                  <c:v>4836.5429229385318</c:v>
                </c:pt>
                <c:pt idx="49">
                  <c:v>3671.8505131263482</c:v>
                </c:pt>
                <c:pt idx="50">
                  <c:v>1763.9985232316967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EC-4B82-935C-F2F38BD27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081536"/>
        <c:axId val="355786752"/>
      </c:scatterChart>
      <c:valAx>
        <c:axId val="35508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за клапаном,</a:t>
                </a:r>
                <a:r>
                  <a:rPr lang="ru-RU" baseline="0"/>
                  <a:t> втм</a:t>
                </a:r>
                <a:endParaRPr lang="ru-RU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355786752"/>
        <c:crosses val="autoZero"/>
        <c:crossBetween val="midCat"/>
      </c:valAx>
      <c:valAx>
        <c:axId val="355786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РАсход газа через клапан, м3/сут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081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Расход</a:t>
            </a:r>
            <a:r>
              <a:rPr lang="ru-RU" baseline="0"/>
              <a:t> газа через г/л клапан</a:t>
            </a:r>
          </a:p>
          <a:p>
            <a:pPr>
              <a:defRPr/>
            </a:pPr>
            <a:r>
              <a:rPr lang="ru-RU" sz="1400" baseline="0"/>
              <a:t>при постоянном давлении за клапаном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Клапана!$C$22</c:f>
              <c:numCache>
                <c:formatCode>0.0</c:formatCode>
                <c:ptCount val="1"/>
                <c:pt idx="0">
                  <c:v>72</c:v>
                </c:pt>
              </c:numCache>
            </c:numRef>
          </c:xVal>
          <c:yVal>
            <c:numRef>
              <c:f>Клапана!$C$25</c:f>
              <c:numCache>
                <c:formatCode>0</c:formatCode>
                <c:ptCount val="1"/>
                <c:pt idx="0">
                  <c:v>11196.362826507397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B6-4258-9B57-80A55CC0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88480"/>
        <c:axId val="355789056"/>
      </c:scatterChart>
      <c:scatterChart>
        <c:scatterStyle val="lineMarker"/>
        <c:varyColors val="0"/>
        <c:ser>
          <c:idx val="3"/>
          <c:order val="1"/>
          <c:tx>
            <c:v>С учетом Рзакр</c:v>
          </c:tx>
          <c:marker>
            <c:symbol val="none"/>
          </c:marker>
          <c:xVal>
            <c:numRef>
              <c:f>Клапана!$I$23:$I$99</c:f>
              <c:numCache>
                <c:formatCode>General</c:formatCode>
                <c:ptCount val="77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  <c:pt idx="51">
                  <c:v>73</c:v>
                </c:pt>
                <c:pt idx="52">
                  <c:v>74.411764705882348</c:v>
                </c:pt>
                <c:pt idx="53">
                  <c:v>75.823529411764696</c:v>
                </c:pt>
                <c:pt idx="54">
                  <c:v>77.235294117647044</c:v>
                </c:pt>
                <c:pt idx="55">
                  <c:v>78.647058823529392</c:v>
                </c:pt>
                <c:pt idx="56">
                  <c:v>80.05882352941174</c:v>
                </c:pt>
                <c:pt idx="57">
                  <c:v>81.470588235294088</c:v>
                </c:pt>
                <c:pt idx="58">
                  <c:v>82.882352941176435</c:v>
                </c:pt>
                <c:pt idx="59">
                  <c:v>84.294117647058783</c:v>
                </c:pt>
                <c:pt idx="60">
                  <c:v>85.705882352941131</c:v>
                </c:pt>
                <c:pt idx="61">
                  <c:v>87.117647058823479</c:v>
                </c:pt>
                <c:pt idx="62">
                  <c:v>88.529411764705827</c:v>
                </c:pt>
                <c:pt idx="63">
                  <c:v>89.941176470588175</c:v>
                </c:pt>
                <c:pt idx="64">
                  <c:v>91.352941176470523</c:v>
                </c:pt>
                <c:pt idx="65">
                  <c:v>92.764705882352871</c:v>
                </c:pt>
                <c:pt idx="66">
                  <c:v>94.176470588235219</c:v>
                </c:pt>
                <c:pt idx="67">
                  <c:v>95.588235294117567</c:v>
                </c:pt>
                <c:pt idx="68">
                  <c:v>96.999999999999915</c:v>
                </c:pt>
                <c:pt idx="69">
                  <c:v>98.411764705882263</c:v>
                </c:pt>
                <c:pt idx="70">
                  <c:v>99.823529411764611</c:v>
                </c:pt>
                <c:pt idx="71">
                  <c:v>101.23529411764696</c:v>
                </c:pt>
                <c:pt idx="72">
                  <c:v>102.64705882352931</c:v>
                </c:pt>
                <c:pt idx="73">
                  <c:v>104.05882352941165</c:v>
                </c:pt>
                <c:pt idx="74">
                  <c:v>105.470588235294</c:v>
                </c:pt>
                <c:pt idx="75">
                  <c:v>106.88235294117635</c:v>
                </c:pt>
                <c:pt idx="76">
                  <c:v>108.2941176470587</c:v>
                </c:pt>
              </c:numCache>
            </c:numRef>
          </c:xVal>
          <c:yVal>
            <c:numRef>
              <c:f>Клапана!$S$23:$S$99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9156.5046898861729</c:v>
                </c:pt>
                <c:pt idx="42">
                  <c:v>9376.0412258492488</c:v>
                </c:pt>
                <c:pt idx="43">
                  <c:v>9595.5861590305249</c:v>
                </c:pt>
                <c:pt idx="44">
                  <c:v>9815.1133552300471</c:v>
                </c:pt>
                <c:pt idx="45">
                  <c:v>10034.649162862534</c:v>
                </c:pt>
                <c:pt idx="46">
                  <c:v>10254.185913040383</c:v>
                </c:pt>
                <c:pt idx="47">
                  <c:v>10473.720264011836</c:v>
                </c:pt>
                <c:pt idx="48">
                  <c:v>10693.254914883239</c:v>
                </c:pt>
                <c:pt idx="49">
                  <c:v>10912.800319342179</c:v>
                </c:pt>
                <c:pt idx="50">
                  <c:v>11132.331542777469</c:v>
                </c:pt>
                <c:pt idx="51">
                  <c:v>11351.861309548009</c:v>
                </c:pt>
                <c:pt idx="52">
                  <c:v>11571.398231098181</c:v>
                </c:pt>
                <c:pt idx="53">
                  <c:v>11790.946805938444</c:v>
                </c:pt>
                <c:pt idx="54">
                  <c:v>12010.474773306974</c:v>
                </c:pt>
                <c:pt idx="55">
                  <c:v>12230.009681236659</c:v>
                </c:pt>
                <c:pt idx="56">
                  <c:v>12449.543689462704</c:v>
                </c:pt>
                <c:pt idx="57">
                  <c:v>12669.082196203741</c:v>
                </c:pt>
                <c:pt idx="58">
                  <c:v>12888.627857722164</c:v>
                </c:pt>
                <c:pt idx="59">
                  <c:v>13108.162551437139</c:v>
                </c:pt>
                <c:pt idx="60">
                  <c:v>13327.700801118897</c:v>
                </c:pt>
                <c:pt idx="61">
                  <c:v>13547.237037181236</c:v>
                </c:pt>
                <c:pt idx="62">
                  <c:v>13766.76294808471</c:v>
                </c:pt>
                <c:pt idx="63">
                  <c:v>13986.306296083058</c:v>
                </c:pt>
                <c:pt idx="64">
                  <c:v>14205.835591580784</c:v>
                </c:pt>
                <c:pt idx="65">
                  <c:v>14425.375512140683</c:v>
                </c:pt>
                <c:pt idx="66">
                  <c:v>14644.909863111288</c:v>
                </c:pt>
                <c:pt idx="67">
                  <c:v>14864.461265586309</c:v>
                </c:pt>
                <c:pt idx="68">
                  <c:v>15083.98897589853</c:v>
                </c:pt>
                <c:pt idx="69">
                  <c:v>15303.533994768944</c:v>
                </c:pt>
                <c:pt idx="70">
                  <c:v>15523.073272681424</c:v>
                </c:pt>
                <c:pt idx="71">
                  <c:v>15742.603167986241</c:v>
                </c:pt>
                <c:pt idx="72">
                  <c:v>15962.141160610248</c:v>
                </c:pt>
                <c:pt idx="73">
                  <c:v>16181.681895182715</c:v>
                </c:pt>
                <c:pt idx="74">
                  <c:v>16401.218645360688</c:v>
                </c:pt>
                <c:pt idx="75">
                  <c:v>16620.743313822204</c:v>
                </c:pt>
                <c:pt idx="76">
                  <c:v>16840.282227571068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6-4258-9B57-80A55CC0BC8B}"/>
            </c:ext>
          </c:extLst>
        </c:ser>
        <c:ser>
          <c:idx val="0"/>
          <c:order val="2"/>
          <c:tx>
            <c:v>С учетом Роткр</c:v>
          </c:tx>
          <c:marker>
            <c:symbol val="none"/>
          </c:marker>
          <c:xVal>
            <c:numRef>
              <c:f>Клапана!$I$23:$I$99</c:f>
              <c:numCache>
                <c:formatCode>General</c:formatCode>
                <c:ptCount val="77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  <c:pt idx="51">
                  <c:v>73</c:v>
                </c:pt>
                <c:pt idx="52">
                  <c:v>74.411764705882348</c:v>
                </c:pt>
                <c:pt idx="53">
                  <c:v>75.823529411764696</c:v>
                </c:pt>
                <c:pt idx="54">
                  <c:v>77.235294117647044</c:v>
                </c:pt>
                <c:pt idx="55">
                  <c:v>78.647058823529392</c:v>
                </c:pt>
                <c:pt idx="56">
                  <c:v>80.05882352941174</c:v>
                </c:pt>
                <c:pt idx="57">
                  <c:v>81.470588235294088</c:v>
                </c:pt>
                <c:pt idx="58">
                  <c:v>82.882352941176435</c:v>
                </c:pt>
                <c:pt idx="59">
                  <c:v>84.294117647058783</c:v>
                </c:pt>
                <c:pt idx="60">
                  <c:v>85.705882352941131</c:v>
                </c:pt>
                <c:pt idx="61">
                  <c:v>87.117647058823479</c:v>
                </c:pt>
                <c:pt idx="62">
                  <c:v>88.529411764705827</c:v>
                </c:pt>
                <c:pt idx="63">
                  <c:v>89.941176470588175</c:v>
                </c:pt>
                <c:pt idx="64">
                  <c:v>91.352941176470523</c:v>
                </c:pt>
                <c:pt idx="65">
                  <c:v>92.764705882352871</c:v>
                </c:pt>
                <c:pt idx="66">
                  <c:v>94.176470588235219</c:v>
                </c:pt>
                <c:pt idx="67">
                  <c:v>95.588235294117567</c:v>
                </c:pt>
                <c:pt idx="68">
                  <c:v>96.999999999999915</c:v>
                </c:pt>
                <c:pt idx="69">
                  <c:v>98.411764705882263</c:v>
                </c:pt>
                <c:pt idx="70">
                  <c:v>99.823529411764611</c:v>
                </c:pt>
                <c:pt idx="71">
                  <c:v>101.23529411764696</c:v>
                </c:pt>
                <c:pt idx="72">
                  <c:v>102.64705882352931</c:v>
                </c:pt>
                <c:pt idx="73">
                  <c:v>104.05882352941165</c:v>
                </c:pt>
                <c:pt idx="74">
                  <c:v>105.470588235294</c:v>
                </c:pt>
                <c:pt idx="75">
                  <c:v>106.88235294117635</c:v>
                </c:pt>
                <c:pt idx="76">
                  <c:v>108.2941176470587</c:v>
                </c:pt>
              </c:numCache>
            </c:numRef>
          </c:xVal>
          <c:yVal>
            <c:numRef>
              <c:f>Клапана!$R$23:$R$99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11790.946805938444</c:v>
                </c:pt>
                <c:pt idx="54">
                  <c:v>12010.474773306974</c:v>
                </c:pt>
                <c:pt idx="55">
                  <c:v>12230.009681236659</c:v>
                </c:pt>
                <c:pt idx="56">
                  <c:v>12449.543689462704</c:v>
                </c:pt>
                <c:pt idx="57">
                  <c:v>12669.082196203741</c:v>
                </c:pt>
                <c:pt idx="58">
                  <c:v>12888.627857722164</c:v>
                </c:pt>
                <c:pt idx="59">
                  <c:v>13108.162551437139</c:v>
                </c:pt>
                <c:pt idx="60">
                  <c:v>13327.700801118897</c:v>
                </c:pt>
                <c:pt idx="61">
                  <c:v>13547.237037181236</c:v>
                </c:pt>
                <c:pt idx="62">
                  <c:v>13766.76294808471</c:v>
                </c:pt>
                <c:pt idx="63">
                  <c:v>13986.306296083058</c:v>
                </c:pt>
                <c:pt idx="64">
                  <c:v>14205.835591580784</c:v>
                </c:pt>
                <c:pt idx="65">
                  <c:v>14425.375512140683</c:v>
                </c:pt>
                <c:pt idx="66">
                  <c:v>14644.909863111288</c:v>
                </c:pt>
                <c:pt idx="67">
                  <c:v>14864.461265586309</c:v>
                </c:pt>
                <c:pt idx="68">
                  <c:v>15083.98897589853</c:v>
                </c:pt>
                <c:pt idx="69">
                  <c:v>15303.533994768944</c:v>
                </c:pt>
                <c:pt idx="70">
                  <c:v>15523.073272681424</c:v>
                </c:pt>
                <c:pt idx="71">
                  <c:v>15742.603167986241</c:v>
                </c:pt>
                <c:pt idx="72">
                  <c:v>15962.141160610248</c:v>
                </c:pt>
                <c:pt idx="73">
                  <c:v>16181.681895182715</c:v>
                </c:pt>
                <c:pt idx="74">
                  <c:v>16401.218645360688</c:v>
                </c:pt>
                <c:pt idx="75">
                  <c:v>16620.743313822204</c:v>
                </c:pt>
                <c:pt idx="76">
                  <c:v>16840.282227571068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B6-4258-9B57-80A55CC0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88480"/>
        <c:axId val="355789056"/>
      </c:scatterChart>
      <c:valAx>
        <c:axId val="35578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перед</a:t>
                </a:r>
                <a:r>
                  <a:rPr lang="ru-RU" baseline="0"/>
                  <a:t> клапаном</a:t>
                </a:r>
                <a:r>
                  <a:rPr lang="ru-RU"/>
                  <a:t>,</a:t>
                </a:r>
                <a:r>
                  <a:rPr lang="ru-RU" baseline="0"/>
                  <a:t> втм</a:t>
                </a:r>
                <a:endParaRPr lang="ru-RU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355789056"/>
        <c:crosses val="autoZero"/>
        <c:crossBetween val="midCat"/>
      </c:valAx>
      <c:valAx>
        <c:axId val="355789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РАсход газа через клапан, м3/сут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788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511706</xdr:colOff>
      <xdr:row>12</xdr:row>
      <xdr:rowOff>55427</xdr:rowOff>
    </xdr:from>
    <xdr:to>
      <xdr:col>29</xdr:col>
      <xdr:colOff>609600</xdr:colOff>
      <xdr:row>41</xdr:row>
      <xdr:rowOff>77881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DB4B1F2-5401-4CFC-BCF4-97B0993F3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530041</xdr:colOff>
      <xdr:row>41</xdr:row>
      <xdr:rowOff>144715</xdr:rowOff>
    </xdr:from>
    <xdr:to>
      <xdr:col>30</xdr:col>
      <xdr:colOff>1444</xdr:colOff>
      <xdr:row>73</xdr:row>
      <xdr:rowOff>62832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B7A274C-CC81-4DAA-8D6D-E909361F2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nt\YD\105_&#1054;&#1088;&#1077;&#1085;&#1073;&#1091;&#1088;&#1075;\unifloc%20gl\unifloc_gaslift_5.32_rnt%20-%201105-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. данные"/>
      <sheetName val="Адаптация"/>
      <sheetName val="Анализ"/>
      <sheetName val="Дизайн"/>
      <sheetName val="Клапана"/>
      <sheetName val="Давление зарядки - температура"/>
    </sheetNames>
    <sheetDataSet>
      <sheetData sheetId="0">
        <row r="4">
          <cell r="C4" t="str">
            <v/>
          </cell>
        </row>
        <row r="8">
          <cell r="C8" t="str">
            <v>1105-2</v>
          </cell>
          <cell r="J8">
            <v>3</v>
          </cell>
        </row>
        <row r="9">
          <cell r="J9">
            <v>0</v>
          </cell>
        </row>
        <row r="12">
          <cell r="C12">
            <v>120</v>
          </cell>
        </row>
        <row r="14">
          <cell r="C14">
            <v>55.175999999999995</v>
          </cell>
          <cell r="G14">
            <v>1932</v>
          </cell>
        </row>
        <row r="21">
          <cell r="C21">
            <v>15.2</v>
          </cell>
        </row>
        <row r="22">
          <cell r="C22">
            <v>28</v>
          </cell>
        </row>
        <row r="38">
          <cell r="C38">
            <v>1932</v>
          </cell>
        </row>
        <row r="40">
          <cell r="C40">
            <v>1700</v>
          </cell>
        </row>
        <row r="63">
          <cell r="J63">
            <v>1932</v>
          </cell>
          <cell r="L63">
            <v>20</v>
          </cell>
        </row>
      </sheetData>
      <sheetData sheetId="1">
        <row r="4">
          <cell r="R4">
            <v>2</v>
          </cell>
        </row>
        <row r="5">
          <cell r="R5">
            <v>1</v>
          </cell>
        </row>
        <row r="10">
          <cell r="C10">
            <v>7</v>
          </cell>
          <cell r="E10">
            <v>7</v>
          </cell>
          <cell r="AS10">
            <v>25</v>
          </cell>
        </row>
        <row r="11">
          <cell r="C11">
            <v>1</v>
          </cell>
          <cell r="E11">
            <v>1</v>
          </cell>
        </row>
        <row r="12">
          <cell r="C12">
            <v>5.7934799999999997</v>
          </cell>
          <cell r="E12">
            <v>5.7934799999999997</v>
          </cell>
        </row>
        <row r="13">
          <cell r="C13">
            <v>218.5</v>
          </cell>
          <cell r="E13">
            <v>218.5</v>
          </cell>
        </row>
        <row r="14">
          <cell r="C14">
            <v>88.75</v>
          </cell>
          <cell r="E14">
            <v>61</v>
          </cell>
        </row>
        <row r="17">
          <cell r="C17">
            <v>6</v>
          </cell>
          <cell r="E17">
            <v>10</v>
          </cell>
          <cell r="I17">
            <v>0</v>
          </cell>
          <cell r="K17">
            <v>9</v>
          </cell>
        </row>
        <row r="18">
          <cell r="I18">
            <v>500</v>
          </cell>
          <cell r="K18">
            <v>17</v>
          </cell>
        </row>
        <row r="19">
          <cell r="C19">
            <v>8.9333333333333336</v>
          </cell>
          <cell r="E19">
            <v>0</v>
          </cell>
          <cell r="I19">
            <v>1200</v>
          </cell>
          <cell r="K19">
            <v>30</v>
          </cell>
        </row>
        <row r="20">
          <cell r="I20">
            <v>1400</v>
          </cell>
          <cell r="K20">
            <v>32</v>
          </cell>
        </row>
        <row r="21">
          <cell r="C21">
            <v>356.72284476112225</v>
          </cell>
          <cell r="E21">
            <v>500</v>
          </cell>
          <cell r="I21">
            <v>1866.8800048828125</v>
          </cell>
          <cell r="K21">
            <v>34</v>
          </cell>
        </row>
        <row r="22">
          <cell r="C22">
            <v>70</v>
          </cell>
          <cell r="D22">
            <v>81.007385043560802</v>
          </cell>
          <cell r="E22">
            <v>65</v>
          </cell>
          <cell r="F22">
            <v>75.469180340573871</v>
          </cell>
          <cell r="I22">
            <v>3000</v>
          </cell>
          <cell r="K22">
            <v>67.993599853515633</v>
          </cell>
        </row>
        <row r="27">
          <cell r="C27">
            <v>0.83599999999999997</v>
          </cell>
          <cell r="E27">
            <v>0.83599999999999997</v>
          </cell>
          <cell r="K27">
            <v>2</v>
          </cell>
        </row>
        <row r="28">
          <cell r="C28">
            <v>1.1579999999999999</v>
          </cell>
          <cell r="E28">
            <v>1.1579999999999999</v>
          </cell>
          <cell r="K28">
            <v>-0.35</v>
          </cell>
        </row>
        <row r="29">
          <cell r="C29">
            <v>0.70099999999999996</v>
          </cell>
          <cell r="E29">
            <v>0.70099999999999996</v>
          </cell>
        </row>
        <row r="30">
          <cell r="C30">
            <v>143.80000000000001</v>
          </cell>
          <cell r="E30">
            <v>143.80000000000001</v>
          </cell>
        </row>
        <row r="31">
          <cell r="C31">
            <v>15</v>
          </cell>
          <cell r="D31">
            <v>38</v>
          </cell>
        </row>
        <row r="35">
          <cell r="C35">
            <v>2371</v>
          </cell>
          <cell r="E35">
            <v>2371</v>
          </cell>
        </row>
        <row r="36">
          <cell r="C36">
            <v>2580</v>
          </cell>
          <cell r="E36">
            <v>2580</v>
          </cell>
          <cell r="K36">
            <v>0.25805</v>
          </cell>
        </row>
        <row r="37">
          <cell r="C37">
            <v>1800</v>
          </cell>
          <cell r="E37">
            <v>1800</v>
          </cell>
        </row>
        <row r="38">
          <cell r="C38">
            <v>1.6000000000000001E-4</v>
          </cell>
          <cell r="E38">
            <v>1.6000000000000001E-4</v>
          </cell>
        </row>
        <row r="46">
          <cell r="B46">
            <v>2371</v>
          </cell>
          <cell r="C46">
            <v>161.70000000000002</v>
          </cell>
          <cell r="D46">
            <v>20</v>
          </cell>
          <cell r="E46">
            <v>76.099999999999994</v>
          </cell>
          <cell r="G46">
            <v>600</v>
          </cell>
        </row>
        <row r="47">
          <cell r="D47">
            <v>2580</v>
          </cell>
          <cell r="E47">
            <v>61.980000000000004</v>
          </cell>
          <cell r="G47">
            <v>1100</v>
          </cell>
        </row>
        <row r="48">
          <cell r="G48">
            <v>1460</v>
          </cell>
        </row>
        <row r="53">
          <cell r="G53">
            <v>600</v>
          </cell>
        </row>
        <row r="54">
          <cell r="G54">
            <v>1100</v>
          </cell>
        </row>
        <row r="55">
          <cell r="G55">
            <v>1460</v>
          </cell>
          <cell r="I55">
            <v>65</v>
          </cell>
        </row>
        <row r="66">
          <cell r="AB66">
            <v>27</v>
          </cell>
          <cell r="AU66">
            <v>27</v>
          </cell>
        </row>
        <row r="67">
          <cell r="F67">
            <v>2</v>
          </cell>
          <cell r="W67">
            <v>100</v>
          </cell>
          <cell r="AB67">
            <v>3</v>
          </cell>
          <cell r="AU67">
            <v>3</v>
          </cell>
        </row>
      </sheetData>
      <sheetData sheetId="2">
        <row r="4">
          <cell r="M4">
            <v>2</v>
          </cell>
        </row>
        <row r="5">
          <cell r="M5">
            <v>1</v>
          </cell>
        </row>
        <row r="9">
          <cell r="R9">
            <v>25</v>
          </cell>
        </row>
        <row r="10">
          <cell r="C10">
            <v>7.0259503940755215</v>
          </cell>
          <cell r="AH10">
            <v>7.1053156038958143</v>
          </cell>
        </row>
        <row r="11">
          <cell r="C11">
            <v>1</v>
          </cell>
          <cell r="AH11">
            <v>1</v>
          </cell>
        </row>
        <row r="12">
          <cell r="C12">
            <v>5.8149575841526646</v>
          </cell>
          <cell r="AH12">
            <v>5.8806434064083319</v>
          </cell>
        </row>
        <row r="13">
          <cell r="C13">
            <v>218.5</v>
          </cell>
        </row>
        <row r="14">
          <cell r="C14">
            <v>65</v>
          </cell>
          <cell r="AH14">
            <v>61.992839190619208</v>
          </cell>
        </row>
        <row r="15">
          <cell r="C15">
            <v>5.2273612909711629E-2</v>
          </cell>
        </row>
        <row r="17">
          <cell r="C17">
            <v>10</v>
          </cell>
        </row>
        <row r="19">
          <cell r="C19">
            <v>27.26594527800798</v>
          </cell>
          <cell r="AH19">
            <v>23.574937468286194</v>
          </cell>
        </row>
        <row r="21">
          <cell r="C21">
            <v>500</v>
          </cell>
        </row>
        <row r="22">
          <cell r="C22">
            <v>65</v>
          </cell>
          <cell r="D22">
            <v>75.469180340573871</v>
          </cell>
        </row>
        <row r="27">
          <cell r="C27">
            <v>0.83599999999999997</v>
          </cell>
        </row>
        <row r="28">
          <cell r="C28">
            <v>1.1579999999999999</v>
          </cell>
        </row>
        <row r="29">
          <cell r="C29">
            <v>0.70099999999999996</v>
          </cell>
        </row>
        <row r="30">
          <cell r="C30">
            <v>143.80000000000001</v>
          </cell>
        </row>
        <row r="31">
          <cell r="C31">
            <v>9</v>
          </cell>
          <cell r="D31">
            <v>34</v>
          </cell>
        </row>
        <row r="33">
          <cell r="AI33">
            <v>23.574937468286194</v>
          </cell>
        </row>
        <row r="35">
          <cell r="C35">
            <v>2371</v>
          </cell>
        </row>
        <row r="36">
          <cell r="C36">
            <v>2580</v>
          </cell>
        </row>
        <row r="37">
          <cell r="C37">
            <v>1800</v>
          </cell>
        </row>
        <row r="38">
          <cell r="C38">
            <v>1.6000000000000001E-4</v>
          </cell>
        </row>
        <row r="52">
          <cell r="B52">
            <v>2371</v>
          </cell>
          <cell r="C52">
            <v>161.70000000000002</v>
          </cell>
          <cell r="D52">
            <v>20</v>
          </cell>
          <cell r="E52">
            <v>76.099999999999994</v>
          </cell>
          <cell r="G52">
            <v>600</v>
          </cell>
        </row>
        <row r="53">
          <cell r="D53">
            <v>2580</v>
          </cell>
          <cell r="E53">
            <v>61.980000000000004</v>
          </cell>
          <cell r="G53">
            <v>1100</v>
          </cell>
          <cell r="H53">
            <v>2</v>
          </cell>
        </row>
        <row r="54">
          <cell r="G54">
            <v>1460</v>
          </cell>
          <cell r="H54">
            <v>5</v>
          </cell>
        </row>
        <row r="61">
          <cell r="L61">
            <v>100</v>
          </cell>
          <cell r="Q61">
            <v>27</v>
          </cell>
          <cell r="BV61">
            <v>60</v>
          </cell>
        </row>
        <row r="62">
          <cell r="Q62">
            <v>3</v>
          </cell>
        </row>
        <row r="63">
          <cell r="F63">
            <v>2</v>
          </cell>
        </row>
      </sheetData>
      <sheetData sheetId="3">
        <row r="9">
          <cell r="J9">
            <v>101.57586172840533</v>
          </cell>
          <cell r="L9">
            <v>101.59814663293933</v>
          </cell>
        </row>
        <row r="10">
          <cell r="J10">
            <v>46.714827821825509</v>
          </cell>
        </row>
        <row r="11">
          <cell r="J11">
            <v>107.70642852783203</v>
          </cell>
        </row>
        <row r="12">
          <cell r="J12">
            <v>10</v>
          </cell>
        </row>
        <row r="74">
          <cell r="L74">
            <v>100</v>
          </cell>
        </row>
      </sheetData>
      <sheetData sheetId="4">
        <row r="20">
          <cell r="C20">
            <v>72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LV_p_close_atma"/>
      <definedName name="GLV_p_vkr_atma"/>
      <definedName name="GLV_q_gas_vkr_sm3day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4811-A139-4312-B5B6-875BAF8209F9}">
  <sheetPr codeName="Лист5"/>
  <dimension ref="B1:AD99"/>
  <sheetViews>
    <sheetView tabSelected="1" zoomScale="85" zoomScaleNormal="85" workbookViewId="0">
      <selection activeCell="AH27" sqref="AH27"/>
    </sheetView>
  </sheetViews>
  <sheetFormatPr defaultRowHeight="12.75" x14ac:dyDescent="0.2"/>
  <cols>
    <col min="1" max="1" width="9.140625" style="1"/>
    <col min="2" max="2" width="28" style="1" customWidth="1"/>
    <col min="3" max="3" width="9.7109375" style="1" bestFit="1" customWidth="1"/>
    <col min="4" max="4" width="11" style="1" customWidth="1"/>
    <col min="5" max="20" width="9.140625" style="1"/>
    <col min="21" max="21" width="15" style="1" customWidth="1"/>
    <col min="22" max="22" width="9.140625" style="1"/>
    <col min="23" max="23" width="12" style="1" customWidth="1"/>
    <col min="24" max="24" width="16.7109375" style="1" bestFit="1" customWidth="1"/>
    <col min="25" max="25" width="15.140625" style="1" customWidth="1"/>
    <col min="26" max="26" width="12" style="1" customWidth="1"/>
    <col min="27" max="27" width="13.85546875" style="1" customWidth="1"/>
    <col min="28" max="29" width="9.140625" style="1"/>
    <col min="30" max="30" width="9.5703125" style="1" bestFit="1" customWidth="1"/>
    <col min="31" max="16384" width="9.140625" style="1"/>
  </cols>
  <sheetData>
    <row r="1" spans="2:30" ht="42.75" customHeight="1" x14ac:dyDescent="0.2">
      <c r="B1" s="1" t="s">
        <v>0</v>
      </c>
      <c r="U1" s="1" t="s">
        <v>1</v>
      </c>
      <c r="V1" s="1" t="s">
        <v>2</v>
      </c>
      <c r="W1" s="1" t="s">
        <v>3</v>
      </c>
      <c r="X1" s="2" t="s">
        <v>4</v>
      </c>
      <c r="Y1" s="2" t="s">
        <v>5</v>
      </c>
      <c r="Z1" s="3" t="s">
        <v>6</v>
      </c>
      <c r="AA1" s="4" t="s">
        <v>7</v>
      </c>
      <c r="AB1" s="1" t="s">
        <v>8</v>
      </c>
      <c r="AC1" s="1" t="s">
        <v>9</v>
      </c>
      <c r="AD1" s="1" t="s">
        <v>10</v>
      </c>
    </row>
    <row r="2" spans="2:30" x14ac:dyDescent="0.2">
      <c r="X2" s="2" t="s">
        <v>11</v>
      </c>
      <c r="Y2" s="2" t="s">
        <v>12</v>
      </c>
      <c r="Z2" s="3" t="s">
        <v>11</v>
      </c>
      <c r="AA2" s="3" t="s">
        <v>12</v>
      </c>
    </row>
    <row r="3" spans="2:30" ht="13.5" thickBot="1" x14ac:dyDescent="0.25">
      <c r="U3" s="1" t="s">
        <v>13</v>
      </c>
      <c r="V3" s="1" t="s">
        <v>14</v>
      </c>
      <c r="W3" s="1" t="str">
        <f>V3&amp;" port 1/8"</f>
        <v>R-1 port 1/8</v>
      </c>
      <c r="X3" s="2">
        <v>25.4</v>
      </c>
      <c r="Y3" s="2">
        <v>200</v>
      </c>
      <c r="Z3" s="3">
        <v>3.18</v>
      </c>
      <c r="AA3" s="3">
        <v>8.4</v>
      </c>
      <c r="AB3" s="5">
        <f>AA3/Y3</f>
        <v>4.2000000000000003E-2</v>
      </c>
      <c r="AC3" s="5">
        <f>1-AB3</f>
        <v>0.95799999999999996</v>
      </c>
      <c r="AD3" s="5">
        <f>AB3/AC3</f>
        <v>4.3841336116910233E-2</v>
      </c>
    </row>
    <row r="4" spans="2:30" ht="13.5" thickBot="1" x14ac:dyDescent="0.25">
      <c r="B4" s="23" t="s">
        <v>15</v>
      </c>
      <c r="C4" s="24"/>
      <c r="D4" s="24"/>
      <c r="E4" s="25"/>
      <c r="V4" s="1" t="s">
        <v>14</v>
      </c>
      <c r="W4" s="1" t="str">
        <f>V4&amp;" port 5/32"</f>
        <v>R-1 port 5/32</v>
      </c>
      <c r="X4" s="2">
        <v>25.4</v>
      </c>
      <c r="Y4" s="2">
        <v>200</v>
      </c>
      <c r="Z4" s="3">
        <v>3.97</v>
      </c>
      <c r="AA4" s="3">
        <v>13.55</v>
      </c>
      <c r="AB4" s="5">
        <f>AA4/Y4</f>
        <v>6.7750000000000005E-2</v>
      </c>
      <c r="AC4" s="5">
        <f>1-AB4</f>
        <v>0.93225000000000002</v>
      </c>
      <c r="AD4" s="5">
        <f>AB4/AC4</f>
        <v>7.2673639045320468E-2</v>
      </c>
    </row>
    <row r="5" spans="2:30" ht="15" x14ac:dyDescent="0.25">
      <c r="B5" s="6" t="s">
        <v>16</v>
      </c>
      <c r="C5" s="26" t="s">
        <v>17</v>
      </c>
      <c r="D5" s="27"/>
      <c r="E5" s="7"/>
      <c r="G5" s="8" t="s">
        <v>33</v>
      </c>
      <c r="H5" s="14">
        <v>0.8</v>
      </c>
      <c r="I5" s="15"/>
      <c r="J5" s="9"/>
      <c r="V5" s="1" t="s">
        <v>14</v>
      </c>
      <c r="W5" s="1" t="str">
        <f>V5&amp;" port 3/16"</f>
        <v>R-1 port 3/16</v>
      </c>
      <c r="X5" s="2">
        <v>25.4</v>
      </c>
      <c r="Y5" s="2">
        <v>200</v>
      </c>
      <c r="Z5" s="3">
        <v>4.76</v>
      </c>
      <c r="AA5" s="3">
        <v>18.71</v>
      </c>
      <c r="AB5" s="5">
        <f>AA5/Y5</f>
        <v>9.3550000000000008E-2</v>
      </c>
      <c r="AC5" s="5">
        <f>1-AB5</f>
        <v>0.90644999999999998</v>
      </c>
      <c r="AD5" s="5">
        <f>AB5/AC5</f>
        <v>0.10320480997297149</v>
      </c>
    </row>
    <row r="6" spans="2:30" ht="15" x14ac:dyDescent="0.25">
      <c r="B6" s="8" t="s">
        <v>18</v>
      </c>
      <c r="C6" s="28" t="s">
        <v>19</v>
      </c>
      <c r="D6" s="28"/>
      <c r="E6" s="9"/>
      <c r="G6" s="8" t="s">
        <v>34</v>
      </c>
      <c r="H6" s="14">
        <v>25</v>
      </c>
      <c r="I6" s="15"/>
      <c r="J6" s="9" t="s">
        <v>35</v>
      </c>
      <c r="V6" s="1" t="s">
        <v>14</v>
      </c>
      <c r="W6" s="1" t="str">
        <f>V6&amp;" port 1/4"</f>
        <v>R-1 port 1/4</v>
      </c>
      <c r="X6" s="2">
        <v>25.4</v>
      </c>
      <c r="Y6" s="2">
        <v>200</v>
      </c>
      <c r="Z6" s="3">
        <v>6.35</v>
      </c>
      <c r="AA6" s="3">
        <v>33.549999999999997</v>
      </c>
      <c r="AB6" s="5">
        <f>AA6/Y6</f>
        <v>0.16774999999999998</v>
      </c>
      <c r="AC6" s="5">
        <f>1-AB6</f>
        <v>0.83225000000000005</v>
      </c>
      <c r="AD6" s="5">
        <f>AB6/AC6</f>
        <v>0.20156203063983175</v>
      </c>
    </row>
    <row r="7" spans="2:30" ht="15" x14ac:dyDescent="0.25">
      <c r="B7" s="8" t="s">
        <v>20</v>
      </c>
      <c r="C7" s="28" t="s">
        <v>14</v>
      </c>
      <c r="D7" s="28"/>
      <c r="E7" s="9"/>
      <c r="V7" s="1" t="s">
        <v>14</v>
      </c>
      <c r="W7" s="1" t="str">
        <f>V7&amp;" port 5/16"</f>
        <v>R-1 port 5/16</v>
      </c>
      <c r="X7" s="2">
        <v>25.4</v>
      </c>
      <c r="Y7" s="2">
        <v>200</v>
      </c>
      <c r="Z7" s="3">
        <v>7.94</v>
      </c>
      <c r="AA7" s="3">
        <v>51.61</v>
      </c>
      <c r="AB7" s="5">
        <f>AA7/Y7</f>
        <v>0.25805</v>
      </c>
      <c r="AC7" s="5">
        <f>1-AB7</f>
        <v>0.74195</v>
      </c>
      <c r="AD7" s="5">
        <f>AB7/AC7</f>
        <v>0.34779971696205947</v>
      </c>
    </row>
    <row r="8" spans="2:30" ht="15" x14ac:dyDescent="0.25">
      <c r="B8" s="8" t="s">
        <v>21</v>
      </c>
      <c r="C8" s="29">
        <f>VLOOKUP(C11,W3:AD7,2,0)</f>
        <v>25.4</v>
      </c>
      <c r="D8" s="29"/>
      <c r="E8" s="9" t="s">
        <v>11</v>
      </c>
      <c r="X8" s="2"/>
      <c r="Y8" s="2"/>
    </row>
    <row r="9" spans="2:30" x14ac:dyDescent="0.2">
      <c r="X9" s="2"/>
      <c r="Y9" s="2"/>
      <c r="Z9" s="3"/>
    </row>
    <row r="10" spans="2:30" x14ac:dyDescent="0.2">
      <c r="X10" s="2"/>
      <c r="Y10" s="2"/>
    </row>
    <row r="11" spans="2:30" x14ac:dyDescent="0.2">
      <c r="B11" s="8" t="s">
        <v>6</v>
      </c>
      <c r="C11" s="30" t="s">
        <v>22</v>
      </c>
      <c r="D11" s="30"/>
      <c r="E11" s="9"/>
      <c r="X11" s="2"/>
      <c r="Y11" s="2"/>
    </row>
    <row r="12" spans="2:30" x14ac:dyDescent="0.2">
      <c r="B12" s="10" t="s">
        <v>23</v>
      </c>
      <c r="C12" s="20">
        <f>VLOOKUP(C11,W3:AD7,4,0)</f>
        <v>7.94</v>
      </c>
      <c r="D12" s="20"/>
      <c r="E12" s="9" t="s">
        <v>11</v>
      </c>
      <c r="X12" s="2"/>
      <c r="Y12" s="2"/>
    </row>
    <row r="13" spans="2:30" x14ac:dyDescent="0.2">
      <c r="B13" s="10" t="s">
        <v>24</v>
      </c>
      <c r="C13" s="20">
        <f>VLOOKUP(C11,W3:AD7,6,0)</f>
        <v>0.25805</v>
      </c>
      <c r="D13" s="20"/>
      <c r="E13" s="9"/>
      <c r="X13" s="2"/>
      <c r="Y13" s="2"/>
    </row>
    <row r="14" spans="2:30" x14ac:dyDescent="0.2">
      <c r="B14" s="8" t="s">
        <v>25</v>
      </c>
      <c r="C14" s="11">
        <v>3</v>
      </c>
      <c r="D14" s="11">
        <v>2</v>
      </c>
      <c r="E14" s="9" t="s">
        <v>11</v>
      </c>
      <c r="I14" s="12"/>
      <c r="J14" s="12"/>
      <c r="X14" s="2"/>
      <c r="Y14" s="2"/>
    </row>
    <row r="15" spans="2:30" x14ac:dyDescent="0.2">
      <c r="B15" s="8" t="s">
        <v>26</v>
      </c>
      <c r="C15" s="11"/>
      <c r="D15" s="11"/>
      <c r="E15" s="9" t="s">
        <v>11</v>
      </c>
      <c r="X15" s="2"/>
      <c r="Y15" s="2"/>
    </row>
    <row r="16" spans="2:30" ht="15" x14ac:dyDescent="0.25">
      <c r="B16" s="8" t="s">
        <v>27</v>
      </c>
      <c r="C16" s="21">
        <f>((C14^2+D14^2+C15^2+D15^2))^(0.5)</f>
        <v>3.6055512754639891</v>
      </c>
      <c r="D16" s="21"/>
      <c r="E16" s="9"/>
      <c r="X16" s="2"/>
      <c r="Y16" s="2"/>
    </row>
    <row r="17" spans="2:25" ht="15" x14ac:dyDescent="0.25">
      <c r="B17" s="8" t="s">
        <v>27</v>
      </c>
      <c r="C17" s="22">
        <f>C16</f>
        <v>3.6055512754639891</v>
      </c>
      <c r="D17" s="22"/>
      <c r="E17" s="9"/>
      <c r="X17" s="2"/>
      <c r="Y17" s="2"/>
    </row>
    <row r="18" spans="2:25" x14ac:dyDescent="0.2">
      <c r="X18" s="2"/>
      <c r="Y18" s="2"/>
    </row>
    <row r="19" spans="2:25" ht="15" x14ac:dyDescent="0.25">
      <c r="B19" s="8" t="s">
        <v>28</v>
      </c>
      <c r="C19" s="18">
        <v>72</v>
      </c>
      <c r="D19" s="18"/>
      <c r="E19" s="9" t="s">
        <v>29</v>
      </c>
      <c r="J19" s="1">
        <f>(J23-O23)^2</f>
        <v>125.35869869338197</v>
      </c>
    </row>
    <row r="20" spans="2:25" ht="15" x14ac:dyDescent="0.25">
      <c r="B20" s="8" t="s">
        <v>31</v>
      </c>
      <c r="C20" s="19">
        <v>10</v>
      </c>
      <c r="D20" s="19"/>
      <c r="E20" s="9" t="s">
        <v>29</v>
      </c>
    </row>
    <row r="21" spans="2:25" x14ac:dyDescent="0.2">
      <c r="B21" s="8" t="s">
        <v>30</v>
      </c>
      <c r="C21" s="32">
        <f t="array" ref="C21:D27">TRANSPOSE([2]!GLV_p_vkr_atma(C12,C17,C19,C29,H5,H6,1))</f>
        <v>38.793031469636993</v>
      </c>
      <c r="D21" s="1" t="str">
        <v>p_atma</v>
      </c>
      <c r="E21" s="9"/>
      <c r="G21" s="1" t="e">
        <f ca="1">Pd_gas_valve_atm(C16,C19,C31,H5,H6)</f>
        <v>#NAME?</v>
      </c>
      <c r="I21" s="1">
        <f>C19*1</f>
        <v>72</v>
      </c>
    </row>
    <row r="22" spans="2:25" x14ac:dyDescent="0.2">
      <c r="C22" s="32">
        <v>72</v>
      </c>
      <c r="D22" s="1" t="str">
        <v>p_in_atma</v>
      </c>
    </row>
    <row r="23" spans="2:25" x14ac:dyDescent="0.2">
      <c r="C23" s="32">
        <v>71.320285241342134</v>
      </c>
      <c r="D23" s="1" t="str">
        <v>p_v_atma</v>
      </c>
      <c r="I23" s="1">
        <v>1</v>
      </c>
      <c r="J23" s="1">
        <f>[2]!GLV_q_gas_vkr_sm3day($C$12,$C$17,$C$19,I23,$H$5,$H$6)/1000</f>
        <v>11.196369889092713</v>
      </c>
      <c r="P23" s="1">
        <f>[2]!GLV_q_gas_vkr_sm3day($C$12,$C$17,$C$19,I23,$H$5,$H$6)</f>
        <v>11196.369889092713</v>
      </c>
      <c r="Q23" s="1">
        <f>[2]!GLV_q_gas_vkr_sm3day($C$12,$C$17,I23,$C$20,$H$5,$H$6)</f>
        <v>0</v>
      </c>
      <c r="R23" s="1">
        <f>IF(I23&gt;$C$40,Q23,0)</f>
        <v>0</v>
      </c>
      <c r="S23" s="1">
        <f>IF(I23&gt;$C$39,Q23,0)</f>
        <v>0</v>
      </c>
    </row>
    <row r="24" spans="2:25" x14ac:dyDescent="0.2">
      <c r="C24" s="33">
        <v>38.793031469636993</v>
      </c>
      <c r="D24" s="1" t="str">
        <v>p_out_atma</v>
      </c>
      <c r="I24" s="1">
        <f>I23+$I$21/51</f>
        <v>2.4117647058823533</v>
      </c>
      <c r="J24" s="1">
        <f>[2]!GLV_q_gas_vkr_sm3day($C$12,$C$17,$C$19,I24,$H$5,$H$6)/1000</f>
        <v>11.196354979735419</v>
      </c>
      <c r="P24" s="1">
        <f>[2]!GLV_q_gas_vkr_sm3day($C$12,$C$17,$C$19,I24,$H$5,$H$6)</f>
        <v>11196.354979735419</v>
      </c>
      <c r="Q24" s="1">
        <f>[2]!GLV_q_gas_vkr_sm3day($C$12,$C$17,I24,$C$20,$H$5,$H$6)</f>
        <v>0</v>
      </c>
      <c r="R24" s="1">
        <f>IF(I24&gt;$C$40,Q24,0)</f>
        <v>0</v>
      </c>
      <c r="S24" s="1">
        <f>IF(I24&gt;$C$39,Q24,0)</f>
        <v>0</v>
      </c>
    </row>
    <row r="25" spans="2:25" x14ac:dyDescent="0.2">
      <c r="C25" s="31">
        <v>11196.362826507397</v>
      </c>
      <c r="D25" s="1" t="str">
        <v>q_gas_sm3day</v>
      </c>
      <c r="I25" s="1">
        <f t="shared" ref="I25:I88" si="0">I24+$I$21/51</f>
        <v>3.8235294117647065</v>
      </c>
      <c r="J25" s="1">
        <f>[2]!GLV_q_gas_vkr_sm3day($C$12,$C$17,$C$19,I25,$H$5,$H$6)/1000</f>
        <v>11.196358935572606</v>
      </c>
      <c r="P25" s="1">
        <f>[2]!GLV_q_gas_vkr_sm3day($C$12,$C$17,$C$19,I25,$H$5,$H$6)</f>
        <v>11196.358935572605</v>
      </c>
      <c r="Q25" s="1">
        <f>[2]!GLV_q_gas_vkr_sm3day($C$12,$C$17,I25,$C$20,$H$5,$H$6)</f>
        <v>0</v>
      </c>
      <c r="R25" s="1">
        <f>IF(I25&gt;$C$40,Q25,0)</f>
        <v>0</v>
      </c>
      <c r="S25" s="1">
        <f>IF(I25&gt;$C$39,Q25,0)</f>
        <v>0</v>
      </c>
    </row>
    <row r="26" spans="2:25" x14ac:dyDescent="0.2">
      <c r="C26" s="1" t="b">
        <v>0</v>
      </c>
      <c r="D26" s="1" t="str">
        <v>port critical flow</v>
      </c>
      <c r="I26" s="1">
        <f t="shared" si="0"/>
        <v>5.2352941176470598</v>
      </c>
      <c r="J26" s="1">
        <f>[2]!GLV_q_gas_vkr_sm3day($C$12,$C$17,$C$19,I26,$H$5,$H$6)/1000</f>
        <v>11.196362448697567</v>
      </c>
      <c r="P26" s="1">
        <f>[2]!GLV_q_gas_vkr_sm3day($C$12,$C$17,$C$19,I26,$H$5,$H$6)</f>
        <v>11196.362448697566</v>
      </c>
      <c r="Q26" s="1">
        <f>[2]!GLV_q_gas_vkr_sm3day($C$12,$C$17,I26,$C$20,$H$5,$H$6)</f>
        <v>0</v>
      </c>
      <c r="R26" s="1">
        <f>IF(I26&gt;$C$40,Q26,0)</f>
        <v>0</v>
      </c>
      <c r="S26" s="1">
        <f>IF(I26&gt;$C$39,Q26,0)</f>
        <v>0</v>
      </c>
    </row>
    <row r="27" spans="2:25" x14ac:dyDescent="0.2">
      <c r="C27" s="1" t="b">
        <v>1</v>
      </c>
      <c r="D27" s="1" t="str">
        <v>vkrutka critical flow</v>
      </c>
      <c r="I27" s="1">
        <f t="shared" si="0"/>
        <v>6.647058823529413</v>
      </c>
      <c r="J27" s="1">
        <f>[2]!GLV_q_gas_vkr_sm3day($C$12,$C$17,$C$19,I27,$H$5,$H$6)/1000</f>
        <v>11.196356007967914</v>
      </c>
      <c r="P27" s="1">
        <f>[2]!GLV_q_gas_vkr_sm3day($C$12,$C$17,$C$19,I27,$H$5,$H$6)</f>
        <v>11196.356007967914</v>
      </c>
      <c r="Q27" s="1">
        <f>[2]!GLV_q_gas_vkr_sm3day($C$12,$C$17,I27,$C$20,$H$5,$H$6)</f>
        <v>0</v>
      </c>
      <c r="R27" s="1">
        <f>IF(I27&gt;$C$40,Q27,0)</f>
        <v>0</v>
      </c>
      <c r="S27" s="1">
        <f>IF(I27&gt;$C$39,Q27,0)</f>
        <v>0</v>
      </c>
    </row>
    <row r="28" spans="2:25" x14ac:dyDescent="0.2">
      <c r="I28" s="1">
        <f t="shared" si="0"/>
        <v>8.0588235294117663</v>
      </c>
      <c r="J28" s="1">
        <f>[2]!GLV_q_gas_vkr_sm3day($C$12,$C$17,$C$19,I28,$H$5,$H$6)/1000</f>
        <v>11.196367518449346</v>
      </c>
      <c r="P28" s="1">
        <f>[2]!GLV_q_gas_vkr_sm3day($C$12,$C$17,$C$19,I28,$H$5,$H$6)</f>
        <v>11196.367518449346</v>
      </c>
      <c r="Q28" s="1">
        <f>[2]!GLV_q_gas_vkr_sm3day($C$12,$C$17,I28,$C$20,$H$5,$H$6)</f>
        <v>0</v>
      </c>
      <c r="R28" s="1">
        <f>IF(I28&gt;$C$40,Q28,0)</f>
        <v>0</v>
      </c>
      <c r="S28" s="1">
        <f>IF(I28&gt;$C$39,Q28,0)</f>
        <v>0</v>
      </c>
    </row>
    <row r="29" spans="2:25" x14ac:dyDescent="0.2">
      <c r="B29" s="8" t="s">
        <v>32</v>
      </c>
      <c r="C29" s="31">
        <f t="array" ref="C29:D35">TRANSPOSE([2]!GLV_q_gas_vkr_sm3day(C12,C17,C19,C20,H5,H6))</f>
        <v>11196.371831306264</v>
      </c>
      <c r="D29" s="1" t="str">
        <v>q_gas_sm3day</v>
      </c>
      <c r="I29" s="1">
        <f t="shared" si="0"/>
        <v>9.4705882352941195</v>
      </c>
      <c r="J29" s="1">
        <f>[2]!GLV_q_gas_vkr_sm3day($C$12,$C$17,$C$19,I29,$H$5,$H$6)/1000</f>
        <v>11.196364362350938</v>
      </c>
      <c r="P29" s="1">
        <f>[2]!GLV_q_gas_vkr_sm3day($C$12,$C$17,$C$19,I29,$H$5,$H$6)</f>
        <v>11196.364362350938</v>
      </c>
      <c r="Q29" s="1">
        <f>[2]!GLV_q_gas_vkr_sm3day($C$12,$C$17,I29,$C$20,$H$5,$H$6)</f>
        <v>0</v>
      </c>
      <c r="R29" s="1">
        <f>IF(I29&gt;$C$40,Q29,0)</f>
        <v>0</v>
      </c>
      <c r="S29" s="1">
        <f>IF(I29&gt;$C$39,Q29,0)</f>
        <v>0</v>
      </c>
    </row>
    <row r="30" spans="2:25" x14ac:dyDescent="0.2">
      <c r="C30" s="32">
        <v>72</v>
      </c>
      <c r="D30" s="1" t="str">
        <v>p_in_atma</v>
      </c>
      <c r="I30" s="1">
        <f t="shared" si="0"/>
        <v>10.882352941176473</v>
      </c>
      <c r="J30" s="1">
        <f>[2]!GLV_q_gas_vkr_sm3day($C$12,$C$17,$C$19,I30,$H$5,$H$6)/1000</f>
        <v>11.196360692135222</v>
      </c>
      <c r="P30" s="1">
        <f>[2]!GLV_q_gas_vkr_sm3day($C$12,$C$17,$C$19,I30,$H$5,$H$6)</f>
        <v>11196.360692135222</v>
      </c>
      <c r="Q30" s="1">
        <f>[2]!GLV_q_gas_vkr_sm3day($C$12,$C$17,I30,$C$20,$H$5,$H$6)</f>
        <v>961.29117983900528</v>
      </c>
      <c r="R30" s="1">
        <f>IF(I30&gt;$C$40,Q30,0)</f>
        <v>0</v>
      </c>
      <c r="S30" s="1">
        <f>IF(I30&gt;$C$39,Q30,0)</f>
        <v>0</v>
      </c>
    </row>
    <row r="31" spans="2:25" x14ac:dyDescent="0.2">
      <c r="C31" s="32">
        <v>71.320292592048645</v>
      </c>
      <c r="D31" s="1" t="str">
        <v>pv_atma</v>
      </c>
      <c r="I31" s="1">
        <f t="shared" si="0"/>
        <v>12.294117647058826</v>
      </c>
      <c r="J31" s="1">
        <f>[2]!GLV_q_gas_vkr_sm3day($C$12,$C$17,$C$19,I31,$H$5,$H$6)/1000</f>
        <v>11.196365376301138</v>
      </c>
      <c r="P31" s="1">
        <f>[2]!GLV_q_gas_vkr_sm3day($C$12,$C$17,$C$19,I31,$H$5,$H$6)</f>
        <v>11196.365376301137</v>
      </c>
      <c r="Q31" s="1">
        <f>[2]!GLV_q_gas_vkr_sm3day($C$12,$C$17,I31,$C$20,$H$5,$H$6)</f>
        <v>1539.3989909875065</v>
      </c>
      <c r="R31" s="1">
        <f>IF(I31&gt;$C$40,Q31,0)</f>
        <v>0</v>
      </c>
      <c r="S31" s="1">
        <f>IF(I31&gt;$C$39,Q31,0)</f>
        <v>0</v>
      </c>
    </row>
    <row r="32" spans="2:25" x14ac:dyDescent="0.2">
      <c r="C32" s="32">
        <v>38.793035467885005</v>
      </c>
      <c r="D32" s="1" t="str">
        <v>p_out_atma</v>
      </c>
      <c r="I32" s="1">
        <f t="shared" si="0"/>
        <v>13.705882352941179</v>
      </c>
      <c r="J32" s="1">
        <f>[2]!GLV_q_gas_vkr_sm3day($C$12,$C$17,$C$19,I32,$H$5,$H$6)/1000</f>
        <v>11.196364419474437</v>
      </c>
      <c r="P32" s="1">
        <f>[2]!GLV_q_gas_vkr_sm3day($C$12,$C$17,$C$19,I32,$H$5,$H$6)</f>
        <v>11196.364419474436</v>
      </c>
      <c r="Q32" s="1">
        <f>[2]!GLV_q_gas_vkr_sm3day($C$12,$C$17,I32,$C$20,$H$5,$H$6)</f>
        <v>1943.0761311386648</v>
      </c>
      <c r="R32" s="1">
        <f>IF(I32&gt;$C$40,Q32,0)</f>
        <v>0</v>
      </c>
      <c r="S32" s="1">
        <f>IF(I32&gt;$C$39,Q32,0)</f>
        <v>0</v>
      </c>
    </row>
    <row r="33" spans="2:19" x14ac:dyDescent="0.2">
      <c r="C33" s="31">
        <v>11196.371831306264</v>
      </c>
      <c r="D33" s="1" t="str">
        <v>q_gas_sm3day</v>
      </c>
      <c r="I33" s="1">
        <f t="shared" si="0"/>
        <v>15.117647058823533</v>
      </c>
      <c r="J33" s="1">
        <f>[2]!GLV_q_gas_vkr_sm3day($C$12,$C$17,$C$19,I33,$H$5,$H$6)/1000</f>
        <v>11.196360677854626</v>
      </c>
      <c r="P33" s="1">
        <f>[2]!GLV_q_gas_vkr_sm3day($C$12,$C$17,$C$19,I33,$H$5,$H$6)</f>
        <v>11196.360677854625</v>
      </c>
      <c r="Q33" s="1">
        <f>[2]!GLV_q_gas_vkr_sm3day($C$12,$C$17,I33,$C$20,$H$5,$H$6)</f>
        <v>2267.8075502942975</v>
      </c>
      <c r="R33" s="1">
        <f>IF(I33&gt;$C$40,Q33,0)</f>
        <v>0</v>
      </c>
      <c r="S33" s="1">
        <f>IF(I33&gt;$C$39,Q33,0)</f>
        <v>0</v>
      </c>
    </row>
    <row r="34" spans="2:19" x14ac:dyDescent="0.2">
      <c r="C34" s="31" t="b">
        <v>0</v>
      </c>
      <c r="D34" s="1" t="str">
        <v>crit1</v>
      </c>
      <c r="I34" s="1">
        <f t="shared" si="0"/>
        <v>16.529411764705884</v>
      </c>
      <c r="J34" s="1">
        <f>[2]!GLV_q_gas_vkr_sm3day($C$12,$C$17,$C$19,I34,$H$5,$H$6)/1000</f>
        <v>11.196367004333778</v>
      </c>
      <c r="P34" s="1">
        <f>[2]!GLV_q_gas_vkr_sm3day($C$12,$C$17,$C$19,I34,$H$5,$H$6)</f>
        <v>11196.367004333779</v>
      </c>
      <c r="Q34" s="1">
        <f>[2]!GLV_q_gas_vkr_sm3day($C$12,$C$17,I34,$C$20,$H$5,$H$6)</f>
        <v>2544.4514281519291</v>
      </c>
      <c r="R34" s="1">
        <f>IF(I34&gt;$C$40,Q34,0)</f>
        <v>0</v>
      </c>
      <c r="S34" s="1">
        <f>IF(I34&gt;$C$39,Q34,0)</f>
        <v>0</v>
      </c>
    </row>
    <row r="35" spans="2:19" x14ac:dyDescent="0.2">
      <c r="C35" s="1" t="b">
        <v>1</v>
      </c>
      <c r="D35" s="1" t="str">
        <v>crit2</v>
      </c>
      <c r="I35" s="1">
        <f t="shared" si="0"/>
        <v>17.941176470588236</v>
      </c>
      <c r="J35" s="1">
        <f>[2]!GLV_q_gas_vkr_sm3day($C$12,$C$17,$C$19,I35,$H$5,$H$6)/1000</f>
        <v>11.196373145156731</v>
      </c>
      <c r="P35" s="1">
        <f>[2]!GLV_q_gas_vkr_sm3day($C$12,$C$17,$C$19,I35,$H$5,$H$6)</f>
        <v>11196.373145156731</v>
      </c>
      <c r="Q35" s="1">
        <f>[2]!GLV_q_gas_vkr_sm3day($C$12,$C$17,I35,$C$20,$H$5,$H$6)</f>
        <v>2787.75090077101</v>
      </c>
      <c r="R35" s="1">
        <f>IF(I35&gt;$C$40,Q35,0)</f>
        <v>0</v>
      </c>
      <c r="S35" s="1">
        <f>IF(I35&gt;$C$39,Q35,0)</f>
        <v>0</v>
      </c>
    </row>
    <row r="36" spans="2:19" x14ac:dyDescent="0.2">
      <c r="I36" s="1">
        <f t="shared" si="0"/>
        <v>19.352941176470587</v>
      </c>
      <c r="J36" s="1">
        <f>[2]!GLV_q_gas_vkr_sm3day($C$12,$C$17,$C$19,I36,$H$5,$H$6)/1000</f>
        <v>11.196355093983636</v>
      </c>
      <c r="P36" s="1">
        <f>[2]!GLV_q_gas_vkr_sm3day($C$12,$C$17,$C$19,I36,$H$5,$H$6)</f>
        <v>11196.355093983635</v>
      </c>
      <c r="Q36" s="1">
        <f>[2]!GLV_q_gas_vkr_sm3day($C$12,$C$17,I36,$C$20,$H$5,$H$6)</f>
        <v>3009.4825397772493</v>
      </c>
      <c r="R36" s="1">
        <f>IF(I36&gt;$C$40,Q36,0)</f>
        <v>0</v>
      </c>
      <c r="S36" s="1">
        <f>IF(I36&gt;$C$39,Q36,0)</f>
        <v>0</v>
      </c>
    </row>
    <row r="37" spans="2:19" ht="15" x14ac:dyDescent="0.25">
      <c r="B37" s="8" t="s">
        <v>36</v>
      </c>
      <c r="C37" s="13">
        <v>56</v>
      </c>
      <c r="D37" s="13"/>
      <c r="E37" s="9" t="s">
        <v>29</v>
      </c>
      <c r="I37" s="1">
        <f t="shared" si="0"/>
        <v>20.764705882352938</v>
      </c>
      <c r="J37" s="1">
        <f>[2]!GLV_q_gas_vkr_sm3day($C$12,$C$17,$C$19,I37,$H$5,$H$6)/1000</f>
        <v>11.196369460663025</v>
      </c>
      <c r="P37" s="1">
        <f>[2]!GLV_q_gas_vkr_sm3day($C$12,$C$17,$C$19,I37,$H$5,$H$6)</f>
        <v>11196.369460663025</v>
      </c>
      <c r="Q37" s="1">
        <f>[2]!GLV_q_gas_vkr_sm3day($C$12,$C$17,I37,$C$20,$H$5,$H$6)</f>
        <v>3229.0224603309434</v>
      </c>
      <c r="R37" s="1">
        <f>IF(I37&gt;$C$40,Q37,0)</f>
        <v>0</v>
      </c>
      <c r="S37" s="1">
        <f>IF(I37&gt;$C$39,Q37,0)</f>
        <v>0</v>
      </c>
    </row>
    <row r="38" spans="2:19" ht="15" x14ac:dyDescent="0.25">
      <c r="B38" s="8" t="s">
        <v>37</v>
      </c>
      <c r="C38" s="16">
        <f>[2]!GLV_p_close_atma(C37,H6)</f>
        <v>58.077826383799895</v>
      </c>
      <c r="D38" s="16"/>
      <c r="E38" s="9" t="s">
        <v>29</v>
      </c>
      <c r="I38" s="1">
        <f t="shared" si="0"/>
        <v>22.17647058823529</v>
      </c>
      <c r="J38" s="1">
        <f>[2]!GLV_q_gas_vkr_sm3day($C$12,$C$17,$C$19,I38,$H$5,$H$6)/1000</f>
        <v>11.196365276333616</v>
      </c>
      <c r="P38" s="1">
        <f>[2]!GLV_q_gas_vkr_sm3day($C$12,$C$17,$C$19,I38,$H$5,$H$6)</f>
        <v>11196.365276333616</v>
      </c>
      <c r="Q38" s="1">
        <f>[2]!GLV_q_gas_vkr_sm3day($C$12,$C$17,I38,$C$20,$H$5,$H$6)</f>
        <v>3448.5524413242347</v>
      </c>
      <c r="R38" s="1">
        <f>IF(I38&gt;$C$40,Q38,0)</f>
        <v>0</v>
      </c>
      <c r="S38" s="1">
        <f>IF(I38&gt;$C$39,Q38,0)</f>
        <v>0</v>
      </c>
    </row>
    <row r="39" spans="2:19" ht="15" x14ac:dyDescent="0.25">
      <c r="B39" s="8" t="s">
        <v>38</v>
      </c>
      <c r="C39" s="16">
        <f>C38</f>
        <v>58.077826383799895</v>
      </c>
      <c r="D39" s="16"/>
      <c r="E39" s="9" t="s">
        <v>29</v>
      </c>
      <c r="I39" s="1">
        <f t="shared" si="0"/>
        <v>23.588235294117641</v>
      </c>
      <c r="J39" s="1">
        <f>[2]!GLV_q_gas_vkr_sm3day($C$12,$C$17,$C$19,I39,$H$5,$H$6)/1000</f>
        <v>11.19636543342491</v>
      </c>
      <c r="P39" s="1">
        <f>[2]!GLV_q_gas_vkr_sm3day($C$12,$C$17,$C$19,I39,$H$5,$H$6)</f>
        <v>11196.365433424909</v>
      </c>
      <c r="Q39" s="1">
        <f>[2]!GLV_q_gas_vkr_sm3day($C$12,$C$17,I39,$C$20,$H$5,$H$6)</f>
        <v>3668.0894485601993</v>
      </c>
      <c r="R39" s="1">
        <f>IF(I39&gt;$C$40,Q39,0)</f>
        <v>0</v>
      </c>
      <c r="S39" s="1">
        <f>IF(I39&gt;$C$39,Q39,0)</f>
        <v>0</v>
      </c>
    </row>
    <row r="40" spans="2:19" ht="15" x14ac:dyDescent="0.25">
      <c r="B40" s="8" t="s">
        <v>39</v>
      </c>
      <c r="C40" s="16">
        <f>C39/(1-C13)-C20*C13/(1-C13)</f>
        <v>74.79928079223653</v>
      </c>
      <c r="D40" s="16"/>
      <c r="E40" s="9" t="s">
        <v>29</v>
      </c>
      <c r="I40" s="1">
        <f t="shared" si="0"/>
        <v>24.999999999999993</v>
      </c>
      <c r="J40" s="1">
        <f>[2]!GLV_q_gas_vkr_sm3day($C$12,$C$17,$C$19,I40,$H$5,$H$6)/1000</f>
        <v>11.19635483692543</v>
      </c>
      <c r="P40" s="1">
        <f>[2]!GLV_q_gas_vkr_sm3day($C$12,$C$17,$C$19,I40,$H$5,$H$6)</f>
        <v>11196.354836925429</v>
      </c>
      <c r="Q40" s="1">
        <f>[2]!GLV_q_gas_vkr_sm3day($C$12,$C$17,I40,$C$20,$H$5,$H$6)</f>
        <v>3887.6278267708922</v>
      </c>
      <c r="R40" s="1">
        <f>IF(I40&gt;$C$40,Q40,0)</f>
        <v>0</v>
      </c>
      <c r="S40" s="1">
        <f>IF(I40&gt;$C$39,Q40,0)</f>
        <v>0</v>
      </c>
    </row>
    <row r="41" spans="2:19" ht="15" x14ac:dyDescent="0.25">
      <c r="B41" s="8" t="s">
        <v>40</v>
      </c>
      <c r="C41" s="16" t="str">
        <f>IF(C19&gt;C40,"открыт",IF(C19&gt;C39,"открыт условно","закрыт"))</f>
        <v>открыт условно</v>
      </c>
      <c r="D41" s="16"/>
      <c r="E41" s="9"/>
      <c r="I41" s="1">
        <f t="shared" si="0"/>
        <v>26.411764705882344</v>
      </c>
      <c r="J41" s="1">
        <f>[2]!GLV_q_gas_vkr_sm3day($C$12,$C$17,$C$19,I41,$H$5,$H$6)/1000</f>
        <v>11.196362091672544</v>
      </c>
      <c r="P41" s="1">
        <f>[2]!GLV_q_gas_vkr_sm3day($C$12,$C$17,$C$19,I41,$H$5,$H$6)</f>
        <v>11196.362091672543</v>
      </c>
      <c r="Q41" s="1">
        <f>[2]!GLV_q_gas_vkr_sm3day($C$12,$C$17,I41,$C$20,$H$5,$H$6)</f>
        <v>4107.1557512899481</v>
      </c>
      <c r="R41" s="1">
        <f>IF(I41&gt;$C$40,Q41,0)</f>
        <v>0</v>
      </c>
      <c r="S41" s="1">
        <f>IF(I41&gt;$C$39,Q41,0)</f>
        <v>0</v>
      </c>
    </row>
    <row r="42" spans="2:19" ht="25.5" x14ac:dyDescent="0.25">
      <c r="B42" s="17" t="s">
        <v>41</v>
      </c>
      <c r="C42" s="16">
        <f>C39/(1-C13)-1*C13/(1-C13)</f>
        <v>77.929478244895066</v>
      </c>
      <c r="D42" s="16"/>
      <c r="E42" s="9" t="s">
        <v>29</v>
      </c>
      <c r="I42" s="1">
        <f t="shared" si="0"/>
        <v>27.823529411764696</v>
      </c>
      <c r="J42" s="1">
        <f>[2]!GLV_q_gas_vkr_sm3day($C$12,$C$17,$C$19,I42,$H$5,$H$6)/1000</f>
        <v>11.196363862515822</v>
      </c>
      <c r="P42" s="1">
        <f>[2]!GLV_q_gas_vkr_sm3day($C$12,$C$17,$C$19,I42,$H$5,$H$6)</f>
        <v>11196.363862515822</v>
      </c>
      <c r="Q42" s="1">
        <f>[2]!GLV_q_gas_vkr_sm3day($C$12,$C$17,I42,$C$20,$H$5,$H$6)</f>
        <v>4326.6919016657685</v>
      </c>
      <c r="R42" s="1">
        <f>IF(I42&gt;$C$40,Q42,0)</f>
        <v>0</v>
      </c>
      <c r="S42" s="1">
        <f>IF(I42&gt;$C$39,Q42,0)</f>
        <v>0</v>
      </c>
    </row>
    <row r="43" spans="2:19" ht="15" x14ac:dyDescent="0.25">
      <c r="B43" s="8"/>
      <c r="C43" s="13"/>
      <c r="D43" s="13"/>
      <c r="E43" s="9"/>
      <c r="I43" s="1">
        <f t="shared" si="0"/>
        <v>29.235294117647047</v>
      </c>
      <c r="J43" s="1">
        <f>[2]!GLV_q_gas_vkr_sm3day($C$12,$C$17,$C$19,I43,$H$5,$H$6)/1000</f>
        <v>11.196369746282913</v>
      </c>
      <c r="P43" s="1">
        <f>[2]!GLV_q_gas_vkr_sm3day($C$12,$C$17,$C$19,I43,$H$5,$H$6)</f>
        <v>11196.369746282913</v>
      </c>
      <c r="Q43" s="1">
        <f>[2]!GLV_q_gas_vkr_sm3day($C$12,$C$17,I43,$C$20,$H$5,$H$6)</f>
        <v>4546.2275379251614</v>
      </c>
      <c r="R43" s="1">
        <f>IF(I43&gt;$C$40,Q43,0)</f>
        <v>0</v>
      </c>
      <c r="S43" s="1">
        <f>IF(I43&gt;$C$39,Q43,0)</f>
        <v>0</v>
      </c>
    </row>
    <row r="44" spans="2:19" ht="15" x14ac:dyDescent="0.25">
      <c r="B44" s="8"/>
      <c r="C44" s="13"/>
      <c r="D44" s="13"/>
      <c r="E44" s="9"/>
      <c r="I44" s="1">
        <f t="shared" si="0"/>
        <v>30.647058823529399</v>
      </c>
      <c r="J44" s="1">
        <f>[2]!GLV_q_gas_vkr_sm3day($C$12,$C$17,$C$19,I44,$H$5,$H$6)/1000</f>
        <v>11.196358121555587</v>
      </c>
      <c r="P44" s="1">
        <f>[2]!GLV_q_gas_vkr_sm3day($C$12,$C$17,$C$19,I44,$H$5,$H$6)</f>
        <v>11196.358121555588</v>
      </c>
      <c r="Q44" s="1">
        <f>[2]!GLV_q_gas_vkr_sm3day($C$12,$C$17,I44,$C$20,$H$5,$H$6)</f>
        <v>4765.7642024177303</v>
      </c>
      <c r="R44" s="1">
        <f>IF(I44&gt;$C$40,Q44,0)</f>
        <v>0</v>
      </c>
      <c r="S44" s="1">
        <f>IF(I44&gt;$C$39,Q44,0)</f>
        <v>0</v>
      </c>
    </row>
    <row r="45" spans="2:19" x14ac:dyDescent="0.2">
      <c r="I45" s="1">
        <f t="shared" si="0"/>
        <v>32.058823529411754</v>
      </c>
      <c r="J45" s="1">
        <f>[2]!GLV_q_gas_vkr_sm3day($C$12,$C$17,$C$19,I45,$H$5,$H$6)/1000</f>
        <v>11.196355979405579</v>
      </c>
      <c r="P45" s="1">
        <f>[2]!GLV_q_gas_vkr_sm3day($C$12,$C$17,$C$19,I45,$H$5,$H$6)</f>
        <v>11196.35597940558</v>
      </c>
      <c r="Q45" s="1">
        <f>[2]!GLV_q_gas_vkr_sm3day($C$12,$C$17,I45,$C$20,$H$5,$H$6)</f>
        <v>4985.3154335247009</v>
      </c>
      <c r="R45" s="1">
        <f>IF(I45&gt;$C$40,Q45,0)</f>
        <v>0</v>
      </c>
      <c r="S45" s="1">
        <f>IF(I45&gt;$C$39,Q45,0)</f>
        <v>0</v>
      </c>
    </row>
    <row r="46" spans="2:19" x14ac:dyDescent="0.2">
      <c r="I46" s="1">
        <f t="shared" si="0"/>
        <v>33.470588235294109</v>
      </c>
      <c r="J46" s="1">
        <f>[2]!GLV_q_gas_vkr_sm3day($C$12,$C$17,$C$19,I46,$H$5,$H$6)/1000</f>
        <v>11.196367232829681</v>
      </c>
      <c r="P46" s="1">
        <f>[2]!GLV_q_gas_vkr_sm3day($C$12,$C$17,$C$19,I46,$H$5,$H$6)</f>
        <v>11196.367232829682</v>
      </c>
      <c r="Q46" s="1">
        <f>[2]!GLV_q_gas_vkr_sm3day($C$12,$C$17,I46,$C$20,$H$5,$H$6)</f>
        <v>5204.8389023801219</v>
      </c>
      <c r="R46" s="1">
        <f>IF(I46&gt;$C$40,Q46,0)</f>
        <v>0</v>
      </c>
      <c r="S46" s="1">
        <f>IF(I46&gt;$C$39,Q46,0)</f>
        <v>0</v>
      </c>
    </row>
    <row r="47" spans="2:19" x14ac:dyDescent="0.2">
      <c r="I47" s="1">
        <f t="shared" si="0"/>
        <v>34.882352941176464</v>
      </c>
      <c r="J47" s="1">
        <f>[2]!GLV_q_gas_vkr_sm3day($C$12,$C$17,$C$19,I47,$H$5,$H$6)/1000</f>
        <v>11.196363319838335</v>
      </c>
      <c r="P47" s="1">
        <f>[2]!GLV_q_gas_vkr_sm3day($C$12,$C$17,$C$19,I47,$H$5,$H$6)</f>
        <v>11196.363319838336</v>
      </c>
      <c r="Q47" s="1">
        <f>[2]!GLV_q_gas_vkr_sm3day($C$12,$C$17,I47,$C$20,$H$5,$H$6)</f>
        <v>5424.383964099542</v>
      </c>
      <c r="R47" s="1">
        <f>IF(I47&gt;$C$40,Q47,0)</f>
        <v>0</v>
      </c>
      <c r="S47" s="1">
        <f>IF(I47&gt;$C$39,Q47,0)</f>
        <v>0</v>
      </c>
    </row>
    <row r="48" spans="2:19" x14ac:dyDescent="0.2">
      <c r="I48" s="1">
        <f t="shared" si="0"/>
        <v>36.294117647058819</v>
      </c>
      <c r="J48" s="1">
        <f>[2]!GLV_q_gas_vkr_sm3day($C$12,$C$17,$C$19,I48,$H$5,$H$6)/1000</f>
        <v>11.196373716395744</v>
      </c>
      <c r="P48" s="1">
        <f>[2]!GLV_q_gas_vkr_sm3day($C$12,$C$17,$C$19,I48,$H$5,$H$6)</f>
        <v>11196.373716395745</v>
      </c>
      <c r="Q48" s="1">
        <f>[2]!GLV_q_gas_vkr_sm3day($C$12,$C$17,I48,$C$20,$H$5,$H$6)</f>
        <v>5643.9154874340575</v>
      </c>
      <c r="R48" s="1">
        <f>IF(I48&gt;$C$40,Q48,0)</f>
        <v>0</v>
      </c>
      <c r="S48" s="1">
        <f>IF(I48&gt;$C$39,Q48,0)</f>
        <v>0</v>
      </c>
    </row>
    <row r="49" spans="9:19" x14ac:dyDescent="0.2">
      <c r="I49" s="1">
        <f t="shared" si="0"/>
        <v>37.705882352941174</v>
      </c>
      <c r="J49" s="1">
        <f>[2]!GLV_q_gas_vkr_sm3day($C$12,$C$17,$C$19,I49,$H$5,$H$6)/1000</f>
        <v>11.19636449087937</v>
      </c>
      <c r="P49" s="1">
        <f>[2]!GLV_q_gas_vkr_sm3day($C$12,$C$17,$C$19,I49,$H$5,$H$6)</f>
        <v>11196.36449087937</v>
      </c>
      <c r="Q49" s="1">
        <f>[2]!GLV_q_gas_vkr_sm3day($C$12,$C$17,I49,$C$20,$H$5,$H$6)</f>
        <v>5863.4560077946626</v>
      </c>
      <c r="R49" s="1">
        <f>IF(I49&gt;$C$40,Q49,0)</f>
        <v>0</v>
      </c>
      <c r="S49" s="1">
        <f>IF(I49&gt;$C$39,Q49,0)</f>
        <v>0</v>
      </c>
    </row>
    <row r="50" spans="9:19" x14ac:dyDescent="0.2">
      <c r="I50" s="1">
        <f t="shared" si="0"/>
        <v>39.117647058823529</v>
      </c>
      <c r="J50" s="1">
        <f>[2]!GLV_q_gas_vkr_sm3day($C$12,$C$17,$C$19,I50,$H$5,$H$6)/1000</f>
        <v>11.195845906996999</v>
      </c>
      <c r="P50" s="1">
        <f>[2]!GLV_q_gas_vkr_sm3day($C$12,$C$17,$C$19,I50,$H$5,$H$6)</f>
        <v>11195.845906996999</v>
      </c>
      <c r="Q50" s="1">
        <f>[2]!GLV_q_gas_vkr_sm3day($C$12,$C$17,I50,$C$20,$H$5,$H$6)</f>
        <v>6082.9880452441803</v>
      </c>
      <c r="R50" s="1">
        <f>IF(I50&gt;$C$40,Q50,0)</f>
        <v>0</v>
      </c>
      <c r="S50" s="1">
        <f>IF(I50&gt;$C$39,Q50,0)</f>
        <v>0</v>
      </c>
    </row>
    <row r="51" spans="9:19" x14ac:dyDescent="0.2">
      <c r="I51" s="1">
        <f t="shared" si="0"/>
        <v>40.529411764705884</v>
      </c>
      <c r="J51" s="1">
        <f>[2]!GLV_q_gas_vkr_sm3day($C$12,$C$17,$C$19,I51,$H$5,$H$6)/1000</f>
        <v>11.181488542041881</v>
      </c>
      <c r="P51" s="1">
        <f>[2]!GLV_q_gas_vkr_sm3day($C$12,$C$17,$C$19,I51,$H$5,$H$6)</f>
        <v>11181.488542041881</v>
      </c>
      <c r="Q51" s="1">
        <f>[2]!GLV_q_gas_vkr_sm3day($C$12,$C$17,I51,$C$20,$H$5,$H$6)</f>
        <v>6302.5294224645768</v>
      </c>
      <c r="R51" s="1">
        <f>IF(I51&gt;$C$40,Q51,0)</f>
        <v>0</v>
      </c>
      <c r="S51" s="1">
        <f>IF(I51&gt;$C$39,Q51,0)</f>
        <v>0</v>
      </c>
    </row>
    <row r="52" spans="9:19" x14ac:dyDescent="0.2">
      <c r="I52" s="1">
        <f t="shared" si="0"/>
        <v>41.941176470588239</v>
      </c>
      <c r="J52" s="1">
        <f>[2]!GLV_q_gas_vkr_sm3day($C$12,$C$17,$C$19,I52,$H$5,$H$6)/1000</f>
        <v>11.14730651446046</v>
      </c>
      <c r="P52" s="1">
        <f>[2]!GLV_q_gas_vkr_sm3day($C$12,$C$17,$C$19,I52,$H$5,$H$6)</f>
        <v>11147.306514460461</v>
      </c>
      <c r="Q52" s="1">
        <f>[2]!GLV_q_gas_vkr_sm3day($C$12,$C$17,I52,$C$20,$H$5,$H$6)</f>
        <v>6522.065829898861</v>
      </c>
      <c r="R52" s="1">
        <f>IF(I52&gt;$C$40,Q52,0)</f>
        <v>0</v>
      </c>
      <c r="S52" s="1">
        <f>IF(I52&gt;$C$39,Q52,0)</f>
        <v>0</v>
      </c>
    </row>
    <row r="53" spans="9:19" x14ac:dyDescent="0.2">
      <c r="I53" s="1">
        <f t="shared" si="0"/>
        <v>43.352941176470594</v>
      </c>
      <c r="J53" s="1">
        <f>[2]!GLV_q_gas_vkr_sm3day($C$12,$C$17,$C$19,I53,$H$5,$H$6)/1000</f>
        <v>11.092966525985956</v>
      </c>
      <c r="P53" s="1">
        <f>[2]!GLV_q_gas_vkr_sm3day($C$12,$C$17,$C$19,I53,$H$5,$H$6)</f>
        <v>11092.966525985956</v>
      </c>
      <c r="Q53" s="1">
        <f>[2]!GLV_q_gas_vkr_sm3day($C$12,$C$17,I53,$C$20,$H$5,$H$6)</f>
        <v>6741.6003522420633</v>
      </c>
      <c r="R53" s="1">
        <f>IF(I53&gt;$C$40,Q53,0)</f>
        <v>0</v>
      </c>
      <c r="S53" s="1">
        <f>IF(I53&gt;$C$39,Q53,0)</f>
        <v>0</v>
      </c>
    </row>
    <row r="54" spans="9:19" x14ac:dyDescent="0.2">
      <c r="I54" s="1">
        <f t="shared" si="0"/>
        <v>44.764705882352949</v>
      </c>
      <c r="J54" s="1">
        <f>[2]!GLV_q_gas_vkr_sm3day($C$12,$C$17,$C$19,I54,$H$5,$H$6)/1000</f>
        <v>11.018047339003395</v>
      </c>
      <c r="P54" s="1">
        <f>[2]!GLV_q_gas_vkr_sm3day($C$12,$C$17,$C$19,I54,$H$5,$H$6)</f>
        <v>11018.047339003395</v>
      </c>
      <c r="Q54" s="1">
        <f>[2]!GLV_q_gas_vkr_sm3day($C$12,$C$17,I54,$C$20,$H$5,$H$6)</f>
        <v>6961.1437002358489</v>
      </c>
      <c r="R54" s="1">
        <f>IF(I54&gt;$C$40,Q54,0)</f>
        <v>0</v>
      </c>
      <c r="S54" s="1">
        <f>IF(I54&gt;$C$39,Q54,0)</f>
        <v>0</v>
      </c>
    </row>
    <row r="55" spans="9:19" x14ac:dyDescent="0.2">
      <c r="I55" s="1">
        <f t="shared" si="0"/>
        <v>46.176470588235304</v>
      </c>
      <c r="J55" s="1">
        <f>[2]!GLV_q_gas_vkr_sm3day($C$12,$C$17,$C$19,I55,$H$5,$H$6)/1000</f>
        <v>10.922039013985176</v>
      </c>
      <c r="P55" s="1">
        <f>[2]!GLV_q_gas_vkr_sm3day($C$12,$C$17,$C$19,I55,$H$5,$H$6)</f>
        <v>10922.039013985175</v>
      </c>
      <c r="Q55" s="1">
        <f>[2]!GLV_q_gas_vkr_sm3day($C$12,$C$17,I55,$C$20,$H$5,$H$6)</f>
        <v>7180.6786510101856</v>
      </c>
      <c r="R55" s="1">
        <f>IF(I55&gt;$C$40,Q55,0)</f>
        <v>0</v>
      </c>
      <c r="S55" s="1">
        <f>IF(I55&gt;$C$39,Q55,0)</f>
        <v>0</v>
      </c>
    </row>
    <row r="56" spans="9:19" x14ac:dyDescent="0.2">
      <c r="I56" s="1">
        <f t="shared" si="0"/>
        <v>47.588235294117659</v>
      </c>
      <c r="J56" s="1">
        <f>[2]!GLV_q_gas_vkr_sm3day($C$12,$C$17,$C$19,I56,$H$5,$H$6)/1000</f>
        <v>10.804298269102548</v>
      </c>
      <c r="P56" s="1">
        <f>[2]!GLV_q_gas_vkr_sm3day($C$12,$C$17,$C$19,I56,$H$5,$H$6)</f>
        <v>10804.298269102548</v>
      </c>
      <c r="Q56" s="1">
        <f>[2]!GLV_q_gas_vkr_sm3day($C$12,$C$17,I56,$C$20,$H$5,$H$6)</f>
        <v>7400.2034051524824</v>
      </c>
      <c r="R56" s="1">
        <f>IF(I56&gt;$C$40,Q56,0)</f>
        <v>0</v>
      </c>
      <c r="S56" s="1">
        <f>IF(I56&gt;$C$39,Q56,0)</f>
        <v>0</v>
      </c>
    </row>
    <row r="57" spans="9:19" x14ac:dyDescent="0.2">
      <c r="I57" s="1">
        <f t="shared" si="0"/>
        <v>49.000000000000014</v>
      </c>
      <c r="J57" s="1">
        <f>[2]!GLV_q_gas_vkr_sm3day($C$12,$C$17,$C$19,I57,$H$5,$H$6)/1000</f>
        <v>10.664029496431194</v>
      </c>
      <c r="P57" s="1">
        <f>[2]!GLV_q_gas_vkr_sm3day($C$12,$C$17,$C$19,I57,$H$5,$H$6)</f>
        <v>10664.029496431194</v>
      </c>
      <c r="Q57" s="1">
        <f>[2]!GLV_q_gas_vkr_sm3day($C$12,$C$17,I57,$C$20,$H$5,$H$6)</f>
        <v>7619.7452964911508</v>
      </c>
      <c r="R57" s="1">
        <f>IF(I57&gt;$C$40,Q57,0)</f>
        <v>0</v>
      </c>
      <c r="S57" s="1">
        <f>IF(I57&gt;$C$39,Q57,0)</f>
        <v>0</v>
      </c>
    </row>
    <row r="58" spans="9:19" x14ac:dyDescent="0.2">
      <c r="I58" s="1">
        <f t="shared" si="0"/>
        <v>50.411764705882369</v>
      </c>
      <c r="J58" s="1">
        <f>[2]!GLV_q_gas_vkr_sm3day($C$12,$C$17,$C$19,I58,$H$5,$H$6)/1000</f>
        <v>10.500225762101461</v>
      </c>
      <c r="P58" s="1">
        <f>[2]!GLV_q_gas_vkr_sm3day($C$12,$C$17,$C$19,I58,$H$5,$H$6)</f>
        <v>10500.225762101461</v>
      </c>
      <c r="Q58" s="1">
        <f>[2]!GLV_q_gas_vkr_sm3day($C$12,$C$17,I58,$C$20,$H$5,$H$6)</f>
        <v>7839.2763913927693</v>
      </c>
      <c r="R58" s="1">
        <f>IF(I58&gt;$C$40,Q58,0)</f>
        <v>0</v>
      </c>
      <c r="S58" s="1">
        <f>IF(I58&gt;$C$39,Q58,0)</f>
        <v>0</v>
      </c>
    </row>
    <row r="59" spans="9:19" x14ac:dyDescent="0.2">
      <c r="I59" s="1">
        <f t="shared" si="0"/>
        <v>51.823529411764724</v>
      </c>
      <c r="J59" s="1">
        <f>[2]!GLV_q_gas_vkr_sm3day($C$12,$C$17,$C$19,I59,$H$5,$H$6)/1000</f>
        <v>10.311738983747032</v>
      </c>
      <c r="P59" s="1">
        <f>[2]!GLV_q_gas_vkr_sm3day($C$12,$C$17,$C$19,I59,$H$5,$H$6)</f>
        <v>10311.738983747033</v>
      </c>
      <c r="Q59" s="1">
        <f>[2]!GLV_q_gas_vkr_sm3day($C$12,$C$17,I59,$C$20,$H$5,$H$6)</f>
        <v>8058.8115992221256</v>
      </c>
      <c r="R59" s="1">
        <f>IF(I59&gt;$C$40,Q59,0)</f>
        <v>0</v>
      </c>
      <c r="S59" s="1">
        <f>IF(I59&gt;$C$39,Q59,0)</f>
        <v>0</v>
      </c>
    </row>
    <row r="60" spans="9:19" x14ac:dyDescent="0.2">
      <c r="I60" s="1">
        <f t="shared" si="0"/>
        <v>53.235294117647079</v>
      </c>
      <c r="J60" s="1">
        <f>[2]!GLV_q_gas_vkr_sm3day($C$12,$C$17,$C$19,I60,$H$5,$H$6)/1000</f>
        <v>10.097096625577997</v>
      </c>
      <c r="P60" s="1">
        <f>[2]!GLV_q_gas_vkr_sm3day($C$12,$C$17,$C$19,I60,$H$5,$H$6)</f>
        <v>10097.096625577997</v>
      </c>
      <c r="Q60" s="1">
        <f>[2]!GLV_q_gas_vkr_sm3day($C$12,$C$17,I60,$C$20,$H$5,$H$6)</f>
        <v>8278.3594028929892</v>
      </c>
      <c r="R60" s="1">
        <f>IF(I60&gt;$C$40,Q60,0)</f>
        <v>0</v>
      </c>
      <c r="S60" s="1">
        <f>IF(I60&gt;$C$39,Q60,0)</f>
        <v>0</v>
      </c>
    </row>
    <row r="61" spans="9:19" x14ac:dyDescent="0.2">
      <c r="I61" s="1">
        <f t="shared" si="0"/>
        <v>54.647058823529434</v>
      </c>
      <c r="J61" s="1">
        <f>[2]!GLV_q_gas_vkr_sm3day($C$12,$C$17,$C$19,I61,$H$5,$H$6)/1000</f>
        <v>9.854571136524914</v>
      </c>
      <c r="P61" s="1">
        <f>[2]!GLV_q_gas_vkr_sm3day($C$12,$C$17,$C$19,I61,$H$5,$H$6)</f>
        <v>9854.5711365249135</v>
      </c>
      <c r="Q61" s="1">
        <f>[2]!GLV_q_gas_vkr_sm3day($C$12,$C$17,I61,$C$20,$H$5,$H$6)</f>
        <v>8497.9036077428736</v>
      </c>
      <c r="R61" s="1">
        <f>IF(I61&gt;$C$40,Q61,0)</f>
        <v>0</v>
      </c>
      <c r="S61" s="1">
        <f>IF(I61&gt;$C$39,Q61,0)</f>
        <v>0</v>
      </c>
    </row>
    <row r="62" spans="9:19" x14ac:dyDescent="0.2">
      <c r="I62" s="1">
        <f t="shared" si="0"/>
        <v>56.058823529411789</v>
      </c>
      <c r="J62" s="1">
        <f>[2]!GLV_q_gas_vkr_sm3day($C$12,$C$17,$C$19,I62,$H$5,$H$6)/1000</f>
        <v>9.5819785374867763</v>
      </c>
      <c r="P62" s="1">
        <f>[2]!GLV_q_gas_vkr_sm3day($C$12,$C$17,$C$19,I62,$H$5,$H$6)</f>
        <v>9581.978537486777</v>
      </c>
      <c r="Q62" s="1">
        <f>[2]!GLV_q_gas_vkr_sm3day($C$12,$C$17,I62,$C$20,$H$5,$H$6)</f>
        <v>8717.4257056280585</v>
      </c>
      <c r="R62" s="1">
        <f>IF(I62&gt;$C$40,Q62,0)</f>
        <v>0</v>
      </c>
      <c r="S62" s="1">
        <f>IF(I62&gt;$C$39,Q62,0)</f>
        <v>0</v>
      </c>
    </row>
    <row r="63" spans="9:19" x14ac:dyDescent="0.2">
      <c r="I63" s="1">
        <f t="shared" si="0"/>
        <v>57.470588235294144</v>
      </c>
      <c r="J63" s="1">
        <f>[2]!GLV_q_gas_vkr_sm3day($C$12,$C$17,$C$19,I63,$H$5,$H$6)/1000</f>
        <v>9.2766478074847178</v>
      </c>
      <c r="P63" s="1">
        <f>[2]!GLV_q_gas_vkr_sm3day($C$12,$C$17,$C$19,I63,$H$5,$H$6)</f>
        <v>9276.6478074847182</v>
      </c>
      <c r="Q63" s="1">
        <f>[2]!GLV_q_gas_vkr_sm3day($C$12,$C$17,I63,$C$20,$H$5,$H$6)</f>
        <v>8936.9659260882127</v>
      </c>
      <c r="R63" s="1">
        <f>IF(I63&gt;$C$40,Q63,0)</f>
        <v>0</v>
      </c>
      <c r="S63" s="1">
        <f>IF(I63&gt;$C$39,Q63,0)</f>
        <v>0</v>
      </c>
    </row>
    <row r="64" spans="9:19" x14ac:dyDescent="0.2">
      <c r="I64" s="1">
        <f t="shared" si="0"/>
        <v>58.882352941176499</v>
      </c>
      <c r="J64" s="1">
        <f>[2]!GLV_q_gas_vkr_sm3day($C$12,$C$17,$C$19,I64,$H$5,$H$6)/1000</f>
        <v>8.9352027938050682</v>
      </c>
      <c r="P64" s="1">
        <f>[2]!GLV_q_gas_vkr_sm3day($C$12,$C$17,$C$19,I64,$H$5,$H$6)</f>
        <v>8935.2027938050687</v>
      </c>
      <c r="Q64" s="1">
        <f>[2]!GLV_q_gas_vkr_sm3day($C$12,$C$17,I64,$C$20,$H$5,$H$6)</f>
        <v>9156.5046898861729</v>
      </c>
      <c r="R64" s="1">
        <f>IF(I64&gt;$C$40,Q64,0)</f>
        <v>0</v>
      </c>
      <c r="S64" s="1">
        <f>IF(I64&gt;$C$39,Q64,0)</f>
        <v>9156.5046898861729</v>
      </c>
    </row>
    <row r="65" spans="9:19" x14ac:dyDescent="0.2">
      <c r="I65" s="1">
        <f t="shared" si="0"/>
        <v>60.294117647058854</v>
      </c>
      <c r="J65" s="1">
        <f>[2]!GLV_q_gas_vkr_sm3day($C$12,$C$17,$C$19,I65,$H$5,$H$6)/1000</f>
        <v>8.5532691265259313</v>
      </c>
      <c r="P65" s="1">
        <f>[2]!GLV_q_gas_vkr_sm3day($C$12,$C$17,$C$19,I65,$H$5,$H$6)</f>
        <v>8553.2691265259309</v>
      </c>
      <c r="Q65" s="1">
        <f>[2]!GLV_q_gas_vkr_sm3day($C$12,$C$17,I65,$C$20,$H$5,$H$6)</f>
        <v>9376.0412258492488</v>
      </c>
      <c r="R65" s="1">
        <f>IF(I65&gt;$C$40,Q65,0)</f>
        <v>0</v>
      </c>
      <c r="S65" s="1">
        <f>IF(I65&gt;$C$39,Q65,0)</f>
        <v>9376.0412258492488</v>
      </c>
    </row>
    <row r="66" spans="9:19" x14ac:dyDescent="0.2">
      <c r="I66" s="1">
        <f t="shared" si="0"/>
        <v>61.705882352941209</v>
      </c>
      <c r="J66" s="1">
        <f>[2]!GLV_q_gas_vkr_sm3day($C$12,$C$17,$C$19,I66,$H$5,$H$6)/1000</f>
        <v>8.1251441803971218</v>
      </c>
      <c r="P66" s="1">
        <f>[2]!GLV_q_gas_vkr_sm3day($C$12,$C$17,$C$19,I66,$H$5,$H$6)</f>
        <v>8125.144180397122</v>
      </c>
      <c r="Q66" s="1">
        <f>[2]!GLV_q_gas_vkr_sm3day($C$12,$C$17,I66,$C$20,$H$5,$H$6)</f>
        <v>9595.5861590305249</v>
      </c>
      <c r="R66" s="1">
        <f>IF(I66&gt;$C$40,Q66,0)</f>
        <v>0</v>
      </c>
      <c r="S66" s="1">
        <f>IF(I66&gt;$C$39,Q66,0)</f>
        <v>9595.5861590305249</v>
      </c>
    </row>
    <row r="67" spans="9:19" x14ac:dyDescent="0.2">
      <c r="I67" s="1">
        <f t="shared" si="0"/>
        <v>63.117647058823565</v>
      </c>
      <c r="J67" s="1">
        <f>[2]!GLV_q_gas_vkr_sm3day($C$12,$C$17,$C$19,I67,$H$5,$H$6)/1000</f>
        <v>7.6430429902572721</v>
      </c>
      <c r="P67" s="1">
        <f>[2]!GLV_q_gas_vkr_sm3day($C$12,$C$17,$C$19,I67,$H$5,$H$6)</f>
        <v>7643.0429902572723</v>
      </c>
      <c r="Q67" s="1">
        <f>[2]!GLV_q_gas_vkr_sm3day($C$12,$C$17,I67,$C$20,$H$5,$H$6)</f>
        <v>9815.1133552300471</v>
      </c>
      <c r="R67" s="1">
        <f>IF(I67&gt;$C$40,Q67,0)</f>
        <v>0</v>
      </c>
      <c r="S67" s="1">
        <f>IF(I67&gt;$C$39,Q67,0)</f>
        <v>9815.1133552300471</v>
      </c>
    </row>
    <row r="68" spans="9:19" x14ac:dyDescent="0.2">
      <c r="I68" s="1">
        <f t="shared" si="0"/>
        <v>64.529411764705912</v>
      </c>
      <c r="J68" s="1">
        <f>[2]!GLV_q_gas_vkr_sm3day($C$12,$C$17,$C$19,I68,$H$5,$H$6)/1000</f>
        <v>7.0959426916811941</v>
      </c>
      <c r="P68" s="1">
        <f>[2]!GLV_q_gas_vkr_sm3day($C$12,$C$17,$C$19,I68,$H$5,$H$6)</f>
        <v>7095.9426916811944</v>
      </c>
      <c r="Q68" s="1">
        <f>[2]!GLV_q_gas_vkr_sm3day($C$12,$C$17,I68,$C$20,$H$5,$H$6)</f>
        <v>10034.649162862534</v>
      </c>
      <c r="R68" s="1">
        <f>IF(I68&gt;$C$40,Q68,0)</f>
        <v>0</v>
      </c>
      <c r="S68" s="1">
        <f>IF(I68&gt;$C$39,Q68,0)</f>
        <v>10034.649162862534</v>
      </c>
    </row>
    <row r="69" spans="9:19" x14ac:dyDescent="0.2">
      <c r="I69" s="1">
        <f t="shared" si="0"/>
        <v>65.94117647058826</v>
      </c>
      <c r="J69" s="1">
        <f>[2]!GLV_q_gas_vkr_sm3day($C$12,$C$17,$C$19,I69,$H$5,$H$6)/1000</f>
        <v>6.4673984341697555</v>
      </c>
      <c r="P69" s="1">
        <f>[2]!GLV_q_gas_vkr_sm3day($C$12,$C$17,$C$19,I69,$H$5,$H$6)</f>
        <v>6467.3984341697551</v>
      </c>
      <c r="Q69" s="1">
        <f>[2]!GLV_q_gas_vkr_sm3day($C$12,$C$17,I69,$C$20,$H$5,$H$6)</f>
        <v>10254.185913040383</v>
      </c>
      <c r="R69" s="1">
        <f>IF(I69&gt;$C$40,Q69,0)</f>
        <v>0</v>
      </c>
      <c r="S69" s="1">
        <f>IF(I69&gt;$C$39,Q69,0)</f>
        <v>10254.185913040383</v>
      </c>
    </row>
    <row r="70" spans="9:19" x14ac:dyDescent="0.2">
      <c r="I70" s="1">
        <f t="shared" si="0"/>
        <v>67.352941176470608</v>
      </c>
      <c r="J70" s="1">
        <f>[2]!GLV_q_gas_vkr_sm3day($C$12,$C$17,$C$19,I70,$H$5,$H$6)/1000</f>
        <v>5.7306618573157007</v>
      </c>
      <c r="P70" s="1">
        <f>[2]!GLV_q_gas_vkr_sm3day($C$12,$C$17,$C$19,I70,$H$5,$H$6)</f>
        <v>5730.6618573157002</v>
      </c>
      <c r="Q70" s="1">
        <f>[2]!GLV_q_gas_vkr_sm3day($C$12,$C$17,I70,$C$20,$H$5,$H$6)</f>
        <v>10473.720264011836</v>
      </c>
      <c r="R70" s="1">
        <f>IF(I70&gt;$C$40,Q70,0)</f>
        <v>0</v>
      </c>
      <c r="S70" s="1">
        <f>IF(I70&gt;$C$39,Q70,0)</f>
        <v>10473.720264011836</v>
      </c>
    </row>
    <row r="71" spans="9:19" x14ac:dyDescent="0.2">
      <c r="I71" s="1">
        <f t="shared" si="0"/>
        <v>68.764705882352956</v>
      </c>
      <c r="J71" s="1">
        <f>[2]!GLV_q_gas_vkr_sm3day($C$12,$C$17,$C$19,I71,$H$5,$H$6)/1000</f>
        <v>4.8365429229385315</v>
      </c>
      <c r="P71" s="1">
        <f>[2]!GLV_q_gas_vkr_sm3day($C$12,$C$17,$C$19,I71,$H$5,$H$6)</f>
        <v>4836.5429229385318</v>
      </c>
      <c r="Q71" s="1">
        <f>[2]!GLV_q_gas_vkr_sm3day($C$12,$C$17,I71,$C$20,$H$5,$H$6)</f>
        <v>10693.254914883239</v>
      </c>
      <c r="R71" s="1">
        <f>IF(I71&gt;$C$40,Q71,0)</f>
        <v>0</v>
      </c>
      <c r="S71" s="1">
        <f>IF(I71&gt;$C$39,Q71,0)</f>
        <v>10693.254914883239</v>
      </c>
    </row>
    <row r="72" spans="9:19" x14ac:dyDescent="0.2">
      <c r="I72" s="1">
        <f t="shared" si="0"/>
        <v>70.176470588235304</v>
      </c>
      <c r="J72" s="1">
        <f>[2]!GLV_q_gas_vkr_sm3day($C$12,$C$17,$C$19,I72,$H$5,$H$6)/1000</f>
        <v>3.6718505131263481</v>
      </c>
      <c r="P72" s="1">
        <f>[2]!GLV_q_gas_vkr_sm3day($C$12,$C$17,$C$19,I72,$H$5,$H$6)</f>
        <v>3671.8505131263482</v>
      </c>
      <c r="Q72" s="1">
        <f>[2]!GLV_q_gas_vkr_sm3day($C$12,$C$17,I72,$C$20,$H$5,$H$6)</f>
        <v>10912.800319342179</v>
      </c>
      <c r="R72" s="1">
        <f>IF(I72&gt;$C$40,Q72,0)</f>
        <v>0</v>
      </c>
      <c r="S72" s="1">
        <f>IF(I72&gt;$C$39,Q72,0)</f>
        <v>10912.800319342179</v>
      </c>
    </row>
    <row r="73" spans="9:19" x14ac:dyDescent="0.2">
      <c r="I73" s="1">
        <f t="shared" si="0"/>
        <v>71.588235294117652</v>
      </c>
      <c r="J73" s="1">
        <f>[2]!GLV_q_gas_vkr_sm3day($C$12,$C$17,$C$19,I73,$H$5,$H$6)/1000</f>
        <v>1.7639985232316968</v>
      </c>
      <c r="P73" s="1">
        <f>[2]!GLV_q_gas_vkr_sm3day($C$12,$C$17,$C$19,I73,$H$5,$H$6)</f>
        <v>1763.9985232316967</v>
      </c>
      <c r="Q73" s="1">
        <f>[2]!GLV_q_gas_vkr_sm3day($C$12,$C$17,I73,$C$20,$H$5,$H$6)</f>
        <v>11132.331542777469</v>
      </c>
      <c r="R73" s="1">
        <f>IF(I73&gt;$C$40,Q73,0)</f>
        <v>0</v>
      </c>
      <c r="S73" s="1">
        <f>IF(I73&gt;$C$39,Q73,0)</f>
        <v>11132.331542777469</v>
      </c>
    </row>
    <row r="74" spans="9:19" x14ac:dyDescent="0.2">
      <c r="I74" s="1">
        <f t="shared" si="0"/>
        <v>73</v>
      </c>
      <c r="J74" s="1">
        <f>[2]!GLV_q_gas_vkr_sm3day($C$12,$C$17,$C$19,I74,$H$5,$H$6)/1000</f>
        <v>0</v>
      </c>
      <c r="P74" s="1">
        <f>[2]!GLV_q_gas_vkr_sm3day($C$12,$C$17,$C$19,I74,$H$5,$H$6)</f>
        <v>0</v>
      </c>
      <c r="Q74" s="1">
        <f>[2]!GLV_q_gas_vkr_sm3day($C$12,$C$17,I74,$C$20,$H$5,$H$6)</f>
        <v>11351.861309548009</v>
      </c>
      <c r="R74" s="1">
        <f>IF(I74&gt;$C$40,Q74,0)</f>
        <v>0</v>
      </c>
      <c r="S74" s="1">
        <f>IF(I74&gt;$C$39,Q74,0)</f>
        <v>11351.861309548009</v>
      </c>
    </row>
    <row r="75" spans="9:19" x14ac:dyDescent="0.2">
      <c r="I75" s="1">
        <f t="shared" si="0"/>
        <v>74.411764705882348</v>
      </c>
      <c r="J75" s="1">
        <f>[2]!GLV_q_gas_vkr_sm3day($C$12,$C$17,$C$19,I75,$H$5,$H$6)/1000</f>
        <v>0</v>
      </c>
      <c r="P75" s="1">
        <f>[2]!GLV_q_gas_vkr_sm3day($C$12,$C$17,$C$19,I75,$H$5,$H$6)</f>
        <v>0</v>
      </c>
      <c r="Q75" s="1">
        <f>[2]!GLV_q_gas_vkr_sm3day($C$12,$C$17,I75,$C$20,$H$5,$H$6)</f>
        <v>11571.398231098181</v>
      </c>
      <c r="R75" s="1">
        <f>IF(I75&gt;$C$40,Q75,0)</f>
        <v>0</v>
      </c>
      <c r="S75" s="1">
        <f>IF(I75&gt;$C$39,Q75,0)</f>
        <v>11571.398231098181</v>
      </c>
    </row>
    <row r="76" spans="9:19" x14ac:dyDescent="0.2">
      <c r="I76" s="1">
        <f t="shared" si="0"/>
        <v>75.823529411764696</v>
      </c>
      <c r="J76" s="1">
        <f>[2]!GLV_q_gas_vkr_sm3day($C$12,$C$17,$C$19,I76,$H$5,$H$6)/1000</f>
        <v>0</v>
      </c>
      <c r="P76" s="1">
        <f>[2]!GLV_q_gas_vkr_sm3day($C$12,$C$17,$C$19,I76,$H$5,$H$6)</f>
        <v>0</v>
      </c>
      <c r="Q76" s="1">
        <f>[2]!GLV_q_gas_vkr_sm3day($C$12,$C$17,I76,$C$20,$H$5,$H$6)</f>
        <v>11790.946805938444</v>
      </c>
      <c r="R76" s="1">
        <f>IF(I76&gt;$C$40,Q76,0)</f>
        <v>11790.946805938444</v>
      </c>
      <c r="S76" s="1">
        <f>IF(I76&gt;$C$39,Q76,0)</f>
        <v>11790.946805938444</v>
      </c>
    </row>
    <row r="77" spans="9:19" x14ac:dyDescent="0.2">
      <c r="I77" s="1">
        <f t="shared" si="0"/>
        <v>77.235294117647044</v>
      </c>
      <c r="J77" s="1">
        <f>[2]!GLV_q_gas_vkr_sm3day($C$12,$C$17,$C$19,I77,$H$5,$H$6)/1000</f>
        <v>0</v>
      </c>
      <c r="P77" s="1">
        <f>[2]!GLV_q_gas_vkr_sm3day($C$12,$C$17,$C$19,I77,$H$5,$H$6)</f>
        <v>0</v>
      </c>
      <c r="Q77" s="1">
        <f>[2]!GLV_q_gas_vkr_sm3day($C$12,$C$17,I77,$C$20,$H$5,$H$6)</f>
        <v>12010.474773306974</v>
      </c>
      <c r="R77" s="1">
        <f>IF(I77&gt;$C$40,Q77,0)</f>
        <v>12010.474773306974</v>
      </c>
      <c r="S77" s="1">
        <f>IF(I77&gt;$C$39,Q77,0)</f>
        <v>12010.474773306974</v>
      </c>
    </row>
    <row r="78" spans="9:19" x14ac:dyDescent="0.2">
      <c r="I78" s="1">
        <f t="shared" si="0"/>
        <v>78.647058823529392</v>
      </c>
      <c r="J78" s="1">
        <f>[2]!GLV_q_gas_vkr_sm3day($C$12,$C$17,$C$19,I78,$H$5,$H$6)/1000</f>
        <v>0</v>
      </c>
      <c r="P78" s="1">
        <f>[2]!GLV_q_gas_vkr_sm3day($C$12,$C$17,$C$19,I78,$H$5,$H$6)</f>
        <v>0</v>
      </c>
      <c r="Q78" s="1">
        <f>[2]!GLV_q_gas_vkr_sm3day($C$12,$C$17,I78,$C$20,$H$5,$H$6)</f>
        <v>12230.009681236659</v>
      </c>
      <c r="R78" s="1">
        <f>IF(I78&gt;$C$40,Q78,0)</f>
        <v>12230.009681236659</v>
      </c>
      <c r="S78" s="1">
        <f>IF(I78&gt;$C$39,Q78,0)</f>
        <v>12230.009681236659</v>
      </c>
    </row>
    <row r="79" spans="9:19" x14ac:dyDescent="0.2">
      <c r="I79" s="1">
        <f t="shared" si="0"/>
        <v>80.05882352941174</v>
      </c>
      <c r="J79" s="1">
        <f>[2]!GLV_q_gas_vkr_sm3day($C$12,$C$17,$C$19,I79,$H$5,$H$6)/1000</f>
        <v>0</v>
      </c>
      <c r="P79" s="1">
        <f>[2]!GLV_q_gas_vkr_sm3day($C$12,$C$17,$C$19,I79,$H$5,$H$6)</f>
        <v>0</v>
      </c>
      <c r="Q79" s="1">
        <f>[2]!GLV_q_gas_vkr_sm3day($C$12,$C$17,I79,$C$20,$H$5,$H$6)</f>
        <v>12449.543689462704</v>
      </c>
      <c r="R79" s="1">
        <f>IF(I79&gt;$C$40,Q79,0)</f>
        <v>12449.543689462704</v>
      </c>
      <c r="S79" s="1">
        <f>IF(I79&gt;$C$39,Q79,0)</f>
        <v>12449.543689462704</v>
      </c>
    </row>
    <row r="80" spans="9:19" x14ac:dyDescent="0.2">
      <c r="I80" s="1">
        <f t="shared" si="0"/>
        <v>81.470588235294088</v>
      </c>
      <c r="J80" s="1">
        <f>[2]!GLV_q_gas_vkr_sm3day($C$12,$C$17,$C$19,I80,$H$5,$H$6)/1000</f>
        <v>0</v>
      </c>
      <c r="P80" s="1">
        <f>[2]!GLV_q_gas_vkr_sm3day($C$12,$C$17,$C$19,I80,$H$5,$H$6)</f>
        <v>0</v>
      </c>
      <c r="Q80" s="1">
        <f>[2]!GLV_q_gas_vkr_sm3day($C$12,$C$17,I80,$C$20,$H$5,$H$6)</f>
        <v>12669.082196203741</v>
      </c>
      <c r="R80" s="1">
        <f>IF(I80&gt;$C$40,Q80,0)</f>
        <v>12669.082196203741</v>
      </c>
      <c r="S80" s="1">
        <f>IF(I80&gt;$C$39,Q80,0)</f>
        <v>12669.082196203741</v>
      </c>
    </row>
    <row r="81" spans="9:19" x14ac:dyDescent="0.2">
      <c r="I81" s="1">
        <f t="shared" si="0"/>
        <v>82.882352941176435</v>
      </c>
      <c r="J81" s="1">
        <f>[2]!GLV_q_gas_vkr_sm3day($C$12,$C$17,$C$19,I81,$H$5,$H$6)/1000</f>
        <v>0</v>
      </c>
      <c r="P81" s="1">
        <f>[2]!GLV_q_gas_vkr_sm3day($C$12,$C$17,$C$19,I81,$H$5,$H$6)</f>
        <v>0</v>
      </c>
      <c r="Q81" s="1">
        <f>[2]!GLV_q_gas_vkr_sm3day($C$12,$C$17,I81,$C$20,$H$5,$H$6)</f>
        <v>12888.627857722164</v>
      </c>
      <c r="R81" s="1">
        <f>IF(I81&gt;$C$40,Q81,0)</f>
        <v>12888.627857722164</v>
      </c>
      <c r="S81" s="1">
        <f>IF(I81&gt;$C$39,Q81,0)</f>
        <v>12888.627857722164</v>
      </c>
    </row>
    <row r="82" spans="9:19" x14ac:dyDescent="0.2">
      <c r="I82" s="1">
        <f t="shared" si="0"/>
        <v>84.294117647058783</v>
      </c>
      <c r="J82" s="1">
        <f>[2]!GLV_q_gas_vkr_sm3day($C$12,$C$17,$C$19,I82,$H$5,$H$6)/1000</f>
        <v>0</v>
      </c>
      <c r="P82" s="1">
        <f>[2]!GLV_q_gas_vkr_sm3day($C$12,$C$17,$C$19,I82,$H$5,$H$6)</f>
        <v>0</v>
      </c>
      <c r="Q82" s="1">
        <f>[2]!GLV_q_gas_vkr_sm3day($C$12,$C$17,I82,$C$20,$H$5,$H$6)</f>
        <v>13108.162551437139</v>
      </c>
      <c r="R82" s="1">
        <f>IF(I82&gt;$C$40,Q82,0)</f>
        <v>13108.162551437139</v>
      </c>
      <c r="S82" s="1">
        <f>IF(I82&gt;$C$39,Q82,0)</f>
        <v>13108.162551437139</v>
      </c>
    </row>
    <row r="83" spans="9:19" x14ac:dyDescent="0.2">
      <c r="I83" s="1">
        <f t="shared" si="0"/>
        <v>85.705882352941131</v>
      </c>
      <c r="J83" s="1">
        <f>[2]!GLV_q_gas_vkr_sm3day($C$12,$C$17,$C$19,I83,$H$5,$H$6)/1000</f>
        <v>0</v>
      </c>
      <c r="P83" s="1">
        <f>[2]!GLV_q_gas_vkr_sm3day($C$12,$C$17,$C$19,I83,$H$5,$H$6)</f>
        <v>0</v>
      </c>
      <c r="Q83" s="1">
        <f>[2]!GLV_q_gas_vkr_sm3day($C$12,$C$17,I83,$C$20,$H$5,$H$6)</f>
        <v>13327.700801118897</v>
      </c>
      <c r="R83" s="1">
        <f>IF(I83&gt;$C$40,Q83,0)</f>
        <v>13327.700801118897</v>
      </c>
      <c r="S83" s="1">
        <f>IF(I83&gt;$C$39,Q83,0)</f>
        <v>13327.700801118897</v>
      </c>
    </row>
    <row r="84" spans="9:19" x14ac:dyDescent="0.2">
      <c r="I84" s="1">
        <f t="shared" si="0"/>
        <v>87.117647058823479</v>
      </c>
      <c r="J84" s="1">
        <f>[2]!GLV_q_gas_vkr_sm3day($C$12,$C$17,$C$19,I84,$H$5,$H$6)/1000</f>
        <v>0</v>
      </c>
      <c r="P84" s="1">
        <f>[2]!GLV_q_gas_vkr_sm3day($C$12,$C$17,$C$19,I84,$H$5,$H$6)</f>
        <v>0</v>
      </c>
      <c r="Q84" s="1">
        <f>[2]!GLV_q_gas_vkr_sm3day($C$12,$C$17,I84,$C$20,$H$5,$H$6)</f>
        <v>13547.237037181236</v>
      </c>
      <c r="R84" s="1">
        <f>IF(I84&gt;$C$40,Q84,0)</f>
        <v>13547.237037181236</v>
      </c>
      <c r="S84" s="1">
        <f>IF(I84&gt;$C$39,Q84,0)</f>
        <v>13547.237037181236</v>
      </c>
    </row>
    <row r="85" spans="9:19" x14ac:dyDescent="0.2">
      <c r="I85" s="1">
        <f t="shared" si="0"/>
        <v>88.529411764705827</v>
      </c>
      <c r="J85" s="1">
        <f>[2]!GLV_q_gas_vkr_sm3day($C$12,$C$17,$C$19,I85,$H$5,$H$6)/1000</f>
        <v>0</v>
      </c>
      <c r="P85" s="1">
        <f>[2]!GLV_q_gas_vkr_sm3day($C$12,$C$17,$C$19,I85,$H$5,$H$6)</f>
        <v>0</v>
      </c>
      <c r="Q85" s="1">
        <f>[2]!GLV_q_gas_vkr_sm3day($C$12,$C$17,I85,$C$20,$H$5,$H$6)</f>
        <v>13766.76294808471</v>
      </c>
      <c r="R85" s="1">
        <f>IF(I85&gt;$C$40,Q85,0)</f>
        <v>13766.76294808471</v>
      </c>
      <c r="S85" s="1">
        <f>IF(I85&gt;$C$39,Q85,0)</f>
        <v>13766.76294808471</v>
      </c>
    </row>
    <row r="86" spans="9:19" x14ac:dyDescent="0.2">
      <c r="I86" s="1">
        <f t="shared" si="0"/>
        <v>89.941176470588175</v>
      </c>
      <c r="J86" s="1">
        <f>[2]!GLV_q_gas_vkr_sm3day($C$12,$C$17,$C$19,I86,$H$5,$H$6)/1000</f>
        <v>0</v>
      </c>
      <c r="P86" s="1">
        <f>[2]!GLV_q_gas_vkr_sm3day($C$12,$C$17,$C$19,I86,$H$5,$H$6)</f>
        <v>0</v>
      </c>
      <c r="Q86" s="1">
        <f>[2]!GLV_q_gas_vkr_sm3day($C$12,$C$17,I86,$C$20,$H$5,$H$6)</f>
        <v>13986.306296083058</v>
      </c>
      <c r="R86" s="1">
        <f>IF(I86&gt;$C$40,Q86,0)</f>
        <v>13986.306296083058</v>
      </c>
      <c r="S86" s="1">
        <f>IF(I86&gt;$C$39,Q86,0)</f>
        <v>13986.306296083058</v>
      </c>
    </row>
    <row r="87" spans="9:19" x14ac:dyDescent="0.2">
      <c r="I87" s="1">
        <f t="shared" si="0"/>
        <v>91.352941176470523</v>
      </c>
      <c r="J87" s="1">
        <f>[2]!GLV_q_gas_vkr_sm3day($C$12,$C$17,$C$19,I87,$H$5,$H$6)/1000</f>
        <v>0</v>
      </c>
      <c r="P87" s="1">
        <f>[2]!GLV_q_gas_vkr_sm3day($C$12,$C$17,$C$19,I87,$H$5,$H$6)</f>
        <v>0</v>
      </c>
      <c r="Q87" s="1">
        <f>[2]!GLV_q_gas_vkr_sm3day($C$12,$C$17,I87,$C$20,$H$5,$H$6)</f>
        <v>14205.835591580784</v>
      </c>
      <c r="R87" s="1">
        <f>IF(I87&gt;$C$40,Q87,0)</f>
        <v>14205.835591580784</v>
      </c>
      <c r="S87" s="1">
        <f>IF(I87&gt;$C$39,Q87,0)</f>
        <v>14205.835591580784</v>
      </c>
    </row>
    <row r="88" spans="9:19" x14ac:dyDescent="0.2">
      <c r="I88" s="1">
        <f t="shared" si="0"/>
        <v>92.764705882352871</v>
      </c>
      <c r="J88" s="1">
        <f>[2]!GLV_q_gas_vkr_sm3day($C$12,$C$17,$C$19,I88,$H$5,$H$6)/1000</f>
        <v>0</v>
      </c>
      <c r="P88" s="1">
        <f>[2]!GLV_q_gas_vkr_sm3day($C$12,$C$17,$C$19,I88,$H$5,$H$6)</f>
        <v>0</v>
      </c>
      <c r="Q88" s="1">
        <f>[2]!GLV_q_gas_vkr_sm3day($C$12,$C$17,I88,$C$20,$H$5,$H$6)</f>
        <v>14425.375512140683</v>
      </c>
      <c r="R88" s="1">
        <f>IF(I88&gt;$C$40,Q88,0)</f>
        <v>14425.375512140683</v>
      </c>
      <c r="S88" s="1">
        <f>IF(I88&gt;$C$39,Q88,0)</f>
        <v>14425.375512140683</v>
      </c>
    </row>
    <row r="89" spans="9:19" x14ac:dyDescent="0.2">
      <c r="I89" s="1">
        <f t="shared" ref="I89:I99" si="1">I88+$I$21/51</f>
        <v>94.176470588235219</v>
      </c>
      <c r="J89" s="1">
        <f>[2]!GLV_q_gas_vkr_sm3day($C$12,$C$17,$C$19,I89,$H$5,$H$6)/1000</f>
        <v>0</v>
      </c>
      <c r="P89" s="1">
        <f>[2]!GLV_q_gas_vkr_sm3day($C$12,$C$17,$C$19,I89,$H$5,$H$6)</f>
        <v>0</v>
      </c>
      <c r="Q89" s="1">
        <f>[2]!GLV_q_gas_vkr_sm3day($C$12,$C$17,I89,$C$20,$H$5,$H$6)</f>
        <v>14644.909863111288</v>
      </c>
      <c r="R89" s="1">
        <f>IF(I89&gt;$C$40,Q89,0)</f>
        <v>14644.909863111288</v>
      </c>
      <c r="S89" s="1">
        <f>IF(I89&gt;$C$39,Q89,0)</f>
        <v>14644.909863111288</v>
      </c>
    </row>
    <row r="90" spans="9:19" x14ac:dyDescent="0.2">
      <c r="I90" s="1">
        <f t="shared" si="1"/>
        <v>95.588235294117567</v>
      </c>
      <c r="J90" s="1">
        <f>[2]!GLV_q_gas_vkr_sm3day($C$12,$C$17,$C$19,I90,$H$5,$H$6)/1000</f>
        <v>0</v>
      </c>
      <c r="P90" s="1">
        <f>[2]!GLV_q_gas_vkr_sm3day($C$12,$C$17,$C$19,I90,$H$5,$H$6)</f>
        <v>0</v>
      </c>
      <c r="Q90" s="1">
        <f>[2]!GLV_q_gas_vkr_sm3day($C$12,$C$17,I90,$C$20,$H$5,$H$6)</f>
        <v>14864.461265586309</v>
      </c>
      <c r="R90" s="1">
        <f>IF(I90&gt;$C$40,Q90,0)</f>
        <v>14864.461265586309</v>
      </c>
      <c r="S90" s="1">
        <f>IF(I90&gt;$C$39,Q90,0)</f>
        <v>14864.461265586309</v>
      </c>
    </row>
    <row r="91" spans="9:19" x14ac:dyDescent="0.2">
      <c r="I91" s="1">
        <f t="shared" si="1"/>
        <v>96.999999999999915</v>
      </c>
      <c r="J91" s="1">
        <f>[2]!GLV_q_gas_vkr_sm3day($C$12,$C$17,$C$19,I91,$H$5,$H$6)/1000</f>
        <v>0</v>
      </c>
      <c r="P91" s="1">
        <f>[2]!GLV_q_gas_vkr_sm3day($C$12,$C$17,$C$19,I91,$H$5,$H$6)</f>
        <v>0</v>
      </c>
      <c r="Q91" s="1">
        <f>[2]!GLV_q_gas_vkr_sm3day($C$12,$C$17,I91,$C$20,$H$5,$H$6)</f>
        <v>15083.98897589853</v>
      </c>
      <c r="R91" s="1">
        <f>IF(I91&gt;$C$40,Q91,0)</f>
        <v>15083.98897589853</v>
      </c>
      <c r="S91" s="1">
        <f>IF(I91&gt;$C$39,Q91,0)</f>
        <v>15083.98897589853</v>
      </c>
    </row>
    <row r="92" spans="9:19" x14ac:dyDescent="0.2">
      <c r="I92" s="1">
        <f t="shared" si="1"/>
        <v>98.411764705882263</v>
      </c>
      <c r="J92" s="1">
        <f>[2]!GLV_q_gas_vkr_sm3day($C$12,$C$17,$C$19,I92,$H$5,$H$6)/1000</f>
        <v>0</v>
      </c>
      <c r="P92" s="1">
        <f>[2]!GLV_q_gas_vkr_sm3day($C$12,$C$17,$C$19,I92,$H$5,$H$6)</f>
        <v>0</v>
      </c>
      <c r="Q92" s="1">
        <f>[2]!GLV_q_gas_vkr_sm3day($C$12,$C$17,I92,$C$20,$H$5,$H$6)</f>
        <v>15303.533994768944</v>
      </c>
      <c r="R92" s="1">
        <f>IF(I92&gt;$C$40,Q92,0)</f>
        <v>15303.533994768944</v>
      </c>
      <c r="S92" s="1">
        <f>IF(I92&gt;$C$39,Q92,0)</f>
        <v>15303.533994768944</v>
      </c>
    </row>
    <row r="93" spans="9:19" x14ac:dyDescent="0.2">
      <c r="I93" s="1">
        <f t="shared" si="1"/>
        <v>99.823529411764611</v>
      </c>
      <c r="J93" s="1">
        <f>[2]!GLV_q_gas_vkr_sm3day($C$12,$C$17,$C$19,I93,$H$5,$H$6)/1000</f>
        <v>0</v>
      </c>
      <c r="P93" s="1">
        <f>[2]!GLV_q_gas_vkr_sm3day($C$12,$C$17,$C$19,I93,$H$5,$H$6)</f>
        <v>0</v>
      </c>
      <c r="Q93" s="1">
        <f>[2]!GLV_q_gas_vkr_sm3day($C$12,$C$17,I93,$C$20,$H$5,$H$6)</f>
        <v>15523.073272681424</v>
      </c>
      <c r="R93" s="1">
        <f>IF(I93&gt;$C$40,Q93,0)</f>
        <v>15523.073272681424</v>
      </c>
      <c r="S93" s="1">
        <f>IF(I93&gt;$C$39,Q93,0)</f>
        <v>15523.073272681424</v>
      </c>
    </row>
    <row r="94" spans="9:19" x14ac:dyDescent="0.2">
      <c r="I94" s="1">
        <f t="shared" si="1"/>
        <v>101.23529411764696</v>
      </c>
      <c r="J94" s="1">
        <f>[2]!GLV_q_gas_vkr_sm3day($C$12,$C$17,$C$19,I94,$H$5,$H$6)/1000</f>
        <v>0</v>
      </c>
      <c r="P94" s="1">
        <f>[2]!GLV_q_gas_vkr_sm3day($C$12,$C$17,$C$19,I94,$H$5,$H$6)</f>
        <v>0</v>
      </c>
      <c r="Q94" s="1">
        <f>[2]!GLV_q_gas_vkr_sm3day($C$12,$C$17,I94,$C$20,$H$5,$H$6)</f>
        <v>15742.603167986241</v>
      </c>
      <c r="R94" s="1">
        <f>IF(I94&gt;$C$40,Q94,0)</f>
        <v>15742.603167986241</v>
      </c>
      <c r="S94" s="1">
        <f>IF(I94&gt;$C$39,Q94,0)</f>
        <v>15742.603167986241</v>
      </c>
    </row>
    <row r="95" spans="9:19" x14ac:dyDescent="0.2">
      <c r="I95" s="1">
        <f t="shared" si="1"/>
        <v>102.64705882352931</v>
      </c>
      <c r="J95" s="1">
        <f>[2]!GLV_q_gas_vkr_sm3day($C$12,$C$17,$C$19,I95,$H$5,$H$6)/1000</f>
        <v>0</v>
      </c>
      <c r="P95" s="1">
        <f>[2]!GLV_q_gas_vkr_sm3day($C$12,$C$17,$C$19,I95,$H$5,$H$6)</f>
        <v>0</v>
      </c>
      <c r="Q95" s="1">
        <f>[2]!GLV_q_gas_vkr_sm3day($C$12,$C$17,I95,$C$20,$H$5,$H$6)</f>
        <v>15962.141160610248</v>
      </c>
      <c r="R95" s="1">
        <f>IF(I95&gt;$C$40,Q95,0)</f>
        <v>15962.141160610248</v>
      </c>
      <c r="S95" s="1">
        <f>IF(I95&gt;$C$39,Q95,0)</f>
        <v>15962.141160610248</v>
      </c>
    </row>
    <row r="96" spans="9:19" x14ac:dyDescent="0.2">
      <c r="I96" s="1">
        <f t="shared" si="1"/>
        <v>104.05882352941165</v>
      </c>
      <c r="J96" s="1">
        <f>[2]!GLV_q_gas_vkr_sm3day($C$12,$C$17,$C$19,I96,$H$5,$H$6)/1000</f>
        <v>0</v>
      </c>
      <c r="P96" s="1">
        <f>[2]!GLV_q_gas_vkr_sm3day($C$12,$C$17,$C$19,I96,$H$5,$H$6)</f>
        <v>0</v>
      </c>
      <c r="Q96" s="1">
        <f>[2]!GLV_q_gas_vkr_sm3day($C$12,$C$17,I96,$C$20,$H$5,$H$6)</f>
        <v>16181.681895182715</v>
      </c>
      <c r="R96" s="1">
        <f>IF(I96&gt;$C$40,Q96,0)</f>
        <v>16181.681895182715</v>
      </c>
      <c r="S96" s="1">
        <f>IF(I96&gt;$C$39,Q96,0)</f>
        <v>16181.681895182715</v>
      </c>
    </row>
    <row r="97" spans="9:19" x14ac:dyDescent="0.2">
      <c r="I97" s="1">
        <f t="shared" si="1"/>
        <v>105.470588235294</v>
      </c>
      <c r="J97" s="1">
        <f>[2]!GLV_q_gas_vkr_sm3day($C$12,$C$17,$C$19,I97,$H$5,$H$6)/1000</f>
        <v>0</v>
      </c>
      <c r="P97" s="1">
        <f>[2]!GLV_q_gas_vkr_sm3day($C$12,$C$17,$C$19,I97,$H$5,$H$6)</f>
        <v>0</v>
      </c>
      <c r="Q97" s="1">
        <f>[2]!GLV_q_gas_vkr_sm3day($C$12,$C$17,I97,$C$20,$H$5,$H$6)</f>
        <v>16401.218645360688</v>
      </c>
      <c r="R97" s="1">
        <f>IF(I97&gt;$C$40,Q97,0)</f>
        <v>16401.218645360688</v>
      </c>
      <c r="S97" s="1">
        <f>IF(I97&gt;$C$39,Q97,0)</f>
        <v>16401.218645360688</v>
      </c>
    </row>
    <row r="98" spans="9:19" x14ac:dyDescent="0.2">
      <c r="I98" s="1">
        <f t="shared" si="1"/>
        <v>106.88235294117635</v>
      </c>
      <c r="J98" s="1">
        <f>[2]!GLV_q_gas_vkr_sm3day($C$12,$C$17,$C$19,I98,$H$5,$H$6)/1000</f>
        <v>0</v>
      </c>
      <c r="P98" s="1">
        <f>[2]!GLV_q_gas_vkr_sm3day($C$12,$C$17,$C$19,I98,$H$5,$H$6)</f>
        <v>0</v>
      </c>
      <c r="Q98" s="1">
        <f>[2]!GLV_q_gas_vkr_sm3day($C$12,$C$17,I98,$C$20,$H$5,$H$6)</f>
        <v>16620.743313822204</v>
      </c>
      <c r="R98" s="1">
        <f>IF(I98&gt;$C$40,Q98,0)</f>
        <v>16620.743313822204</v>
      </c>
      <c r="S98" s="1">
        <f>IF(I98&gt;$C$39,Q98,0)</f>
        <v>16620.743313822204</v>
      </c>
    </row>
    <row r="99" spans="9:19" x14ac:dyDescent="0.2">
      <c r="I99" s="1">
        <f t="shared" si="1"/>
        <v>108.2941176470587</v>
      </c>
      <c r="J99" s="1">
        <f>[2]!GLV_q_gas_vkr_sm3day($C$12,$C$17,$C$19,I99,$H$5,$H$6)/1000</f>
        <v>0</v>
      </c>
      <c r="P99" s="1">
        <f>[2]!GLV_q_gas_vkr_sm3day($C$12,$C$17,$C$19,I99,$H$5,$H$6)</f>
        <v>0</v>
      </c>
      <c r="Q99" s="1">
        <f>[2]!GLV_q_gas_vkr_sm3day($C$12,$C$17,I99,$C$20,$H$5,$H$6)</f>
        <v>16840.282227571068</v>
      </c>
      <c r="R99" s="1">
        <f>IF(I99&gt;$C$40,Q99,0)</f>
        <v>16840.282227571068</v>
      </c>
      <c r="S99" s="1">
        <f>IF(I99&gt;$C$39,Q99,0)</f>
        <v>16840.282227571068</v>
      </c>
    </row>
  </sheetData>
  <mergeCells count="12">
    <mergeCell ref="B4:E4"/>
    <mergeCell ref="C5:D5"/>
    <mergeCell ref="C6:D6"/>
    <mergeCell ref="C7:D7"/>
    <mergeCell ref="C8:D8"/>
    <mergeCell ref="C11:D11"/>
    <mergeCell ref="C12:D12"/>
    <mergeCell ref="C13:D13"/>
    <mergeCell ref="C16:D16"/>
    <mergeCell ref="C17:D17"/>
    <mergeCell ref="C19:D19"/>
    <mergeCell ref="C20:D20"/>
  </mergeCells>
  <conditionalFormatting sqref="C5:D5">
    <cfRule type="cellIs" dxfId="0" priority="1" stopIfTrue="1" operator="lessThanOrEqual">
      <formula>0</formula>
    </cfRule>
  </conditionalFormatting>
  <dataValidations disablePrompts="1" count="1">
    <dataValidation type="list" allowBlank="1" showInputMessage="1" showErrorMessage="1" sqref="C11:D11" xr:uid="{86E39E42-BBA8-4363-8AF7-56E7057E0992}">
      <formula1>$W$3:$W$7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A5A4-E67D-4B1F-BF9B-1163CDB51F7A}">
  <sheetPr codeName="Лист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Клапана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2019-08-04T05:21:01Z</dcterms:created>
  <dcterms:modified xsi:type="dcterms:W3CDTF">2019-08-04T08:38:38Z</dcterms:modified>
</cp:coreProperties>
</file>