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6C079873-CD45-4D8F-AA83-CAACA64A328F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_annular_pr">well!$C$37</definedName>
    <definedName name="Dcas_" localSheetId="0">well!$C$22</definedName>
    <definedName name="Dintake_" localSheetId="0">well!$C$26</definedName>
    <definedName name="Dtub_" localSheetId="0">well!$C$25</definedName>
    <definedName name="Dtub_out_" localSheetId="0">well!$C$23</definedName>
    <definedName name="ESPstr">well!$G$47</definedName>
    <definedName name="Freq_" localSheetId="0">well!$C$42</definedName>
    <definedName name="Freq1_" localSheetId="0">well!$D$99</definedName>
    <definedName name="fw_">well!$C$35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well!$C$41</definedName>
    <definedName name="Hmes_" localSheetId="0">well!$C$18</definedName>
    <definedName name="Hpump_" localSheetId="0">well!$C$21</definedName>
    <definedName name="k_split_liquid">well!$N$65</definedName>
    <definedName name="Kdegr_" localSheetId="0">well!$D$65</definedName>
    <definedName name="KsepGasSep_" localSheetId="0">well!$C$47</definedName>
    <definedName name="mu_">well!$C$15</definedName>
    <definedName name="N_" localSheetId="0">well!$C$57</definedName>
    <definedName name="NumStage_" localSheetId="0">well!$C$46</definedName>
    <definedName name="Pannular_">well!$C$27</definedName>
    <definedName name="Pb_" localSheetId="0">well!$C$12</definedName>
    <definedName name="Pbuf_" localSheetId="0">well!$C$28</definedName>
    <definedName name="Pdis_" localSheetId="0">well!$C$31</definedName>
    <definedName name="PI_" localSheetId="0">well!$C$53</definedName>
    <definedName name="Pintake_" localSheetId="0">well!$C$29</definedName>
    <definedName name="PKsep">well!$C$48</definedName>
    <definedName name="Pres_" localSheetId="0">well!$C$52</definedName>
    <definedName name="PumpID_" localSheetId="0">well!$C$43</definedName>
    <definedName name="PVT_str_">well!$G$44</definedName>
    <definedName name="PVT_str_annular_">well!$G$50</definedName>
    <definedName name="Pwf_" localSheetId="0">well!$C$33</definedName>
    <definedName name="Pwf1_" localSheetId="0">well!$D$97</definedName>
    <definedName name="Q_" localSheetId="0">well!$C$34</definedName>
    <definedName name="Q_annular_">well!$C$36</definedName>
    <definedName name="Q_ESP_" localSheetId="0">well!$C$40</definedName>
    <definedName name="Q_total_">well!$C$32</definedName>
    <definedName name="Qmax" localSheetId="0">well!$C$45</definedName>
    <definedName name="Qreal_" localSheetId="0">well!$D$98</definedName>
    <definedName name="Rp_" localSheetId="0">well!$C$11</definedName>
    <definedName name="Rsb_" localSheetId="0">well!$C$10</definedName>
    <definedName name="Tgrad" localSheetId="0">well!$C$54</definedName>
    <definedName name="theta_">well!$C$24</definedName>
    <definedName name="Tintake_" localSheetId="0">well!$C$30</definedName>
    <definedName name="TKsep">well!$C$49</definedName>
    <definedName name="Tres_" localSheetId="0">well!$C$13</definedName>
    <definedName name="Udl_" localSheetId="0">well!$C$20</definedName>
    <definedName name="wc_" localSheetId="0">well!$C$14</definedName>
  </definedNames>
  <calcPr calcId="191029" iterate="1" iterateCount="50" iterateDelta="0.0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6" i="107" l="1"/>
  <c r="R68" i="107"/>
  <c r="F93" i="107"/>
  <c r="C18" i="107"/>
  <c r="C21" i="107"/>
  <c r="C25" i="107"/>
  <c r="C36" i="107" l="1"/>
  <c r="C34" i="107"/>
  <c r="C37" i="107"/>
  <c r="G50" i="107"/>
  <c r="G1" i="107"/>
  <c r="C43" i="107"/>
  <c r="C44" i="107"/>
  <c r="C53" i="107"/>
  <c r="C45" i="107"/>
  <c r="G47" i="107"/>
  <c r="E13" i="107" l="1"/>
  <c r="E12" i="107"/>
  <c r="E11" i="107"/>
  <c r="E10" i="107"/>
  <c r="E9" i="107"/>
  <c r="E8" i="107"/>
  <c r="E7" i="107"/>
  <c r="D98" i="107"/>
  <c r="C46" i="107"/>
  <c r="L68" i="107" l="1"/>
  <c r="F123" i="107" l="1"/>
  <c r="D123" i="107"/>
  <c r="C104" i="107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C121" i="107" s="1"/>
  <c r="C122" i="107" s="1"/>
  <c r="C123" i="107" s="1"/>
  <c r="C69" i="107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C84" i="107" s="1"/>
  <c r="C85" i="107" s="1"/>
  <c r="C86" i="107" s="1"/>
  <c r="C87" i="107" s="1"/>
  <c r="C88" i="107" l="1"/>
  <c r="D122" i="107"/>
  <c r="C89" i="107" l="1"/>
  <c r="C90" i="107" s="1"/>
  <c r="C91" i="107" s="1"/>
  <c r="C92" i="107" s="1"/>
  <c r="C93" i="107" s="1"/>
  <c r="D93" i="107" s="1"/>
  <c r="D92" i="107" s="1"/>
  <c r="D91" i="107" s="1"/>
  <c r="D121" i="107"/>
  <c r="D90" i="107" l="1"/>
  <c r="D89" i="107"/>
  <c r="D120" i="107"/>
  <c r="D88" i="107" l="1"/>
  <c r="D87" i="107" s="1"/>
  <c r="D119" i="107"/>
  <c r="D86" i="107" l="1"/>
  <c r="D118" i="107"/>
  <c r="D85" i="107" l="1"/>
  <c r="D117" i="107"/>
  <c r="D116" i="107" s="1"/>
  <c r="D115" i="107" s="1"/>
  <c r="D114" i="107" s="1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84" i="107" l="1"/>
  <c r="D83" i="107" l="1"/>
  <c r="D82" i="107" l="1"/>
  <c r="C49" i="107"/>
  <c r="D81" i="107" l="1"/>
  <c r="C30" i="107"/>
  <c r="D80" i="107" l="1"/>
  <c r="D79" i="107" l="1"/>
  <c r="D78" i="107" l="1"/>
  <c r="D77" i="107" l="1"/>
  <c r="D76" i="107" l="1"/>
  <c r="D75" i="107" l="1"/>
  <c r="D74" i="107" l="1"/>
  <c r="D73" i="107" l="1"/>
  <c r="D72" i="107" l="1"/>
  <c r="D71" i="107" l="1"/>
  <c r="D70" i="107" l="1"/>
  <c r="D69" i="107" l="1"/>
  <c r="D68" i="107" l="1"/>
  <c r="C29" i="107"/>
  <c r="R69" i="107"/>
  <c r="R70" i="107" s="1"/>
  <c r="R71" i="107" s="1"/>
  <c r="R72" i="107" s="1"/>
  <c r="R73" i="107" s="1"/>
  <c r="R74" i="107" s="1"/>
  <c r="R75" i="107" s="1"/>
  <c r="R76" i="107" s="1"/>
  <c r="R77" i="107" s="1"/>
  <c r="R78" i="107" s="1"/>
  <c r="R79" i="107" s="1"/>
  <c r="R80" i="107" s="1"/>
  <c r="R81" i="107" s="1"/>
  <c r="R82" i="107" s="1"/>
  <c r="R83" i="107" s="1"/>
  <c r="R84" i="107" s="1"/>
  <c r="R85" i="107" s="1"/>
  <c r="R86" i="107" s="1"/>
  <c r="R87" i="107" s="1"/>
  <c r="R88" i="107" s="1"/>
  <c r="R89" i="107" s="1"/>
  <c r="R90" i="107" s="1"/>
  <c r="R91" i="107" s="1"/>
  <c r="G44" i="107"/>
  <c r="L69" i="107"/>
  <c r="L70" i="107"/>
  <c r="L71" i="107"/>
  <c r="L72" i="107"/>
  <c r="L73" i="107"/>
  <c r="L74" i="107"/>
  <c r="L75" i="107"/>
  <c r="L76" i="107"/>
  <c r="L77" i="107"/>
  <c r="L78" i="107"/>
  <c r="L79" i="107"/>
  <c r="L80" i="107"/>
  <c r="L81" i="107"/>
  <c r="L82" i="107"/>
  <c r="L83" i="107"/>
  <c r="L84" i="107"/>
  <c r="L85" i="107"/>
  <c r="L86" i="107"/>
  <c r="L87" i="107"/>
  <c r="L88" i="107"/>
  <c r="L89" i="107"/>
  <c r="L90" i="107"/>
  <c r="G91" i="107"/>
  <c r="H91" i="107"/>
  <c r="L91" i="107"/>
  <c r="O91" i="107"/>
  <c r="F92" i="107"/>
  <c r="F91" i="107" s="1"/>
  <c r="I92" i="107"/>
  <c r="I93" i="107"/>
  <c r="I91" i="107"/>
  <c r="F90" i="107"/>
  <c r="F89" i="107" s="1"/>
  <c r="F88" i="107" s="1"/>
  <c r="F87" i="107" s="1"/>
  <c r="F86" i="107" s="1"/>
  <c r="F85" i="107" s="1"/>
  <c r="F84" i="107" s="1"/>
  <c r="F83" i="107" s="1"/>
  <c r="F82" i="107"/>
  <c r="F81" i="107" s="1"/>
  <c r="F80" i="107" s="1"/>
  <c r="F79" i="107" s="1"/>
  <c r="F78" i="107" s="1"/>
  <c r="F77" i="107" s="1"/>
  <c r="F76" i="107" s="1"/>
  <c r="F75" i="107" s="1"/>
  <c r="F74" i="107" s="1"/>
  <c r="F73" i="107" s="1"/>
  <c r="F72" i="107" s="1"/>
  <c r="F71" i="107" s="1"/>
  <c r="F70" i="107" s="1"/>
  <c r="F69" i="107" s="1"/>
  <c r="F68" i="107" s="1"/>
  <c r="M91" i="107" l="1"/>
  <c r="P91" i="107"/>
  <c r="Q91" i="107"/>
  <c r="J91" i="107"/>
  <c r="Q90" i="107"/>
  <c r="K91" i="107"/>
  <c r="M90" i="107"/>
  <c r="J90" i="107"/>
  <c r="Q89" i="107"/>
  <c r="K90" i="107"/>
  <c r="M89" i="107"/>
  <c r="J89" i="107"/>
  <c r="Q88" i="107"/>
  <c r="K89" i="107"/>
  <c r="M88" i="107"/>
  <c r="J88" i="107"/>
  <c r="Q87" i="107"/>
  <c r="K88" i="107"/>
  <c r="M87" i="107"/>
  <c r="J87" i="107"/>
  <c r="Q86" i="107"/>
  <c r="K87" i="107"/>
  <c r="M86" i="107"/>
  <c r="J86" i="107"/>
  <c r="Q85" i="107"/>
  <c r="K86" i="107"/>
  <c r="M85" i="107"/>
  <c r="J85" i="107"/>
  <c r="Q84" i="107"/>
  <c r="K85" i="107"/>
  <c r="M84" i="107"/>
  <c r="J84" i="107"/>
  <c r="Q83" i="107"/>
  <c r="K84" i="107"/>
  <c r="M83" i="107"/>
  <c r="J83" i="107"/>
  <c r="Q82" i="107"/>
  <c r="K83" i="107"/>
  <c r="M82" i="107"/>
  <c r="J82" i="107"/>
  <c r="Q81" i="107"/>
  <c r="K82" i="107"/>
  <c r="M81" i="107"/>
  <c r="J81" i="107"/>
  <c r="Q80" i="107"/>
  <c r="K81" i="107"/>
  <c r="M80" i="107"/>
  <c r="J80" i="107"/>
  <c r="Q79" i="107"/>
  <c r="K80" i="107"/>
  <c r="M79" i="107"/>
  <c r="J79" i="107"/>
  <c r="Q78" i="107"/>
  <c r="K79" i="107"/>
  <c r="M78" i="107"/>
  <c r="J78" i="107"/>
  <c r="Q77" i="107"/>
  <c r="K78" i="107"/>
  <c r="M77" i="107"/>
  <c r="J77" i="107"/>
  <c r="Q76" i="107"/>
  <c r="K77" i="107"/>
  <c r="M76" i="107"/>
  <c r="J76" i="107"/>
  <c r="Q75" i="107"/>
  <c r="K76" i="107"/>
  <c r="M75" i="107"/>
  <c r="J75" i="107"/>
  <c r="Q74" i="107"/>
  <c r="K75" i="107"/>
  <c r="M74" i="107"/>
  <c r="J74" i="107"/>
  <c r="Q73" i="107"/>
  <c r="K74" i="107"/>
  <c r="M73" i="107"/>
  <c r="J73" i="107"/>
  <c r="Q72" i="107"/>
  <c r="K73" i="107"/>
  <c r="M72" i="107"/>
  <c r="J72" i="107"/>
  <c r="Q71" i="107"/>
  <c r="K72" i="107"/>
  <c r="M71" i="107"/>
  <c r="J71" i="107"/>
  <c r="Q70" i="107"/>
  <c r="K71" i="107"/>
  <c r="M70" i="107"/>
  <c r="J70" i="107"/>
  <c r="Q69" i="107"/>
  <c r="K70" i="107"/>
  <c r="M69" i="107"/>
  <c r="J69" i="107"/>
  <c r="Q68" i="107"/>
  <c r="K69" i="107"/>
  <c r="M68" i="107"/>
  <c r="J68" i="107"/>
  <c r="K68" i="107"/>
  <c r="R66" i="107" l="1"/>
</calcChain>
</file>

<file path=xl/sharedStrings.xml><?xml version="1.0" encoding="utf-8"?>
<sst xmlns="http://schemas.openxmlformats.org/spreadsheetml/2006/main" count="132" uniqueCount="104">
  <si>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</si>
  <si>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</si>
  <si>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</si>
  <si>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</si>
  <si>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</si>
  <si>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</si>
  <si>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</si>
  <si>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</si>
  <si>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</si>
  <si>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</si>
  <si>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</si>
  <si>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</si>
  <si>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</si>
  <si>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</si>
  <si>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</si>
  <si>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</si>
  <si>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</si>
  <si>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</si>
  <si>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</si>
  <si>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</si>
  <si>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</si>
  <si>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</si>
  <si>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</si>
  <si>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</si>
  <si>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</si>
  <si>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</si>
  <si>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</si>
  <si>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</si>
  <si>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</si>
  <si>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</si>
  <si>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</si>
  <si>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</si>
  <si>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</si>
  <si>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</si>
  <si>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</si>
  <si>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</si>
  <si>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</si>
  <si>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</si>
  <si>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</si>
  <si>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t>Расчет распределения давления в скважине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</si>
  <si>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</si>
  <si>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</si>
  <si>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</si>
  <si>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</si>
  <si>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</si>
  <si>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</si>
  <si>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</si>
  <si>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</si>
  <si>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</si>
  <si>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</si>
  <si>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</si>
  <si>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</si>
  <si>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</si>
  <si>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</si>
  <si>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</si>
  <si>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</si>
  <si>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</si>
  <si>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</si>
  <si>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</si>
  <si>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</si>
  <si>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</si>
  <si>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</si>
  <si>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</si>
  <si>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</si>
  <si>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</si>
  <si>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</si>
  <si>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</si>
  <si>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</si>
  <si>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</si>
  <si>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</si>
  <si>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</si>
  <si>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</si>
  <si>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</si>
  <si>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</si>
  <si>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</si>
  <si>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</si>
  <si>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</si>
  <si>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</si>
  <si>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</si>
  <si>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</si>
  <si>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</si>
  <si>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</si>
  <si>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</si>
  <si>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</si>
  <si>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</si>
  <si>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r>
      <t>Q</t>
    </r>
    <r>
      <rPr>
        <vertAlign val="subscript"/>
        <sz val="10"/>
        <rFont val="Arial Cyr"/>
        <charset val="204"/>
      </rPr>
      <t>liq annular</t>
    </r>
  </si>
  <si>
    <t>d_annular</t>
  </si>
  <si>
    <t>Давление в затрубе сверху вниз</t>
  </si>
  <si>
    <t>Давление в затрубе снизу вверх</t>
  </si>
  <si>
    <t>Давление в НКТ снизу вверх</t>
  </si>
  <si>
    <t>dP ESP по потоку</t>
  </si>
  <si>
    <t>dP ESP по напорной характеристике</t>
  </si>
  <si>
    <t>Qtotal</t>
  </si>
  <si>
    <t>Коэффициент деления жидкости - доля в НКТ</t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</si>
  <si>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-Hpump</t>
    </r>
  </si>
  <si>
    <t>Pannular</t>
  </si>
  <si>
    <t>Доля газа в НКТ</t>
  </si>
  <si>
    <t>Доля газа в затрубе</t>
  </si>
  <si>
    <t>Доля газа до приема</t>
  </si>
  <si>
    <t>PVT строка НКТ</t>
  </si>
  <si>
    <t>PVT строка ЭЦН</t>
  </si>
  <si>
    <t>P снизу вверх в ОК</t>
  </si>
  <si>
    <t>Ошибка Pбуф</t>
  </si>
  <si>
    <t>Ошибка Pзатр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</si>
</sst>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0" applyFont="1"/>
    <xf numFmtId="0" fontId="0" fillId="4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4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6" borderId="2" xfId="0" applyFill="1" applyBorder="1"/>
    <xf numFmtId="2" fontId="0" fillId="6" borderId="2" xfId="0" applyNumberForma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 wrapText="1"/>
    </xf>
    <xf numFmtId="9" fontId="0" fillId="6" borderId="4" xfId="5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 wrapText="1"/>
    </xf>
    <xf numFmtId="2" fontId="0" fillId="10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2" fontId="7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9" fontId="0" fillId="0" borderId="0" xfId="5" applyFont="1"/>
    <xf numFmtId="9" fontId="0" fillId="6" borderId="4" xfId="5" applyFont="1" applyFill="1" applyBorder="1"/>
    <xf numFmtId="9" fontId="0" fillId="0" borderId="0" xfId="5" applyFont="1" applyFill="1" applyBorder="1" applyAlignment="1">
      <alignment horizontal="center"/>
    </xf>
    <xf numFmtId="9" fontId="0" fillId="6" borderId="2" xfId="5" applyFont="1" applyFill="1" applyBorder="1"/>
    <xf numFmtId="9" fontId="0" fillId="6" borderId="2" xfId="5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4" xfId="0" applyNumberForma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0" fillId="10" borderId="2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well!$F$67</c:f>
              <c:strCache>
                <c:ptCount val="1"/>
                <c:pt idx="0">
                  <c:v>P снизу вверх в 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well!$F$68:$F$93</c:f>
              <c:numCache>
                <c:formatCode>0.00</c:formatCode>
                <c:ptCount val="26"/>
                <c:pt idx="0">
                  <c:v>5.3393064593970516</c:v>
                </c:pt>
                <c:pt idx="1">
                  <c:v>6.7392983362957732</c:v>
                </c:pt>
                <c:pt idx="2">
                  <c:v>8.2967272134675056</c:v>
                </c:pt>
                <c:pt idx="3">
                  <c:v>10.000688670184021</c:v>
                </c:pt>
                <c:pt idx="4">
                  <c:v>11.858509525145102</c:v>
                </c:pt>
                <c:pt idx="5">
                  <c:v>13.874767871831436</c:v>
                </c:pt>
                <c:pt idx="6">
                  <c:v>16.054334115455038</c:v>
                </c:pt>
                <c:pt idx="7">
                  <c:v>18.470435847449501</c:v>
                </c:pt>
                <c:pt idx="8">
                  <c:v>21.161528069203303</c:v>
                </c:pt>
                <c:pt idx="9">
                  <c:v>24.135391640418938</c:v>
                </c:pt>
                <c:pt idx="10">
                  <c:v>27.362480283859647</c:v>
                </c:pt>
                <c:pt idx="11">
                  <c:v>30.858093804742449</c:v>
                </c:pt>
                <c:pt idx="12">
                  <c:v>34.619582448018207</c:v>
                </c:pt>
                <c:pt idx="13">
                  <c:v>38.642739291082137</c:v>
                </c:pt>
                <c:pt idx="14">
                  <c:v>42.921807164085216</c:v>
                </c:pt>
                <c:pt idx="15">
                  <c:v>47.449619934817932</c:v>
                </c:pt>
                <c:pt idx="16">
                  <c:v>52.217777228711363</c:v>
                </c:pt>
                <c:pt idx="17">
                  <c:v>57.216790638228431</c:v>
                </c:pt>
                <c:pt idx="18">
                  <c:v>62.426743948314126</c:v>
                </c:pt>
                <c:pt idx="19">
                  <c:v>67.765000365817315</c:v>
                </c:pt>
                <c:pt idx="20">
                  <c:v>73.203339539897954</c:v>
                </c:pt>
                <c:pt idx="21">
                  <c:v>78.730374698994282</c:v>
                </c:pt>
                <c:pt idx="22">
                  <c:v>84.336365735828949</c:v>
                </c:pt>
                <c:pt idx="23">
                  <c:v>90.012947835693382</c:v>
                </c:pt>
                <c:pt idx="24">
                  <c:v>95.752907921750307</c:v>
                </c:pt>
                <c:pt idx="25" formatCode="General">
                  <c:v>101.55</c:v>
                </c:pt>
              </c:numCache>
            </c:numRef>
          </c:xVal>
          <c:yVal>
            <c:numRef>
              <c:f>well!$C$68:$C$93</c:f>
              <c:numCache>
                <c:formatCode>General</c:formatCode>
                <c:ptCount val="26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  <c:pt idx="21">
                  <c:v>1585.9199999999998</c:v>
                </c:pt>
                <c:pt idx="22">
                  <c:v>1661.4399999999998</c:v>
                </c:pt>
                <c:pt idx="23">
                  <c:v>1736.9599999999998</c:v>
                </c:pt>
                <c:pt idx="24">
                  <c:v>1812.4799999999998</c:v>
                </c:pt>
                <c:pt idx="25">
                  <c:v>1887.9999999999998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strRef>
              <c:f>well!$Q$67</c:f>
              <c:strCache>
                <c:ptCount val="1"/>
                <c:pt idx="0">
                  <c:v>Давление в затрубе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well!$Q$68:$Q$91</c:f>
              <c:numCache>
                <c:formatCode>0.00</c:formatCode>
                <c:ptCount val="24"/>
                <c:pt idx="0">
                  <c:v>52.65737430622481</c:v>
                </c:pt>
                <c:pt idx="1">
                  <c:v>54.114873109414077</c:v>
                </c:pt>
                <c:pt idx="2">
                  <c:v>55.585072142926819</c:v>
                </c:pt>
                <c:pt idx="3">
                  <c:v>57.06933968016191</c:v>
                </c:pt>
                <c:pt idx="4">
                  <c:v>58.568492791918572</c:v>
                </c:pt>
                <c:pt idx="5">
                  <c:v>60.083028961936847</c:v>
                </c:pt>
                <c:pt idx="6">
                  <c:v>61.613248042741503</c:v>
                </c:pt>
                <c:pt idx="7">
                  <c:v>63.159321140728018</c:v>
                </c:pt>
                <c:pt idx="8">
                  <c:v>64.721331755278115</c:v>
                </c:pt>
                <c:pt idx="9">
                  <c:v>66.299301487217193</c:v>
                </c:pt>
                <c:pt idx="10">
                  <c:v>67.893206721573932</c:v>
                </c:pt>
                <c:pt idx="11">
                  <c:v>69.502989805401981</c:v>
                </c:pt>
                <c:pt idx="12">
                  <c:v>71.128566747846563</c:v>
                </c:pt>
                <c:pt idx="13">
                  <c:v>72.769832656480276</c:v>
                </c:pt>
                <c:pt idx="14">
                  <c:v>74.426665661882907</c:v>
                </c:pt>
                <c:pt idx="15">
                  <c:v>76.098929810020806</c:v>
                </c:pt>
                <c:pt idx="16">
                  <c:v>77.786477236111153</c:v>
                </c:pt>
                <c:pt idx="17">
                  <c:v>79.489149829761843</c:v>
                </c:pt>
                <c:pt idx="18">
                  <c:v>81.206780534443908</c:v>
                </c:pt>
                <c:pt idx="19">
                  <c:v>82.939194380522281</c:v>
                </c:pt>
                <c:pt idx="20">
                  <c:v>84.686209321695443</c:v>
                </c:pt>
                <c:pt idx="21">
                  <c:v>86.447636924654788</c:v>
                </c:pt>
                <c:pt idx="22">
                  <c:v>88.223282947877337</c:v>
                </c:pt>
                <c:pt idx="23">
                  <c:v>90.012947835693382</c:v>
                </c:pt>
              </c:numCache>
            </c:numRef>
          </c:xVal>
          <c:yVal>
            <c:numRef>
              <c:f>well!$C$68:$C$93</c:f>
              <c:numCache>
                <c:formatCode>General</c:formatCode>
                <c:ptCount val="26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  <c:pt idx="21">
                  <c:v>1585.9199999999998</c:v>
                </c:pt>
                <c:pt idx="22">
                  <c:v>1661.4399999999998</c:v>
                </c:pt>
                <c:pt idx="23">
                  <c:v>1736.9599999999998</c:v>
                </c:pt>
                <c:pt idx="24">
                  <c:v>1812.4799999999998</c:v>
                </c:pt>
                <c:pt idx="25">
                  <c:v>1887.9999999999998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4"/>
          <c:order val="2"/>
          <c:tx>
            <c:strRef>
              <c:f>well!$M$67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well!$M$68:$M$91</c:f>
              <c:numCache>
                <c:formatCode>0.00</c:formatCode>
                <c:ptCount val="24"/>
                <c:pt idx="0">
                  <c:v>36.577710077539486</c:v>
                </c:pt>
                <c:pt idx="1">
                  <c:v>40.579388524205001</c:v>
                </c:pt>
                <c:pt idx="2">
                  <c:v>44.789374102308528</c:v>
                </c:pt>
                <c:pt idx="3">
                  <c:v>49.198812704115035</c:v>
                </c:pt>
                <c:pt idx="4">
                  <c:v>53.799132021723409</c:v>
                </c:pt>
                <c:pt idx="5">
                  <c:v>58.581220391191245</c:v>
                </c:pt>
                <c:pt idx="6">
                  <c:v>63.535710943398179</c:v>
                </c:pt>
                <c:pt idx="7">
                  <c:v>68.652254359901335</c:v>
                </c:pt>
                <c:pt idx="8">
                  <c:v>73.911073063387562</c:v>
                </c:pt>
                <c:pt idx="9">
                  <c:v>79.317520938934564</c:v>
                </c:pt>
                <c:pt idx="10">
                  <c:v>84.859317218567682</c:v>
                </c:pt>
                <c:pt idx="11">
                  <c:v>90.528442166674054</c:v>
                </c:pt>
                <c:pt idx="12">
                  <c:v>96.317504847455112</c:v>
                </c:pt>
                <c:pt idx="13">
                  <c:v>102.21961922187499</c:v>
                </c:pt>
                <c:pt idx="14">
                  <c:v>108.22842982902787</c:v>
                </c:pt>
                <c:pt idx="15">
                  <c:v>114.33812624613876</c:v>
                </c:pt>
                <c:pt idx="16">
                  <c:v>120.54344884428109</c:v>
                </c:pt>
                <c:pt idx="17">
                  <c:v>126.83969010382674</c:v>
                </c:pt>
                <c:pt idx="18">
                  <c:v>133.22270969560535</c:v>
                </c:pt>
                <c:pt idx="19">
                  <c:v>139.66722286524171</c:v>
                </c:pt>
                <c:pt idx="20">
                  <c:v>146.11645422890436</c:v>
                </c:pt>
                <c:pt idx="21">
                  <c:v>152.56799823476953</c:v>
                </c:pt>
                <c:pt idx="22">
                  <c:v>159.02155168569101</c:v>
                </c:pt>
                <c:pt idx="23">
                  <c:v>165.47684551001419</c:v>
                </c:pt>
              </c:numCache>
            </c:numRef>
          </c:xVal>
          <c:yVal>
            <c:numRef>
              <c:f>well!$C$68:$C$93</c:f>
              <c:numCache>
                <c:formatCode>General</c:formatCode>
                <c:ptCount val="26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  <c:pt idx="21">
                  <c:v>1585.9199999999998</c:v>
                </c:pt>
                <c:pt idx="22">
                  <c:v>1661.4399999999998</c:v>
                </c:pt>
                <c:pt idx="23">
                  <c:v>1736.9599999999998</c:v>
                </c:pt>
                <c:pt idx="24">
                  <c:v>1812.4799999999998</c:v>
                </c:pt>
                <c:pt idx="25">
                  <c:v>1887.9999999999998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42C9-8C6E-9835A19A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well!$F$103:$F$123</c:f>
              <c:numCache>
                <c:formatCode>0.00</c:formatCode>
                <c:ptCount val="21"/>
                <c:pt idx="20" formatCode="General">
                  <c:v>30</c:v>
                </c:pt>
              </c:numCache>
            </c:numRef>
          </c:xVal>
          <c:yVal>
            <c:numRef>
              <c:f>well!$C$103:$C$123</c:f>
              <c:numCache>
                <c:formatCode>General</c:formatCode>
                <c:ptCount val="21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well!$N$103:$N$123</c:f>
              <c:numCache>
                <c:formatCode>0.00</c:formatCode>
                <c:ptCount val="21"/>
              </c:numCache>
            </c:numRef>
          </c:xVal>
          <c:yVal>
            <c:numRef>
              <c:f>well!$C$103:$C$123</c:f>
              <c:numCache>
                <c:formatCode>General</c:formatCode>
                <c:ptCount val="21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well!$P$103:$P$123</c:f>
              <c:numCache>
                <c:formatCode>0.00</c:formatCode>
                <c:ptCount val="21"/>
              </c:numCache>
            </c:numRef>
          </c:xVal>
          <c:yVal>
            <c:numRef>
              <c:f>well!$C$103:$C$123</c:f>
              <c:numCache>
                <c:formatCode>General</c:formatCode>
                <c:ptCount val="21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</a:t>
            </a:r>
            <a:r>
              <a:rPr lang="ru-RU" baseline="0"/>
              <a:t> различных участках системы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well!$I$67</c:f>
              <c:strCache>
                <c:ptCount val="1"/>
                <c:pt idx="0">
                  <c:v>Доля газа до приема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well!$I$68:$I$93</c:f>
              <c:numCache>
                <c:formatCode>General</c:formatCode>
                <c:ptCount val="26"/>
                <c:pt idx="23" formatCode="0%">
                  <c:v>0.33110172730417675</c:v>
                </c:pt>
                <c:pt idx="24" formatCode="0%">
                  <c:v>0.29802166629876653</c:v>
                </c:pt>
                <c:pt idx="25" formatCode="0%">
                  <c:v>0.26546889937497586</c:v>
                </c:pt>
              </c:numCache>
            </c:numRef>
          </c:xVal>
          <c:yVal>
            <c:numRef>
              <c:f>well!$C$68:$C$93</c:f>
              <c:numCache>
                <c:formatCode>General</c:formatCode>
                <c:ptCount val="26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  <c:pt idx="21">
                  <c:v>1585.9199999999998</c:v>
                </c:pt>
                <c:pt idx="22">
                  <c:v>1661.4399999999998</c:v>
                </c:pt>
                <c:pt idx="23">
                  <c:v>1736.9599999999998</c:v>
                </c:pt>
                <c:pt idx="24">
                  <c:v>1812.4799999999998</c:v>
                </c:pt>
                <c:pt idx="25">
                  <c:v>1887.9999999999998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D-476F-BAAB-8BC4045DDA94}"/>
            </c:ext>
          </c:extLst>
        </c:ser>
        <c:ser>
          <c:idx val="0"/>
          <c:order val="1"/>
          <c:tx>
            <c:strRef>
              <c:f>well!$J$67</c:f>
              <c:strCache>
                <c:ptCount val="1"/>
                <c:pt idx="0">
                  <c:v>Доля газа в затрубе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well!$J$68:$J$91</c:f>
              <c:numCache>
                <c:formatCode>0%</c:formatCode>
                <c:ptCount val="24"/>
                <c:pt idx="0">
                  <c:v>0.50229413704823289</c:v>
                </c:pt>
                <c:pt idx="1">
                  <c:v>0.4941850418497914</c:v>
                </c:pt>
                <c:pt idx="2">
                  <c:v>0.48616254470641063</c:v>
                </c:pt>
                <c:pt idx="3">
                  <c:v>0.47821221171303918</c:v>
                </c:pt>
                <c:pt idx="4">
                  <c:v>0.47032541444197234</c:v>
                </c:pt>
                <c:pt idx="5">
                  <c:v>0.46249690070322397</c:v>
                </c:pt>
                <c:pt idx="6">
                  <c:v>0.45472351106136694</c:v>
                </c:pt>
                <c:pt idx="7">
                  <c:v>0.44700345043390494</c:v>
                </c:pt>
                <c:pt idx="8">
                  <c:v>0.43933585006413156</c:v>
                </c:pt>
                <c:pt idx="9">
                  <c:v>0.43172049102991317</c:v>
                </c:pt>
                <c:pt idx="10">
                  <c:v>0.42415762227257192</c:v>
                </c:pt>
                <c:pt idx="11">
                  <c:v>0.4166478363370093</c:v>
                </c:pt>
                <c:pt idx="12">
                  <c:v>0.40919198166857274</c:v>
                </c:pt>
                <c:pt idx="13">
                  <c:v>0.40179109883500724</c:v>
                </c:pt>
                <c:pt idx="14">
                  <c:v>0.39444637287971951</c:v>
                </c:pt>
                <c:pt idx="15">
                  <c:v>0.38715909685830718</c:v>
                </c:pt>
                <c:pt idx="16">
                  <c:v>0.37993064333618082</c:v>
                </c:pt>
                <c:pt idx="17">
                  <c:v>0.37276244169986689</c:v>
                </c:pt>
                <c:pt idx="18">
                  <c:v>0.3656559598194587</c:v>
                </c:pt>
                <c:pt idx="19">
                  <c:v>0.35861268904502897</c:v>
                </c:pt>
                <c:pt idx="20">
                  <c:v>0.351634131814684</c:v>
                </c:pt>
                <c:pt idx="21">
                  <c:v>0.34472179135037884</c:v>
                </c:pt>
                <c:pt idx="22">
                  <c:v>0.33787716305323628</c:v>
                </c:pt>
                <c:pt idx="23">
                  <c:v>0.88997413494303046</c:v>
                </c:pt>
              </c:numCache>
            </c:numRef>
          </c:xVal>
          <c:yVal>
            <c:numRef>
              <c:f>well!$C$68:$C$93</c:f>
              <c:numCache>
                <c:formatCode>General</c:formatCode>
                <c:ptCount val="26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  <c:pt idx="21">
                  <c:v>1585.9199999999998</c:v>
                </c:pt>
                <c:pt idx="22">
                  <c:v>1661.4399999999998</c:v>
                </c:pt>
                <c:pt idx="23">
                  <c:v>1736.9599999999998</c:v>
                </c:pt>
                <c:pt idx="24">
                  <c:v>1812.4799999999998</c:v>
                </c:pt>
                <c:pt idx="25">
                  <c:v>1887.9999999999998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D-476F-BAAB-8BC4045DDA94}"/>
            </c:ext>
          </c:extLst>
        </c:ser>
        <c:ser>
          <c:idx val="4"/>
          <c:order val="2"/>
          <c:tx>
            <c:strRef>
              <c:f>well!$K$67</c:f>
              <c:strCache>
                <c:ptCount val="1"/>
                <c:pt idx="0">
                  <c:v>Доля газа в НКТ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well!$K$68:$K$91</c:f>
              <c:numCache>
                <c:formatCode>0%</c:formatCode>
                <c:ptCount val="24"/>
                <c:pt idx="0">
                  <c:v>0.65283310406969208</c:v>
                </c:pt>
                <c:pt idx="1">
                  <c:v>0.61897642314752732</c:v>
                </c:pt>
                <c:pt idx="2">
                  <c:v>0.58413823753104355</c:v>
                </c:pt>
                <c:pt idx="3">
                  <c:v>0.54849595222159797</c:v>
                </c:pt>
                <c:pt idx="4">
                  <c:v>0.51221737150466795</c:v>
                </c:pt>
                <c:pt idx="5">
                  <c:v>0.47546722047595708</c:v>
                </c:pt>
                <c:pt idx="6">
                  <c:v>0.43840361562539271</c:v>
                </c:pt>
                <c:pt idx="7">
                  <c:v>0.40118309637495242</c:v>
                </c:pt>
                <c:pt idx="8">
                  <c:v>0.36402742003202399</c:v>
                </c:pt>
                <c:pt idx="9">
                  <c:v>0.32693867028879164</c:v>
                </c:pt>
                <c:pt idx="10">
                  <c:v>0.29005251006184557</c:v>
                </c:pt>
                <c:pt idx="11">
                  <c:v>0.25345436082246559</c:v>
                </c:pt>
                <c:pt idx="12">
                  <c:v>0.21720849824465949</c:v>
                </c:pt>
                <c:pt idx="13">
                  <c:v>0.18135826503330091</c:v>
                </c:pt>
                <c:pt idx="14">
                  <c:v>0.14592567773476281</c:v>
                </c:pt>
                <c:pt idx="15">
                  <c:v>0.11091181474991453</c:v>
                </c:pt>
                <c:pt idx="16">
                  <c:v>7.6297939676525997E-2</c:v>
                </c:pt>
                <c:pt idx="17">
                  <c:v>4.204721036881405E-2</c:v>
                </c:pt>
                <c:pt idx="18">
                  <c:v>8.1066731378731348E-3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well!$C$68:$C$93</c:f>
              <c:numCache>
                <c:formatCode>General</c:formatCode>
                <c:ptCount val="26"/>
                <c:pt idx="0">
                  <c:v>0</c:v>
                </c:pt>
                <c:pt idx="1">
                  <c:v>75.52</c:v>
                </c:pt>
                <c:pt idx="2">
                  <c:v>151.04</c:v>
                </c:pt>
                <c:pt idx="3">
                  <c:v>226.56</c:v>
                </c:pt>
                <c:pt idx="4">
                  <c:v>302.08</c:v>
                </c:pt>
                <c:pt idx="5">
                  <c:v>377.59999999999997</c:v>
                </c:pt>
                <c:pt idx="6">
                  <c:v>453.11999999999995</c:v>
                </c:pt>
                <c:pt idx="7">
                  <c:v>528.64</c:v>
                </c:pt>
                <c:pt idx="8">
                  <c:v>604.16</c:v>
                </c:pt>
                <c:pt idx="9">
                  <c:v>679.68</c:v>
                </c:pt>
                <c:pt idx="10">
                  <c:v>755.19999999999993</c:v>
                </c:pt>
                <c:pt idx="11">
                  <c:v>830.71999999999991</c:v>
                </c:pt>
                <c:pt idx="12">
                  <c:v>906.2399999999999</c:v>
                </c:pt>
                <c:pt idx="13">
                  <c:v>981.75999999999988</c:v>
                </c:pt>
                <c:pt idx="14">
                  <c:v>1057.28</c:v>
                </c:pt>
                <c:pt idx="15">
                  <c:v>1132.8</c:v>
                </c:pt>
                <c:pt idx="16">
                  <c:v>1208.32</c:v>
                </c:pt>
                <c:pt idx="17">
                  <c:v>1283.8399999999999</c:v>
                </c:pt>
                <c:pt idx="18">
                  <c:v>1359.36</c:v>
                </c:pt>
                <c:pt idx="19">
                  <c:v>1434.8799999999999</c:v>
                </c:pt>
                <c:pt idx="20">
                  <c:v>1510.3999999999999</c:v>
                </c:pt>
                <c:pt idx="21">
                  <c:v>1585.9199999999998</c:v>
                </c:pt>
                <c:pt idx="22">
                  <c:v>1661.4399999999998</c:v>
                </c:pt>
                <c:pt idx="23">
                  <c:v>1736.9599999999998</c:v>
                </c:pt>
                <c:pt idx="24">
                  <c:v>1812.4799999999998</c:v>
                </c:pt>
                <c:pt idx="25">
                  <c:v>1887.9999999999998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D-476F-BAAB-8BC4045D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382801</xdr:colOff>
      <xdr:row>61</xdr:row>
      <xdr:rowOff>149077</xdr:rowOff>
    </xdr:from>
    <xdr:to>
      <xdr:col>35</xdr:col>
      <xdr:colOff>287951</xdr:colOff>
      <xdr:row>99</xdr:row>
      <xdr:rowOff>90847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176893</xdr:colOff>
      <xdr:row>100</xdr:row>
      <xdr:rowOff>136071</xdr:rowOff>
    </xdr:from>
    <xdr:to>
      <xdr:col>23</xdr:col>
      <xdr:colOff>639535</xdr:colOff>
      <xdr:row>124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529678</xdr:colOff>
      <xdr:row>61</xdr:row>
      <xdr:rowOff>102256</xdr:rowOff>
    </xdr:from>
    <xdr:to>
      <xdr:col>41</xdr:col>
      <xdr:colOff>380000</xdr:colOff>
      <xdr:row>99</xdr:row>
      <xdr:rowOff>40624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15A341C-034A-4821-9250-305E0F3C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R196"/>
  <sheetViews>
    <sheetView tabSelected="1" topLeftCell="A62" zoomScale="85" zoomScaleNormal="85" workbookViewId="0">
      <selection activeCell="D97" sqref="D97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10" width="12.28515625" customWidth="1"/>
    <col min="12" max="12" width="14.140625" bestFit="1" customWidth="1"/>
    <col min="13" max="13" width="11.28515625" customWidth="1"/>
    <col min="14" max="14" width="10.140625" customWidth="1"/>
    <col min="15" max="15" width="11.5703125" bestFit="1" customWidth="1"/>
    <col min="17" max="17" width="14.42578125" bestFit="1" customWidth="1"/>
  </cols>
  <sheetData>
    <row r="1" spans="1:7" x14ac:dyDescent="0.2">
      <c r="A1" s="1" t="s">
        <v>37</v>
      </c>
      <c r="F1" t="s">
        <v>38</v>
      </c>
      <c r="G1" t="str">
        <f>[1]!getUFVersion()</f>
        <v>7.7</v>
      </c>
    </row>
    <row r="2" spans="1:7" x14ac:dyDescent="0.2">
      <c r="A2" t="s">
        <v>39</v>
      </c>
    </row>
    <row r="6" spans="1:7" x14ac:dyDescent="0.2">
      <c r="A6" s="1" t="s">
        <v>17</v>
      </c>
    </row>
    <row r="7" spans="1:7" ht="18.75" outlineLevel="1" x14ac:dyDescent="0.35">
      <c r="B7" s="17" t="s">
        <v>40</v>
      </c>
      <c r="C7" s="2">
        <v>0.84099999999999997</v>
      </c>
      <c r="D7" s="18"/>
      <c r="E7" s="19">
        <f>gamma_oil_*1000</f>
        <v>841</v>
      </c>
      <c r="F7" s="20" t="s">
        <v>41</v>
      </c>
    </row>
    <row r="8" spans="1:7" ht="18.75" outlineLevel="1" x14ac:dyDescent="0.35">
      <c r="B8" s="20" t="s">
        <v>42</v>
      </c>
      <c r="C8" s="2">
        <v>1.0049999999999999</v>
      </c>
      <c r="D8" s="18"/>
      <c r="E8" s="19">
        <f>gamma_wat_*1000</f>
        <v>1004.9999999999999</v>
      </c>
      <c r="F8" s="20" t="s">
        <v>41</v>
      </c>
    </row>
    <row r="9" spans="1:7" ht="18.75" outlineLevel="1" x14ac:dyDescent="0.35">
      <c r="B9" s="20" t="s">
        <v>43</v>
      </c>
      <c r="C9" s="2">
        <v>0.8</v>
      </c>
      <c r="D9" s="18"/>
      <c r="E9" s="19">
        <f>gamma_gas_*1.22</f>
        <v>0.97599999999999998</v>
      </c>
      <c r="F9" s="20" t="s">
        <v>41</v>
      </c>
    </row>
    <row r="10" spans="1:7" ht="18.75" outlineLevel="1" x14ac:dyDescent="0.35">
      <c r="B10" s="21" t="s">
        <v>44</v>
      </c>
      <c r="C10" s="2">
        <v>200</v>
      </c>
      <c r="D10" s="20" t="s">
        <v>45</v>
      </c>
      <c r="E10" s="22">
        <f>Rsb_/gamma_oil_</f>
        <v>237.81212841854935</v>
      </c>
      <c r="F10" s="20" t="s">
        <v>46</v>
      </c>
    </row>
    <row r="11" spans="1:7" ht="18.75" outlineLevel="1" x14ac:dyDescent="0.35">
      <c r="B11" s="21" t="s">
        <v>47</v>
      </c>
      <c r="C11" s="2">
        <v>862</v>
      </c>
      <c r="D11" s="20" t="s">
        <v>45</v>
      </c>
      <c r="E11" s="22">
        <f>Rsb_/gamma_oil_</f>
        <v>237.81212841854935</v>
      </c>
      <c r="F11" s="20" t="s">
        <v>46</v>
      </c>
    </row>
    <row r="12" spans="1:7" ht="18" outlineLevel="1" x14ac:dyDescent="0.35">
      <c r="B12" s="20" t="s">
        <v>48</v>
      </c>
      <c r="C12" s="2">
        <v>178</v>
      </c>
      <c r="D12" s="18" t="s">
        <v>49</v>
      </c>
      <c r="E12" s="22">
        <f>Pb_*1.01325</f>
        <v>180.35849999999999</v>
      </c>
      <c r="F12" s="18" t="s">
        <v>50</v>
      </c>
    </row>
    <row r="13" spans="1:7" ht="18" outlineLevel="1" x14ac:dyDescent="0.35">
      <c r="B13" s="20" t="s">
        <v>51</v>
      </c>
      <c r="C13" s="2">
        <v>60</v>
      </c>
      <c r="D13" s="18" t="s">
        <v>3</v>
      </c>
      <c r="E13" s="22">
        <f>Tres_*9/5+32</f>
        <v>140</v>
      </c>
      <c r="F13" s="18" t="s">
        <v>52</v>
      </c>
    </row>
    <row r="14" spans="1:7" ht="18.75" outlineLevel="1" x14ac:dyDescent="0.35">
      <c r="B14" s="21" t="s">
        <v>53</v>
      </c>
      <c r="C14" s="2">
        <v>1.149</v>
      </c>
      <c r="D14" s="20" t="s">
        <v>45</v>
      </c>
    </row>
    <row r="15" spans="1:7" ht="18" x14ac:dyDescent="0.35">
      <c r="B15" s="28" t="s">
        <v>81</v>
      </c>
      <c r="C15" s="2">
        <v>1.5</v>
      </c>
      <c r="D15" s="20" t="s">
        <v>82</v>
      </c>
    </row>
    <row r="16" spans="1:7" x14ac:dyDescent="0.2">
      <c r="B16" s="3"/>
      <c r="C16" s="4"/>
    </row>
    <row r="17" spans="1:5" outlineLevel="1" x14ac:dyDescent="0.2">
      <c r="A17" s="1" t="s">
        <v>18</v>
      </c>
      <c r="B17" s="3"/>
      <c r="C17" s="4"/>
    </row>
    <row r="18" spans="1:5" ht="15.75" outlineLevel="1" x14ac:dyDescent="0.3">
      <c r="B18" s="23" t="s">
        <v>54</v>
      </c>
      <c r="C18" s="2">
        <f>E18-E20</f>
        <v>1888</v>
      </c>
      <c r="D18" s="24" t="s">
        <v>5</v>
      </c>
      <c r="E18" s="2">
        <v>3361</v>
      </c>
    </row>
    <row r="19" spans="1:5" ht="15.75" outlineLevel="1" x14ac:dyDescent="0.3">
      <c r="B19" s="23" t="s">
        <v>94</v>
      </c>
      <c r="C19" s="2">
        <v>234</v>
      </c>
      <c r="D19" s="24" t="s">
        <v>5</v>
      </c>
      <c r="E19" s="2">
        <v>234</v>
      </c>
    </row>
    <row r="20" spans="1:5" ht="15.75" outlineLevel="1" x14ac:dyDescent="0.3">
      <c r="B20" s="23" t="s">
        <v>55</v>
      </c>
      <c r="C20" s="2">
        <v>1473</v>
      </c>
      <c r="D20" s="24" t="s">
        <v>5</v>
      </c>
      <c r="E20" s="2">
        <v>1473</v>
      </c>
    </row>
    <row r="21" spans="1:5" ht="15.75" outlineLevel="1" x14ac:dyDescent="0.3">
      <c r="B21" s="23" t="s">
        <v>56</v>
      </c>
      <c r="C21" s="2">
        <f>E21-C19</f>
        <v>1766</v>
      </c>
      <c r="D21" s="24" t="s">
        <v>5</v>
      </c>
      <c r="E21" s="2">
        <v>2000</v>
      </c>
    </row>
    <row r="22" spans="1:5" ht="15.75" outlineLevel="1" x14ac:dyDescent="0.3">
      <c r="B22" s="23" t="s">
        <v>57</v>
      </c>
      <c r="C22" s="2">
        <v>157</v>
      </c>
      <c r="D22" s="24" t="s">
        <v>6</v>
      </c>
    </row>
    <row r="23" spans="1:5" ht="15.75" outlineLevel="1" x14ac:dyDescent="0.3">
      <c r="B23" s="23" t="s">
        <v>58</v>
      </c>
      <c r="C23" s="2">
        <v>73</v>
      </c>
      <c r="D23" s="24" t="s">
        <v>6</v>
      </c>
    </row>
    <row r="24" spans="1:5" ht="15" outlineLevel="1" x14ac:dyDescent="0.25">
      <c r="B24" s="30" t="s">
        <v>83</v>
      </c>
      <c r="C24" s="2">
        <v>90</v>
      </c>
      <c r="D24" s="20" t="s">
        <v>84</v>
      </c>
    </row>
    <row r="25" spans="1:5" ht="15.75" outlineLevel="1" x14ac:dyDescent="0.3">
      <c r="B25" s="23" t="s">
        <v>59</v>
      </c>
      <c r="C25" s="2">
        <f>Dtub_out_-11</f>
        <v>62</v>
      </c>
      <c r="D25" s="24" t="s">
        <v>6</v>
      </c>
    </row>
    <row r="26" spans="1:5" ht="15.75" outlineLevel="1" x14ac:dyDescent="0.3">
      <c r="B26" s="23" t="s">
        <v>60</v>
      </c>
      <c r="C26" s="2">
        <v>100</v>
      </c>
      <c r="D26" s="24" t="s">
        <v>6</v>
      </c>
    </row>
    <row r="27" spans="1:5" outlineLevel="1" x14ac:dyDescent="0.2">
      <c r="B27" s="23" t="s">
        <v>95</v>
      </c>
      <c r="C27" s="2">
        <v>56</v>
      </c>
      <c r="D27" s="24" t="s">
        <v>2</v>
      </c>
    </row>
    <row r="28" spans="1:5" ht="15.75" outlineLevel="1" x14ac:dyDescent="0.3">
      <c r="B28" s="23" t="s">
        <v>61</v>
      </c>
      <c r="C28" s="2">
        <v>35</v>
      </c>
      <c r="D28" s="24" t="s">
        <v>2</v>
      </c>
    </row>
    <row r="29" spans="1:5" ht="15.75" outlineLevel="1" x14ac:dyDescent="0.3">
      <c r="B29" s="23" t="s">
        <v>62</v>
      </c>
      <c r="C29" s="2">
        <f>PKsep</f>
        <v>93</v>
      </c>
      <c r="D29" s="24" t="s">
        <v>2</v>
      </c>
      <c r="E29" s="29"/>
    </row>
    <row r="30" spans="1:5" ht="15.75" outlineLevel="1" x14ac:dyDescent="0.3">
      <c r="B30" s="23" t="s">
        <v>63</v>
      </c>
      <c r="C30" s="2">
        <f>TKsep</f>
        <v>33.984000000000002</v>
      </c>
      <c r="D30" s="24" t="s">
        <v>3</v>
      </c>
    </row>
    <row r="31" spans="1:5" ht="15.75" outlineLevel="1" x14ac:dyDescent="0.3">
      <c r="B31" s="23" t="s">
        <v>64</v>
      </c>
      <c r="C31" s="2">
        <v>150</v>
      </c>
      <c r="D31" s="24" t="s">
        <v>2</v>
      </c>
    </row>
    <row r="32" spans="1:5" outlineLevel="1" x14ac:dyDescent="0.2">
      <c r="B32" s="23" t="s">
        <v>92</v>
      </c>
      <c r="C32" s="2">
        <v>125</v>
      </c>
      <c r="D32" s="24" t="s">
        <v>7</v>
      </c>
    </row>
    <row r="33" spans="1:7" ht="15.75" outlineLevel="1" x14ac:dyDescent="0.3">
      <c r="B33" s="23" t="s">
        <v>65</v>
      </c>
      <c r="C33" s="2">
        <v>101.55</v>
      </c>
      <c r="D33" s="24" t="s">
        <v>2</v>
      </c>
    </row>
    <row r="34" spans="1:7" ht="15.75" x14ac:dyDescent="0.3">
      <c r="B34" s="23" t="s">
        <v>66</v>
      </c>
      <c r="C34" s="2">
        <f>Q_total_*k_split_liquid</f>
        <v>37.5</v>
      </c>
      <c r="D34" s="24" t="s">
        <v>7</v>
      </c>
    </row>
    <row r="35" spans="1:7" ht="15.75" x14ac:dyDescent="0.3">
      <c r="B35" s="23" t="s">
        <v>67</v>
      </c>
      <c r="C35" s="2">
        <v>5</v>
      </c>
      <c r="D35" s="24" t="s">
        <v>4</v>
      </c>
    </row>
    <row r="36" spans="1:7" ht="15.75" x14ac:dyDescent="0.3">
      <c r="B36" s="23" t="s">
        <v>85</v>
      </c>
      <c r="C36" s="2">
        <f>Q_total_*(1-k_split_liquid)</f>
        <v>87.5</v>
      </c>
      <c r="D36" s="24" t="s">
        <v>7</v>
      </c>
    </row>
    <row r="37" spans="1:7" x14ac:dyDescent="0.2">
      <c r="B37" s="23" t="s">
        <v>86</v>
      </c>
      <c r="C37" s="42">
        <f>Dcas_-Dtub_out_</f>
        <v>84</v>
      </c>
      <c r="D37" s="24"/>
    </row>
    <row r="38" spans="1:7" outlineLevel="1" x14ac:dyDescent="0.2"/>
    <row r="39" spans="1:7" outlineLevel="1" x14ac:dyDescent="0.2">
      <c r="A39" s="1" t="s">
        <v>19</v>
      </c>
    </row>
    <row r="40" spans="1:7" ht="15.75" outlineLevel="1" x14ac:dyDescent="0.3">
      <c r="B40" s="24" t="s">
        <v>68</v>
      </c>
      <c r="C40" s="2">
        <v>250</v>
      </c>
      <c r="D40" s="24" t="s">
        <v>7</v>
      </c>
    </row>
    <row r="41" spans="1:7" ht="15.75" outlineLevel="1" x14ac:dyDescent="0.3">
      <c r="B41" s="24" t="s">
        <v>69</v>
      </c>
      <c r="C41" s="2">
        <v>2147</v>
      </c>
      <c r="D41" s="24" t="s">
        <v>8</v>
      </c>
    </row>
    <row r="42" spans="1:7" outlineLevel="1" x14ac:dyDescent="0.2">
      <c r="B42" s="24" t="s">
        <v>70</v>
      </c>
      <c r="C42" s="2">
        <v>36</v>
      </c>
      <c r="D42" s="24" t="s">
        <v>9</v>
      </c>
    </row>
    <row r="43" spans="1:7" outlineLevel="1" x14ac:dyDescent="0.2">
      <c r="B43" s="24" t="s">
        <v>71</v>
      </c>
      <c r="C43" s="19">
        <f>[1]!ESP_id_by_rate(Q_ESP_)</f>
        <v>1033</v>
      </c>
      <c r="D43" s="24"/>
      <c r="G43" s="25" t="s">
        <v>99</v>
      </c>
    </row>
    <row r="44" spans="1:7" outlineLevel="1" x14ac:dyDescent="0.2">
      <c r="B44" s="24" t="s">
        <v>72</v>
      </c>
      <c r="C44" s="19" t="str">
        <f>[1]!ESP_name(C43)</f>
        <v>ЭЦН5А-320Э</v>
      </c>
      <c r="D44" s="24"/>
      <c r="G44" s="26" t="str">
        <f>[1]!PVT_encode_string(gamma_gas_,gamma_oil_,gamma_wat_,Rsb_,Rp_,Pb_,Tres_,Bob_,mu_,,KsepGasSep_,PKsep,TKsep)</f>
        <v>gamma_gas:0,800;gamma_oil:0,841;gamma_wat:1,005;rsb_m3m3:200,000;rp_m3m3:862,000;pb_atma:178,000;tres_C:60,000;bob_m3m3:1,149;muob_cP:1,500;PVTcorr:0;ksep_fr:0,950;pksep_atma:93,000;tksep_C:33,984;</v>
      </c>
    </row>
    <row r="45" spans="1:7" ht="15.75" outlineLevel="1" x14ac:dyDescent="0.3">
      <c r="B45" s="24" t="s">
        <v>73</v>
      </c>
      <c r="C45" s="19">
        <f>[1]!esp_max_rate_m3day(Freq_,PumpID_)*1</f>
        <v>396</v>
      </c>
      <c r="D45" s="24"/>
    </row>
    <row r="46" spans="1:7" x14ac:dyDescent="0.2">
      <c r="B46" s="24" t="s">
        <v>20</v>
      </c>
      <c r="C46" s="19">
        <f>INT(Head_ESP_/[1]!ESP_head_m(Q_ESP_,1,,PumpID_))</f>
        <v>399</v>
      </c>
      <c r="D46" s="24" t="s">
        <v>10</v>
      </c>
      <c r="G46" s="25" t="s">
        <v>74</v>
      </c>
    </row>
    <row r="47" spans="1:7" ht="15.75" x14ac:dyDescent="0.3">
      <c r="B47" s="24" t="s">
        <v>75</v>
      </c>
      <c r="C47" s="5">
        <v>0.95</v>
      </c>
      <c r="D47" s="24"/>
      <c r="G47" s="26" t="str">
        <f>[1]!ESP_Encode_string(PumpID_,Head_ESP_,Freq_)</f>
        <v>ESP_ID:1033,00000;HeadNom_m:2147,00000;ESPfreq_Hz:36,00000;ESP_U_V:1000,00000;MotorPowerNom_kW:30,00000;Tintake_C:85,00000;Tdis_C:85,00000;KsepGS_fr:0,00000;ESP_energy_fact_Whday:0,00000;ESP_cable_type:0;ESP_Hmes_m:0,00000;GasDegtType:0;Kdegr:0,00000;PKV_work_min:-1,00000;PKV_stop_min:-1,00000;</v>
      </c>
    </row>
    <row r="48" spans="1:7" ht="15.75" x14ac:dyDescent="0.3">
      <c r="B48" s="24" t="s">
        <v>76</v>
      </c>
      <c r="C48" s="43">
        <v>93</v>
      </c>
      <c r="D48" s="24" t="s">
        <v>2</v>
      </c>
      <c r="E48" s="43">
        <v>93</v>
      </c>
    </row>
    <row r="49" spans="1:7" ht="15.75" x14ac:dyDescent="0.3">
      <c r="B49" s="24" t="s">
        <v>77</v>
      </c>
      <c r="C49" s="8">
        <f>D83</f>
        <v>33.984000000000002</v>
      </c>
      <c r="D49" s="24" t="s">
        <v>3</v>
      </c>
      <c r="G49" s="25" t="s">
        <v>100</v>
      </c>
    </row>
    <row r="50" spans="1:7" x14ac:dyDescent="0.2">
      <c r="G50" s="26" t="str">
        <f>[1]!PVT_encode_string(gamma_gas_,gamma_oil_,gamma_wat_,Rsb_,Rp_,Pb_,Tres_,Bob_,mu_)</f>
        <v>gamma_gas:0,800;gamma_oil:0,841;gamma_wat:1,005;rsb_m3m3:200,000;rp_m3m3:862,000;pb_atma:178,000;tres_C:60,000;bob_m3m3:1,149;muob_cP:1,500;PVTcorr:0;ksep_fr:0,000;pksep_atma:-1,000;tksep_C:-1,000;</v>
      </c>
    </row>
    <row r="51" spans="1:7" x14ac:dyDescent="0.2">
      <c r="A51" s="1" t="s">
        <v>21</v>
      </c>
    </row>
    <row r="52" spans="1:7" ht="15.75" x14ac:dyDescent="0.3">
      <c r="B52" s="24" t="s">
        <v>78</v>
      </c>
      <c r="C52" s="2">
        <v>178</v>
      </c>
      <c r="D52" s="24" t="s">
        <v>2</v>
      </c>
    </row>
    <row r="53" spans="1:7" x14ac:dyDescent="0.2">
      <c r="B53" s="24" t="s">
        <v>79</v>
      </c>
      <c r="C53" s="27">
        <f>[1]!IPR_PI_sm3dayatm(Q_,Pwf_,Pres_,fw_,Pb_)</f>
        <v>0.60177863530670894</v>
      </c>
      <c r="D53" s="24" t="s">
        <v>11</v>
      </c>
    </row>
    <row r="54" spans="1:7" x14ac:dyDescent="0.2">
      <c r="B54" s="24" t="s">
        <v>80</v>
      </c>
      <c r="C54" s="2">
        <v>3</v>
      </c>
      <c r="D54" s="24" t="s">
        <v>12</v>
      </c>
    </row>
    <row r="55" spans="1:7" x14ac:dyDescent="0.2">
      <c r="B55" s="29"/>
      <c r="C55" s="29"/>
      <c r="D55" s="29"/>
    </row>
    <row r="57" spans="1:7" x14ac:dyDescent="0.2">
      <c r="B57" s="18" t="s">
        <v>13</v>
      </c>
      <c r="C57" s="2">
        <v>25</v>
      </c>
      <c r="D57" s="18"/>
    </row>
    <row r="61" spans="1:7" outlineLevel="1" x14ac:dyDescent="0.2"/>
    <row r="62" spans="1:7" x14ac:dyDescent="0.2">
      <c r="A62" t="s">
        <v>36</v>
      </c>
    </row>
    <row r="63" spans="1:7" outlineLevel="1" x14ac:dyDescent="0.2">
      <c r="A63" t="s">
        <v>25</v>
      </c>
    </row>
    <row r="64" spans="1:7" outlineLevel="1" x14ac:dyDescent="0.2"/>
    <row r="65" spans="3:18" outlineLevel="1" x14ac:dyDescent="0.2">
      <c r="C65" t="s">
        <v>26</v>
      </c>
      <c r="D65" s="9">
        <v>0.01</v>
      </c>
      <c r="J65" t="s">
        <v>93</v>
      </c>
      <c r="N65" s="54">
        <v>0.3</v>
      </c>
    </row>
    <row r="66" spans="3:18" outlineLevel="1" x14ac:dyDescent="0.2">
      <c r="L66" s="52" t="s">
        <v>102</v>
      </c>
      <c r="M66" s="49">
        <f>ABS((L68-M68)/L68)</f>
        <v>4.5077430786842447E-2</v>
      </c>
      <c r="N66" s="45"/>
      <c r="O66" s="45"/>
      <c r="P66" s="45"/>
      <c r="Q66" s="52" t="s">
        <v>103</v>
      </c>
      <c r="R66" s="49">
        <f t="shared" ref="N66:R66" si="0">ABS((Q68-R68)/Q68)</f>
        <v>6.34787764831648E-2</v>
      </c>
    </row>
    <row r="67" spans="3:18" ht="63.75" outlineLevel="1" x14ac:dyDescent="0.2">
      <c r="C67" s="32" t="s">
        <v>15</v>
      </c>
      <c r="D67" s="32" t="s">
        <v>14</v>
      </c>
      <c r="E67" s="11"/>
      <c r="F67" s="31" t="s">
        <v>101</v>
      </c>
      <c r="G67" s="31" t="s">
        <v>34</v>
      </c>
      <c r="H67" s="31" t="s">
        <v>23</v>
      </c>
      <c r="I67" s="36" t="s">
        <v>98</v>
      </c>
      <c r="J67" s="36" t="s">
        <v>97</v>
      </c>
      <c r="K67" s="36" t="s">
        <v>96</v>
      </c>
      <c r="L67" s="53" t="s">
        <v>27</v>
      </c>
      <c r="M67" s="53" t="s">
        <v>89</v>
      </c>
      <c r="N67" s="38" t="s">
        <v>26</v>
      </c>
      <c r="O67" s="31" t="s">
        <v>91</v>
      </c>
      <c r="P67" s="36" t="s">
        <v>90</v>
      </c>
      <c r="Q67" s="53" t="s">
        <v>88</v>
      </c>
      <c r="R67" s="53" t="s">
        <v>87</v>
      </c>
    </row>
    <row r="68" spans="3:18" outlineLevel="1" x14ac:dyDescent="0.2">
      <c r="C68" s="33">
        <v>0</v>
      </c>
      <c r="D68" s="33">
        <f t="shared" ref="D68:D93" si="1">D69-Tgrad*(C69-C68)/100</f>
        <v>5.3290705182007514E-15</v>
      </c>
      <c r="F68" s="27">
        <f>[1]!MF_p_pipe_atma(Q_,fw_,C69,C68,F69,PVT_str_,theta_,Dtub_,,D69,D68)</f>
        <v>5.3393064593970516</v>
      </c>
      <c r="J68" s="46">
        <f>[1]!MF_gas_fraction_d(Q68,D68,fw_,PVT_str_)</f>
        <v>0.50229413704823289</v>
      </c>
      <c r="K68" s="37">
        <f>[1]!MF_gas_fraction_d(M68,D68,fw_,PVT_str_)</f>
        <v>0.65283310406969208</v>
      </c>
      <c r="L68" s="39">
        <f>Pbuf_</f>
        <v>35</v>
      </c>
      <c r="M68" s="27">
        <f>[1]!MF_p_pipe_atma(Q_,fw_,C69,C68,M69,PVT_str_,theta_,Dtub_,1,D69,D68)</f>
        <v>36.577710077539486</v>
      </c>
      <c r="Q68" s="27">
        <f>[1]!MF_p_pipe_atma(Q_annular_,fw_,C69,C68,Q69,PVT_str_annular_,theta_,d_annular_pr,1,D69,D68)</f>
        <v>52.65737430622481</v>
      </c>
      <c r="R68" s="41">
        <f>Pannular_</f>
        <v>56</v>
      </c>
    </row>
    <row r="69" spans="3:18" outlineLevel="1" x14ac:dyDescent="0.2">
      <c r="C69" s="33">
        <f t="shared" ref="C69:C87" si="2">C68+Hmes_/N_</f>
        <v>75.52</v>
      </c>
      <c r="D69" s="33">
        <f t="shared" si="1"/>
        <v>2.2656000000000054</v>
      </c>
      <c r="F69" s="27">
        <f>[1]!MF_p_pipe_atma(Q_,fw_,C70,C69,F70,PVT_str_,theta_,Dtub_,,D70,D69)</f>
        <v>6.7392983362957732</v>
      </c>
      <c r="J69" s="46">
        <f>[1]!MF_gas_fraction_d(Q69,D69,fw_,PVT_str_)</f>
        <v>0.4941850418497914</v>
      </c>
      <c r="K69" s="37">
        <f>[1]!MF_gas_fraction_d(M69,D69,fw_,PVT_str_)</f>
        <v>0.61897642314752732</v>
      </c>
      <c r="L69" s="27">
        <f>[1]!MF_p_pipe_atma(Q_,fw_,C68,C69,L68,PVT_str_,theta_,Dtub_,1,D68,D69)</f>
        <v>38.903344053142149</v>
      </c>
      <c r="M69" s="27">
        <f>[1]!MF_p_pipe_atma(Q_,fw_,C70,C69,M70,PVT_str_,theta_,Dtub_,1,D70,D69)</f>
        <v>40.579388524205001</v>
      </c>
      <c r="Q69" s="27">
        <f>[1]!MF_p_pipe_atma(Q_annular_,fw_,C70,C69,Q70,PVT_str_annular_,theta_,d_annular_pr,1,D70,D69)</f>
        <v>54.114873109414077</v>
      </c>
      <c r="R69" s="27">
        <f>[1]!MF_p_pipe_atma(Q_annular_,fw_,C68,C69,R68,PVT_str_annular_,theta_,d_annular_pr,1,D68,D69)</f>
        <v>57.53850927604509</v>
      </c>
    </row>
    <row r="70" spans="3:18" outlineLevel="1" x14ac:dyDescent="0.2">
      <c r="C70" s="33">
        <f t="shared" si="2"/>
        <v>151.04</v>
      </c>
      <c r="D70" s="33">
        <f t="shared" si="1"/>
        <v>4.5312000000000054</v>
      </c>
      <c r="F70" s="27">
        <f>[1]!MF_p_pipe_atma(Q_,fw_,C71,C70,F71,PVT_str_,theta_,Dtub_,,D71,D70)</f>
        <v>8.2967272134675056</v>
      </c>
      <c r="J70" s="46">
        <f>[1]!MF_gas_fraction_d(Q70,D70,fw_,PVT_str_)</f>
        <v>0.48616254470641063</v>
      </c>
      <c r="K70" s="37">
        <f>[1]!MF_gas_fraction_d(M70,D70,fw_,PVT_str_)</f>
        <v>0.58413823753104355</v>
      </c>
      <c r="L70" s="27">
        <f>[1]!MF_p_pipe_atma(Q_,fw_,C69,C70,L69,PVT_str_,theta_,Dtub_,1,D69,D70)</f>
        <v>43.017426383643922</v>
      </c>
      <c r="M70" s="27">
        <f>[1]!MF_p_pipe_atma(Q_,fw_,C71,C70,M71,PVT_str_,theta_,Dtub_,1,D71,D70)</f>
        <v>44.789374102308528</v>
      </c>
      <c r="Q70" s="27">
        <f>[1]!MF_p_pipe_atma(Q_annular_,fw_,C71,C70,Q71,PVT_str_annular_,theta_,d_annular_pr,1,D71,D70)</f>
        <v>55.585072142926819</v>
      </c>
      <c r="R70" s="27">
        <f>[1]!MF_p_pipe_atma(Q_annular_,fw_,C69,C70,R69,PVT_str_annular_,theta_,d_annular_pr,1,D69,D70)</f>
        <v>59.090759053093933</v>
      </c>
    </row>
    <row r="71" spans="3:18" outlineLevel="1" x14ac:dyDescent="0.2">
      <c r="C71" s="33">
        <f t="shared" si="2"/>
        <v>226.56</v>
      </c>
      <c r="D71" s="33">
        <f t="shared" si="1"/>
        <v>6.7968000000000064</v>
      </c>
      <c r="F71" s="27">
        <f>[1]!MF_p_pipe_atma(Q_,fw_,C72,C71,F72,PVT_str_,theta_,Dtub_,,D72,D71)</f>
        <v>10.000688670184021</v>
      </c>
      <c r="J71" s="46">
        <f>[1]!MF_gas_fraction_d(Q71,D71,fw_,PVT_str_)</f>
        <v>0.47821221171303918</v>
      </c>
      <c r="K71" s="37">
        <f>[1]!MF_gas_fraction_d(M71,D71,fw_,PVT_str_)</f>
        <v>0.54849595222159797</v>
      </c>
      <c r="L71" s="27">
        <f>[1]!MF_p_pipe_atma(Q_,fw_,C70,C71,L70,PVT_str_,theta_,Dtub_,1,D70,D71)</f>
        <v>47.333531181329711</v>
      </c>
      <c r="M71" s="27">
        <f>[1]!MF_p_pipe_atma(Q_,fw_,C72,C71,M72,PVT_str_,theta_,Dtub_,1,D72,D71)</f>
        <v>49.198812704115035</v>
      </c>
      <c r="Q71" s="27">
        <f>[1]!MF_p_pipe_atma(Q_annular_,fw_,C72,C71,Q72,PVT_str_annular_,theta_,d_annular_pr,1,D72,D71)</f>
        <v>57.06933968016191</v>
      </c>
      <c r="R71" s="27">
        <f>[1]!MF_p_pipe_atma(Q_annular_,fw_,C70,C71,R70,PVT_str_annular_,theta_,d_annular_pr,1,D70,D71)</f>
        <v>60.657873366832156</v>
      </c>
    </row>
    <row r="72" spans="3:18" outlineLevel="1" x14ac:dyDescent="0.2">
      <c r="C72" s="33">
        <f t="shared" si="2"/>
        <v>302.08</v>
      </c>
      <c r="D72" s="33">
        <f t="shared" si="1"/>
        <v>9.0624000000000056</v>
      </c>
      <c r="F72" s="27">
        <f>[1]!MF_p_pipe_atma(Q_,fw_,C73,C72,F73,PVT_str_,theta_,Dtub_,,D73,D72)</f>
        <v>11.858509525145102</v>
      </c>
      <c r="J72" s="46">
        <f>[1]!MF_gas_fraction_d(Q72,D72,fw_,PVT_str_)</f>
        <v>0.47032541444197234</v>
      </c>
      <c r="K72" s="37">
        <f>[1]!MF_gas_fraction_d(M72,D72,fw_,PVT_str_)</f>
        <v>0.51221737150466795</v>
      </c>
      <c r="L72" s="27">
        <f>[1]!MF_p_pipe_atma(Q_,fw_,C71,C72,L71,PVT_str_,theta_,Dtub_,1,D71,D72)</f>
        <v>51.843439796531065</v>
      </c>
      <c r="M72" s="27">
        <f>[1]!MF_p_pipe_atma(Q_,fw_,C73,C72,M73,PVT_str_,theta_,Dtub_,1,D73,D72)</f>
        <v>53.799132021723409</v>
      </c>
      <c r="Q72" s="27">
        <f>[1]!MF_p_pipe_atma(Q_annular_,fw_,C73,C72,Q73,PVT_str_annular_,theta_,d_annular_pr,1,D73,D72)</f>
        <v>58.568492791918572</v>
      </c>
      <c r="R72" s="27">
        <f>[1]!MF_p_pipe_atma(Q_annular_,fw_,C71,C72,R71,PVT_str_annular_,theta_,d_annular_pr,1,D71,D72)</f>
        <v>62.240507253950597</v>
      </c>
    </row>
    <row r="73" spans="3:18" outlineLevel="1" x14ac:dyDescent="0.2">
      <c r="C73" s="33">
        <f t="shared" si="2"/>
        <v>377.59999999999997</v>
      </c>
      <c r="D73" s="33">
        <f t="shared" si="1"/>
        <v>11.328000000000005</v>
      </c>
      <c r="F73" s="27">
        <f>[1]!MF_p_pipe_atma(Q_,fw_,C74,C73,F74,PVT_str_,theta_,Dtub_,,D74,D73)</f>
        <v>13.874767871831436</v>
      </c>
      <c r="J73" s="46">
        <f>[1]!MF_gas_fraction_d(Q73,D73,fw_,PVT_str_)</f>
        <v>0.46249690070322397</v>
      </c>
      <c r="K73" s="37">
        <f>[1]!MF_gas_fraction_d(M73,D73,fw_,PVT_str_)</f>
        <v>0.47546722047595708</v>
      </c>
      <c r="L73" s="27">
        <f>[1]!MF_p_pipe_atma(Q_,fw_,C72,C73,L72,PVT_str_,theta_,Dtub_,1,D72,D73)</f>
        <v>56.538281363061039</v>
      </c>
      <c r="M73" s="27">
        <f>[1]!MF_p_pipe_atma(Q_,fw_,C74,C73,M74,PVT_str_,theta_,Dtub_,1,D74,D73)</f>
        <v>58.581220391191245</v>
      </c>
      <c r="Q73" s="27">
        <f>[1]!MF_p_pipe_atma(Q_annular_,fw_,C74,C73,Q74,PVT_str_annular_,theta_,d_annular_pr,1,D74,D73)</f>
        <v>60.083028961936847</v>
      </c>
      <c r="R73" s="27">
        <f>[1]!MF_p_pipe_atma(Q_annular_,fw_,C72,C73,R72,PVT_str_annular_,theta_,d_annular_pr,1,D72,D73)</f>
        <v>63.839042943779248</v>
      </c>
    </row>
    <row r="74" spans="3:18" outlineLevel="1" x14ac:dyDescent="0.2">
      <c r="C74" s="33">
        <f t="shared" si="2"/>
        <v>453.11999999999995</v>
      </c>
      <c r="D74" s="33">
        <f t="shared" si="1"/>
        <v>13.593600000000004</v>
      </c>
      <c r="F74" s="27">
        <f>[1]!MF_p_pipe_atma(Q_,fw_,C75,C74,F75,PVT_str_,theta_,Dtub_,,D75,D74)</f>
        <v>16.054334115455038</v>
      </c>
      <c r="J74" s="46">
        <f>[1]!MF_gas_fraction_d(Q74,D74,fw_,PVT_str_)</f>
        <v>0.45472351106136694</v>
      </c>
      <c r="K74" s="37">
        <f>[1]!MF_gas_fraction_d(M74,D74,fw_,PVT_str_)</f>
        <v>0.43840361562539271</v>
      </c>
      <c r="L74" s="27">
        <f>[1]!MF_p_pipe_atma(Q_,fw_,C73,C74,L73,PVT_str_,theta_,Dtub_,1,D73,D74)</f>
        <v>61.408840073912209</v>
      </c>
      <c r="M74" s="27">
        <f>[1]!MF_p_pipe_atma(Q_,fw_,C75,C74,M75,PVT_str_,theta_,Dtub_,1,D75,D74)</f>
        <v>63.535710943398179</v>
      </c>
      <c r="Q74" s="27">
        <f>[1]!MF_p_pipe_atma(Q_annular_,fw_,C75,C74,Q75,PVT_str_annular_,theta_,d_annular_pr,1,D75,D74)</f>
        <v>61.613248042741503</v>
      </c>
      <c r="R74" s="27">
        <f>[1]!MF_p_pipe_atma(Q_annular_,fw_,C73,C74,R73,PVT_str_annular_,theta_,d_annular_pr,1,D73,D74)</f>
        <v>65.453693680092002</v>
      </c>
    </row>
    <row r="75" spans="3:18" outlineLevel="1" x14ac:dyDescent="0.2">
      <c r="C75" s="33">
        <f t="shared" si="2"/>
        <v>528.64</v>
      </c>
      <c r="D75" s="33">
        <f t="shared" si="1"/>
        <v>15.859200000000005</v>
      </c>
      <c r="F75" s="27">
        <f>[1]!MF_p_pipe_atma(Q_,fw_,C76,C75,F76,PVT_str_,theta_,Dtub_,,D76,D75)</f>
        <v>18.470435847449501</v>
      </c>
      <c r="J75" s="46">
        <f>[1]!MF_gas_fraction_d(Q75,D75,fw_,PVT_str_)</f>
        <v>0.44700345043390494</v>
      </c>
      <c r="K75" s="37">
        <f>[1]!MF_gas_fraction_d(M75,D75,fw_,PVT_str_)</f>
        <v>0.40118309637495242</v>
      </c>
      <c r="L75" s="27">
        <f>[1]!MF_p_pipe_atma(Q_,fw_,C74,C75,L74,PVT_str_,theta_,Dtub_,1,D74,D75)</f>
        <v>66.445784979953501</v>
      </c>
      <c r="M75" s="27">
        <f>[1]!MF_p_pipe_atma(Q_,fw_,C76,C75,M76,PVT_str_,theta_,Dtub_,1,D76,D75)</f>
        <v>68.652254359901335</v>
      </c>
      <c r="Q75" s="27">
        <f>[1]!MF_p_pipe_atma(Q_annular_,fw_,C76,C75,Q76,PVT_str_annular_,theta_,d_annular_pr,1,D76,D75)</f>
        <v>63.159321140728018</v>
      </c>
      <c r="R75" s="27">
        <f>[1]!MF_p_pipe_atma(Q_annular_,fw_,C74,C75,R74,PVT_str_annular_,theta_,d_annular_pr,1,D74,D75)</f>
        <v>67.084562562025411</v>
      </c>
    </row>
    <row r="76" spans="3:18" outlineLevel="1" x14ac:dyDescent="0.2">
      <c r="C76" s="33">
        <f t="shared" si="2"/>
        <v>604.16</v>
      </c>
      <c r="D76" s="33">
        <f t="shared" si="1"/>
        <v>18.124800000000004</v>
      </c>
      <c r="F76" s="27">
        <f>[1]!MF_p_pipe_atma(Q_,fw_,C77,C76,F77,PVT_str_,theta_,Dtub_,,D77,D76)</f>
        <v>21.161528069203303</v>
      </c>
      <c r="J76" s="46">
        <f>[1]!MF_gas_fraction_d(Q76,D76,fw_,PVT_str_)</f>
        <v>0.43933585006413156</v>
      </c>
      <c r="K76" s="37">
        <f>[1]!MF_gas_fraction_d(M76,D76,fw_,PVT_str_)</f>
        <v>0.36402742003202399</v>
      </c>
      <c r="L76" s="27">
        <f>[1]!MF_p_pipe_atma(Q_,fw_,C75,C76,L75,PVT_str_,theta_,Dtub_,1,D75,D76)</f>
        <v>71.632059846291753</v>
      </c>
      <c r="M76" s="27">
        <f>[1]!MF_p_pipe_atma(Q_,fw_,C77,C76,M77,PVT_str_,theta_,Dtub_,1,D77,D76)</f>
        <v>73.911073063387562</v>
      </c>
      <c r="Q76" s="27">
        <f>[1]!MF_p_pipe_atma(Q_annular_,fw_,C77,C76,Q77,PVT_str_annular_,theta_,d_annular_pr,1,D77,D76)</f>
        <v>64.721331755278115</v>
      </c>
      <c r="R76" s="27">
        <f>[1]!MF_p_pipe_atma(Q_annular_,fw_,C75,C76,R75,PVT_str_annular_,theta_,d_annular_pr,1,D75,D76)</f>
        <v>68.731677752667693</v>
      </c>
    </row>
    <row r="77" spans="3:18" outlineLevel="1" x14ac:dyDescent="0.2">
      <c r="C77" s="33">
        <f t="shared" si="2"/>
        <v>679.68</v>
      </c>
      <c r="D77" s="33">
        <f t="shared" si="1"/>
        <v>20.390400000000003</v>
      </c>
      <c r="F77" s="27">
        <f>[1]!MF_p_pipe_atma(Q_,fw_,C78,C77,F78,PVT_str_,theta_,Dtub_,,D78,D77)</f>
        <v>24.135391640418938</v>
      </c>
      <c r="J77" s="46">
        <f>[1]!MF_gas_fraction_d(Q77,D77,fw_,PVT_str_)</f>
        <v>0.43172049102991317</v>
      </c>
      <c r="K77" s="37">
        <f>[1]!MF_gas_fraction_d(M77,D77,fw_,PVT_str_)</f>
        <v>0.32693867028879164</v>
      </c>
      <c r="L77" s="27">
        <f>[1]!MF_p_pipe_atma(Q_,fw_,C76,C77,L76,PVT_str_,theta_,Dtub_,1,D76,D77)</f>
        <v>76.963438544647985</v>
      </c>
      <c r="M77" s="27">
        <f>[1]!MF_p_pipe_atma(Q_,fw_,C78,C77,M78,PVT_str_,theta_,Dtub_,1,D78,D77)</f>
        <v>79.317520938934564</v>
      </c>
      <c r="Q77" s="27">
        <f>[1]!MF_p_pipe_atma(Q_annular_,fw_,C78,C77,Q78,PVT_str_annular_,theta_,d_annular_pr,1,D78,D77)</f>
        <v>66.299301487217193</v>
      </c>
      <c r="R77" s="27">
        <f>[1]!MF_p_pipe_atma(Q_annular_,fw_,C76,C77,R76,PVT_str_annular_,theta_,d_annular_pr,1,D76,D77)</f>
        <v>70.395014493630129</v>
      </c>
    </row>
    <row r="78" spans="3:18" outlineLevel="1" x14ac:dyDescent="0.2">
      <c r="C78" s="33">
        <f t="shared" si="2"/>
        <v>755.19999999999993</v>
      </c>
      <c r="D78" s="33">
        <f t="shared" si="1"/>
        <v>22.656000000000002</v>
      </c>
      <c r="F78" s="27">
        <f>[1]!MF_p_pipe_atma(Q_,fw_,C79,C78,F79,PVT_str_,theta_,Dtub_,,D79,D78)</f>
        <v>27.362480283859647</v>
      </c>
      <c r="J78" s="46">
        <f>[1]!MF_gas_fraction_d(Q78,D78,fw_,PVT_str_)</f>
        <v>0.42415762227257192</v>
      </c>
      <c r="K78" s="37">
        <f>[1]!MF_gas_fraction_d(M78,D78,fw_,PVT_str_)</f>
        <v>0.29005251006184557</v>
      </c>
      <c r="L78" s="27">
        <f>[1]!MF_p_pipe_atma(Q_,fw_,C77,C78,L77,PVT_str_,theta_,Dtub_,1,D77,D78)</f>
        <v>82.434764077068635</v>
      </c>
      <c r="M78" s="27">
        <f>[1]!MF_p_pipe_atma(Q_,fw_,C79,C78,M79,PVT_str_,theta_,Dtub_,1,D79,D78)</f>
        <v>84.859317218567682</v>
      </c>
      <c r="Q78" s="27">
        <f>[1]!MF_p_pipe_atma(Q_annular_,fw_,C79,C78,Q79,PVT_str_annular_,theta_,d_annular_pr,1,D79,D78)</f>
        <v>67.893206721573932</v>
      </c>
      <c r="R78" s="27">
        <f>[1]!MF_p_pipe_atma(Q_annular_,fw_,C77,C78,R77,PVT_str_annular_,theta_,d_annular_pr,1,D77,D78)</f>
        <v>72.074509379328731</v>
      </c>
    </row>
    <row r="79" spans="3:18" outlineLevel="1" x14ac:dyDescent="0.2">
      <c r="C79" s="33">
        <f t="shared" si="2"/>
        <v>830.71999999999991</v>
      </c>
      <c r="D79" s="33">
        <f t="shared" si="1"/>
        <v>24.921600000000002</v>
      </c>
      <c r="F79" s="27">
        <f>[1]!MF_p_pipe_atma(Q_,fw_,C80,C79,F80,PVT_str_,theta_,Dtub_,,D80,D79)</f>
        <v>30.858093804742449</v>
      </c>
      <c r="J79" s="46">
        <f>[1]!MF_gas_fraction_d(Q79,D79,fw_,PVT_str_)</f>
        <v>0.4166478363370093</v>
      </c>
      <c r="K79" s="37">
        <f>[1]!MF_gas_fraction_d(M79,D79,fw_,PVT_str_)</f>
        <v>0.25345436082246559</v>
      </c>
      <c r="L79" s="27">
        <f>[1]!MF_p_pipe_atma(Q_,fw_,C78,C79,L78,PVT_str_,theta_,Dtub_,1,D78,D79)</f>
        <v>88.036463436222832</v>
      </c>
      <c r="M79" s="27">
        <f>[1]!MF_p_pipe_atma(Q_,fw_,C80,C79,M80,PVT_str_,theta_,Dtub_,1,D80,D79)</f>
        <v>90.528442166674054</v>
      </c>
      <c r="Q79" s="27">
        <f>[1]!MF_p_pipe_atma(Q_annular_,fw_,C80,C79,Q80,PVT_str_annular_,theta_,d_annular_pr,1,D80,D79)</f>
        <v>69.502989805401981</v>
      </c>
      <c r="R79" s="27">
        <f>[1]!MF_p_pipe_atma(Q_annular_,fw_,C78,C79,R78,PVT_str_annular_,theta_,d_annular_pr,1,D78,D79)</f>
        <v>73.770069900704499</v>
      </c>
    </row>
    <row r="80" spans="3:18" outlineLevel="1" x14ac:dyDescent="0.2">
      <c r="C80" s="33">
        <f t="shared" si="2"/>
        <v>906.2399999999999</v>
      </c>
      <c r="D80" s="33">
        <f t="shared" si="1"/>
        <v>27.187200000000001</v>
      </c>
      <c r="F80" s="27">
        <f>[1]!MF_p_pipe_atma(Q_,fw_,C81,C80,F81,PVT_str_,theta_,Dtub_,,D81,D80)</f>
        <v>34.619582448018207</v>
      </c>
      <c r="J80" s="46">
        <f>[1]!MF_gas_fraction_d(Q80,D80,fw_,PVT_str_)</f>
        <v>0.40919198166857274</v>
      </c>
      <c r="K80" s="37">
        <f>[1]!MF_gas_fraction_d(M80,D80,fw_,PVT_str_)</f>
        <v>0.21720849824465949</v>
      </c>
      <c r="L80" s="27">
        <f>[1]!MF_p_pipe_atma(Q_,fw_,C79,C80,L79,PVT_str_,theta_,Dtub_,1,D79,D80)</f>
        <v>93.761042640641108</v>
      </c>
      <c r="M80" s="27">
        <f>[1]!MF_p_pipe_atma(Q_,fw_,C81,C80,M81,PVT_str_,theta_,Dtub_,1,D81,D80)</f>
        <v>96.317504847455112</v>
      </c>
      <c r="Q80" s="27">
        <f>[1]!MF_p_pipe_atma(Q_annular_,fw_,C81,C80,Q81,PVT_str_annular_,theta_,d_annular_pr,1,D81,D80)</f>
        <v>71.128566747846563</v>
      </c>
      <c r="R80" s="27">
        <f>[1]!MF_p_pipe_atma(Q_annular_,fw_,C79,C80,R79,PVT_str_annular_,theta_,d_annular_pr,1,D79,D80)</f>
        <v>75.481580997274605</v>
      </c>
    </row>
    <row r="81" spans="1:18" outlineLevel="1" x14ac:dyDescent="0.2">
      <c r="C81" s="33">
        <f t="shared" si="2"/>
        <v>981.75999999999988</v>
      </c>
      <c r="D81" s="33">
        <f t="shared" si="1"/>
        <v>29.4528</v>
      </c>
      <c r="F81" s="27">
        <f>[1]!MF_p_pipe_atma(Q_,fw_,C82,C81,F82,PVT_str_,theta_,Dtub_,,D82,D81)</f>
        <v>38.642739291082137</v>
      </c>
      <c r="J81" s="46">
        <f>[1]!MF_gas_fraction_d(Q81,D81,fw_,PVT_str_)</f>
        <v>0.40179109883500724</v>
      </c>
      <c r="K81" s="37">
        <f>[1]!MF_gas_fraction_d(M81,D81,fw_,PVT_str_)</f>
        <v>0.18135826503330091</v>
      </c>
      <c r="L81" s="27">
        <f>[1]!MF_p_pipe_atma(Q_,fw_,C80,C81,L80,PVT_str_,theta_,Dtub_,1,D80,D81)</f>
        <v>99.601494074172109</v>
      </c>
      <c r="M81" s="27">
        <f>[1]!MF_p_pipe_atma(Q_,fw_,C82,C81,M82,PVT_str_,theta_,Dtub_,1,D82,D81)</f>
        <v>102.21961922187499</v>
      </c>
      <c r="Q81" s="27">
        <f>[1]!MF_p_pipe_atma(Q_annular_,fw_,C82,C81,Q82,PVT_str_annular_,theta_,d_annular_pr,1,D82,D81)</f>
        <v>72.769832656480276</v>
      </c>
      <c r="R81" s="27">
        <f>[1]!MF_p_pipe_atma(Q_annular_,fw_,C80,C81,R80,PVT_str_annular_,theta_,d_annular_pr,1,D80,D81)</f>
        <v>77.208909661984109</v>
      </c>
    </row>
    <row r="82" spans="1:18" outlineLevel="1" x14ac:dyDescent="0.2">
      <c r="C82" s="33">
        <f t="shared" si="2"/>
        <v>1057.28</v>
      </c>
      <c r="D82" s="33">
        <f t="shared" si="1"/>
        <v>31.718400000000003</v>
      </c>
      <c r="F82" s="27">
        <f>[1]!MF_p_pipe_atma(Q_,fw_,C83,C82,F83,PVT_str_,theta_,Dtub_,,D83,D82)</f>
        <v>42.921807164085216</v>
      </c>
      <c r="J82" s="46">
        <f>[1]!MF_gas_fraction_d(Q82,D82,fw_,PVT_str_)</f>
        <v>0.39444637287971951</v>
      </c>
      <c r="K82" s="37">
        <f>[1]!MF_gas_fraction_d(M82,D82,fw_,PVT_str_)</f>
        <v>0.14592567773476281</v>
      </c>
      <c r="L82" s="27">
        <f>[1]!MF_p_pipe_atma(Q_,fw_,C81,C82,L81,PVT_str_,theta_,Dtub_,1,D81,D82)</f>
        <v>105.5513258422025</v>
      </c>
      <c r="M82" s="27">
        <f>[1]!MF_p_pipe_atma(Q_,fw_,C83,C82,M83,PVT_str_,theta_,Dtub_,1,D83,D82)</f>
        <v>108.22842982902787</v>
      </c>
      <c r="Q82" s="27">
        <f>[1]!MF_p_pipe_atma(Q_annular_,fw_,C83,C82,Q83,PVT_str_annular_,theta_,d_annular_pr,1,D83,D82)</f>
        <v>74.426665661882907</v>
      </c>
      <c r="R82" s="27">
        <f>[1]!MF_p_pipe_atma(Q_annular_,fw_,C81,C82,R81,PVT_str_annular_,theta_,d_annular_pr,1,D81,D82)</f>
        <v>78.951908247428449</v>
      </c>
    </row>
    <row r="83" spans="1:18" outlineLevel="1" x14ac:dyDescent="0.2">
      <c r="C83" s="33">
        <f t="shared" si="2"/>
        <v>1132.8</v>
      </c>
      <c r="D83" s="33">
        <f t="shared" si="1"/>
        <v>33.984000000000002</v>
      </c>
      <c r="F83" s="27">
        <f>[1]!MF_p_pipe_atma(Q_,fw_,C84,C83,F84,PVT_str_,theta_,Dtub_,,D84,D83)</f>
        <v>47.449619934817932</v>
      </c>
      <c r="J83" s="46">
        <f>[1]!MF_gas_fraction_d(Q83,D83,fw_,PVT_str_)</f>
        <v>0.38715909685830718</v>
      </c>
      <c r="K83" s="37">
        <f>[1]!MF_gas_fraction_d(M83,D83,fw_,PVT_str_)</f>
        <v>0.11091181474991453</v>
      </c>
      <c r="L83" s="27">
        <f>[1]!MF_p_pipe_atma(Q_,fw_,C82,C83,L82,PVT_str_,theta_,Dtub_,1,D82,D83)</f>
        <v>111.60457856347344</v>
      </c>
      <c r="M83" s="27">
        <f>[1]!MF_p_pipe_atma(Q_,fw_,C84,C83,M84,PVT_str_,theta_,Dtub_,1,D84,D83)</f>
        <v>114.33812624613876</v>
      </c>
      <c r="N83" s="44"/>
      <c r="Q83" s="27">
        <f>[1]!MF_p_pipe_atma(Q_annular_,fw_,C84,C83,Q84,PVT_str_annular_,theta_,d_annular_pr,1,D84,D83)</f>
        <v>76.098929810020806</v>
      </c>
      <c r="R83" s="27">
        <f>[1]!MF_p_pipe_atma(Q_annular_,fw_,C82,C83,R82,PVT_str_annular_,theta_,d_annular_pr,1,D82,D83)</f>
        <v>80.710416887874061</v>
      </c>
    </row>
    <row r="84" spans="1:18" outlineLevel="1" x14ac:dyDescent="0.2">
      <c r="C84" s="33">
        <f t="shared" si="2"/>
        <v>1208.32</v>
      </c>
      <c r="D84" s="33">
        <f t="shared" si="1"/>
        <v>36.249600000000001</v>
      </c>
      <c r="E84" s="6"/>
      <c r="F84" s="35">
        <f>[1]!MF_p_pipe_atma(Q_,fw_,C85,C84,F85,PVT_str_,theta_,Dtub_,,D85,D84)</f>
        <v>52.217777228711363</v>
      </c>
      <c r="J84" s="46">
        <f>[1]!MF_gas_fraction_d(Q84,D84,fw_,PVT_str_)</f>
        <v>0.37993064333618082</v>
      </c>
      <c r="K84" s="37">
        <f>[1]!MF_gas_fraction_d(M84,D84,fw_,PVT_str_)</f>
        <v>7.6297939676525997E-2</v>
      </c>
      <c r="L84" s="27">
        <f>[1]!MF_p_pipe_atma(Q_,fw_,C83,C84,L83,PVT_str_,theta_,Dtub_,1,D83,D84)</f>
        <v>117.75583267996277</v>
      </c>
      <c r="M84" s="27">
        <f>[1]!MF_p_pipe_atma(Q_,fw_,C85,C84,M85,PVT_str_,theta_,Dtub_,1,D85,D84)</f>
        <v>120.54344884428109</v>
      </c>
      <c r="Q84" s="27">
        <f>[1]!MF_p_pipe_atma(Q_annular_,fw_,C85,C84,Q85,PVT_str_annular_,theta_,d_annular_pr,1,D85,D84)</f>
        <v>77.786477236111153</v>
      </c>
      <c r="R84" s="27">
        <f>[1]!MF_p_pipe_atma(Q_annular_,fw_,C83,C84,R83,PVT_str_annular_,theta_,d_annular_pr,1,D83,D84)</f>
        <v>82.484265308521657</v>
      </c>
    </row>
    <row r="85" spans="1:18" outlineLevel="1" x14ac:dyDescent="0.2">
      <c r="C85" s="33">
        <f t="shared" si="2"/>
        <v>1283.8399999999999</v>
      </c>
      <c r="D85" s="33">
        <f t="shared" si="1"/>
        <v>38.5152</v>
      </c>
      <c r="E85" s="6"/>
      <c r="F85" s="27">
        <f>[1]!MF_p_pipe_atma(Q_,fw_,C86,C85,F86,PVT_str_,theta_,Dtub_,,D86,D85)</f>
        <v>57.216790638228431</v>
      </c>
      <c r="J85" s="46">
        <f>[1]!MF_gas_fraction_d(Q85,D85,fw_,PVT_str_)</f>
        <v>0.37276244169986689</v>
      </c>
      <c r="K85" s="37">
        <f>[1]!MF_gas_fraction_d(M85,D85,fw_,PVT_str_)</f>
        <v>4.204721036881405E-2</v>
      </c>
      <c r="L85" s="27">
        <f>[1]!MF_p_pipe_atma(Q_,fw_,C84,C85,L84,PVT_str_,theta_,Dtub_,1,D84,D85)</f>
        <v>124.00021105992616</v>
      </c>
      <c r="M85" s="27">
        <f>[1]!MF_p_pipe_atma(Q_,fw_,C86,C85,M86,PVT_str_,theta_,Dtub_,1,D86,D85)</f>
        <v>126.83969010382674</v>
      </c>
      <c r="Q85" s="27">
        <f>[1]!MF_p_pipe_atma(Q_annular_,fw_,C86,C85,Q86,PVT_str_annular_,theta_,d_annular_pr,1,D86,D85)</f>
        <v>79.489149829761843</v>
      </c>
      <c r="R85" s="27">
        <f>[1]!MF_p_pipe_atma(Q_annular_,fw_,C84,C85,R84,PVT_str_annular_,theta_,d_annular_pr,1,D84,D85)</f>
        <v>84.273274203644675</v>
      </c>
    </row>
    <row r="86" spans="1:18" outlineLevel="1" x14ac:dyDescent="0.2">
      <c r="C86" s="33">
        <f t="shared" si="2"/>
        <v>1359.36</v>
      </c>
      <c r="D86" s="33">
        <f t="shared" si="1"/>
        <v>40.780799999999999</v>
      </c>
      <c r="E86" s="6"/>
      <c r="F86" s="27">
        <f>[1]!MF_p_pipe_atma(Q_,fw_,C87,C86,F87,PVT_str_,theta_,Dtub_,,D87,D86)</f>
        <v>62.426743948314126</v>
      </c>
      <c r="J86" s="46">
        <f>[1]!MF_gas_fraction_d(Q86,D86,fw_,PVT_str_)</f>
        <v>0.3656559598194587</v>
      </c>
      <c r="K86" s="37">
        <f>[1]!MF_gas_fraction_d(M86,D86,fw_,PVT_str_)</f>
        <v>8.1066731378731348E-3</v>
      </c>
      <c r="L86" s="27">
        <f>[1]!MF_p_pipe_atma(Q_,fw_,C85,C86,L85,PVT_str_,theta_,Dtub_,1,D85,D86)</f>
        <v>130.33339124791135</v>
      </c>
      <c r="M86" s="27">
        <f>[1]!MF_p_pipe_atma(Q_,fw_,C87,C86,M87,PVT_str_,theta_,Dtub_,1,D87,D86)</f>
        <v>133.22270969560535</v>
      </c>
      <c r="Q86" s="27">
        <f>[1]!MF_p_pipe_atma(Q_annular_,fw_,C87,C86,Q87,PVT_str_annular_,theta_,d_annular_pr,1,D87,D86)</f>
        <v>81.206780534443908</v>
      </c>
      <c r="R86" s="27">
        <f>[1]!MF_p_pipe_atma(Q_annular_,fw_,C85,C86,R85,PVT_str_annular_,theta_,d_annular_pr,1,D85,D86)</f>
        <v>86.077256307394364</v>
      </c>
    </row>
    <row r="87" spans="1:18" outlineLevel="1" x14ac:dyDescent="0.2">
      <c r="C87" s="33">
        <f t="shared" si="2"/>
        <v>1434.8799999999999</v>
      </c>
      <c r="D87" s="33">
        <f t="shared" si="1"/>
        <v>43.046399999999998</v>
      </c>
      <c r="E87" s="6"/>
      <c r="F87" s="27">
        <f>[1]!MF_p_pipe_atma(Q_,fw_,C88,C87,F88,PVT_str_,theta_,Dtub_,,D88,D87)</f>
        <v>67.765000365817315</v>
      </c>
      <c r="J87" s="46">
        <f>[1]!MF_gas_fraction_d(Q87,D87,fw_,PVT_str_)</f>
        <v>0.35861268904502897</v>
      </c>
      <c r="K87" s="37">
        <f>[1]!MF_gas_fraction_d(M87,D87,fw_,PVT_str_)</f>
        <v>0</v>
      </c>
      <c r="L87" s="27">
        <f>[1]!MF_p_pipe_atma(Q_,fw_,C86,C87,L86,PVT_str_,theta_,Dtub_,1,D86,D87)</f>
        <v>136.75196802776887</v>
      </c>
      <c r="M87" s="27">
        <f>[1]!MF_p_pipe_atma(Q_,fw_,C88,C87,M88,PVT_str_,theta_,Dtub_,1,D88,D87)</f>
        <v>139.66722286524171</v>
      </c>
      <c r="Q87" s="27">
        <f>[1]!MF_p_pipe_atma(Q_annular_,fw_,C88,C87,Q88,PVT_str_annular_,theta_,d_annular_pr,1,D88,D87)</f>
        <v>82.939194380522281</v>
      </c>
      <c r="R87" s="27">
        <f>[1]!MF_p_pipe_atma(Q_annular_,fw_,C86,C87,R86,PVT_str_annular_,theta_,d_annular_pr,1,D86,D87)</f>
        <v>87.896017242977209</v>
      </c>
    </row>
    <row r="88" spans="1:18" outlineLevel="1" x14ac:dyDescent="0.2">
      <c r="C88" s="33">
        <f>C87+Hmes_/N_</f>
        <v>1510.3999999999999</v>
      </c>
      <c r="D88" s="33">
        <f t="shared" si="1"/>
        <v>45.311999999999998</v>
      </c>
      <c r="E88" s="6"/>
      <c r="F88" s="27">
        <f>[1]!MF_p_pipe_atma(Q_,fw_,C89,C88,F89,PVT_str_,theta_,Dtub_,,D89,D88)</f>
        <v>73.203339539897954</v>
      </c>
      <c r="J88" s="46">
        <f>[1]!MF_gas_fraction_d(Q88,D88,fw_,PVT_str_)</f>
        <v>0.351634131814684</v>
      </c>
      <c r="K88" s="37">
        <f>[1]!MF_gas_fraction_d(M88,D88,fw_,PVT_str_)</f>
        <v>0</v>
      </c>
      <c r="L88" s="27">
        <f>[1]!MF_p_pipe_atma(Q_,fw_,C87,C88,L87,PVT_str_,theta_,Dtub_,1,D87,D88)</f>
        <v>143.19724957506577</v>
      </c>
      <c r="M88" s="27">
        <f>[1]!MF_p_pipe_atma(Q_,fw_,C89,C88,M89,PVT_str_,theta_,Dtub_,1,D89,D88)</f>
        <v>146.11645422890436</v>
      </c>
      <c r="Q88" s="27">
        <f>[1]!MF_p_pipe_atma(Q_annular_,fw_,C89,C88,Q89,PVT_str_annular_,theta_,d_annular_pr,1,D89,D88)</f>
        <v>84.686209321695443</v>
      </c>
      <c r="R88" s="27">
        <f>[1]!MF_p_pipe_atma(Q_annular_,fw_,C87,C88,R87,PVT_str_annular_,theta_,d_annular_pr,1,D87,D88)</f>
        <v>89.729356210330309</v>
      </c>
    </row>
    <row r="89" spans="1:18" outlineLevel="1" x14ac:dyDescent="0.2">
      <c r="C89" s="33">
        <f>C88+Hmes_/N_</f>
        <v>1585.9199999999998</v>
      </c>
      <c r="D89" s="33">
        <f t="shared" si="1"/>
        <v>47.577599999999997</v>
      </c>
      <c r="F89" s="27">
        <f>[1]!MF_p_pipe_atma(Q_,fw_,C90,C89,F90,PVT_str_,theta_,Dtub_,,D90,D89)</f>
        <v>78.730374698994282</v>
      </c>
      <c r="J89" s="46">
        <f>[1]!MF_gas_fraction_d(Q89,D89,fw_,PVT_str_)</f>
        <v>0.34472179135037884</v>
      </c>
      <c r="K89" s="37">
        <f>[1]!MF_gas_fraction_d(M89,D89,fw_,PVT_str_)</f>
        <v>0</v>
      </c>
      <c r="L89" s="27">
        <f>[1]!MF_p_pipe_atma(Q_,fw_,C88,C89,L88,PVT_str_,theta_,Dtub_,1,D88,D89)</f>
        <v>149.64506287696173</v>
      </c>
      <c r="M89" s="27">
        <f>[1]!MF_p_pipe_atma(Q_,fw_,C90,C89,M90,PVT_str_,theta_,Dtub_,1,D90,D89)</f>
        <v>152.56799823476953</v>
      </c>
      <c r="Q89" s="27">
        <f>[1]!MF_p_pipe_atma(Q_annular_,fw_,C90,C89,Q90,PVT_str_annular_,theta_,d_annular_pr,1,D90,D89)</f>
        <v>86.447636924654788</v>
      </c>
      <c r="R89" s="27">
        <f>[1]!MF_p_pipe_atma(Q_annular_,fw_,C88,C89,R88,PVT_str_annular_,theta_,d_annular_pr,1,D88,D89)</f>
        <v>91.577066554936536</v>
      </c>
    </row>
    <row r="90" spans="1:18" outlineLevel="1" x14ac:dyDescent="0.2">
      <c r="C90" s="33">
        <f>C89+Hmes_/N_</f>
        <v>1661.4399999999998</v>
      </c>
      <c r="D90" s="33">
        <f t="shared" si="1"/>
        <v>49.843199999999996</v>
      </c>
      <c r="F90" s="27">
        <f>[1]!MF_p_pipe_atma(Q_,fw_,C91,C90,F91,PVT_str_,theta_,Dtub_,,D91,D90)</f>
        <v>84.336365735828949</v>
      </c>
      <c r="J90" s="46">
        <f>[1]!MF_gas_fraction_d(Q90,D90,fw_,PVT_str_)</f>
        <v>0.33787716305323628</v>
      </c>
      <c r="K90" s="37">
        <f>[1]!MF_gas_fraction_d(M90,D90,fw_,PVT_str_)</f>
        <v>0</v>
      </c>
      <c r="L90" s="27">
        <f>[1]!MF_p_pipe_atma(Q_,fw_,C89,C90,L89,PVT_str_,theta_,Dtub_,1,D89,D90)</f>
        <v>156.0950810936381</v>
      </c>
      <c r="M90" s="27">
        <f>[1]!MF_p_pipe_atma(Q_,fw_,C91,C90,M91,PVT_str_,theta_,Dtub_,1,D91,D90)</f>
        <v>159.02155168569101</v>
      </c>
      <c r="Q90" s="27">
        <f>[1]!MF_p_pipe_atma(Q_annular_,fw_,C91,C90,Q91,PVT_str_annular_,theta_,d_annular_pr,1,D91,D90)</f>
        <v>88.223282947877337</v>
      </c>
      <c r="R90" s="27">
        <f>[1]!MF_p_pipe_atma(Q_annular_,fw_,C89,C90,R89,PVT_str_annular_,theta_,d_annular_pr,1,D89,D90)</f>
        <v>93.438936248284904</v>
      </c>
    </row>
    <row r="91" spans="1:18" outlineLevel="1" x14ac:dyDescent="0.2">
      <c r="B91" s="25" t="s">
        <v>31</v>
      </c>
      <c r="C91" s="33">
        <f>C90+Hmes_/N_</f>
        <v>1736.9599999999998</v>
      </c>
      <c r="D91" s="33">
        <f t="shared" si="1"/>
        <v>52.108799999999995</v>
      </c>
      <c r="F91" s="27">
        <f>[1]!MF_p_pipe_atma(Q_,fw_,C92,C91,F92,PVT_str_,theta_,Dtub_,,D92,D91)</f>
        <v>90.012947835693382</v>
      </c>
      <c r="G91" s="48">
        <f>[1]!MF_ksep_natural_d(Q_,wc_,Pintake_,Tintake_,Dintake_,Dcas_,PVT_str_)</f>
        <v>0.85272193266782004</v>
      </c>
      <c r="H91" s="46">
        <f>[1]!MF_ksep_total_d(G91,KsepGasSep_)</f>
        <v>0.99263609663339103</v>
      </c>
      <c r="I91" s="48">
        <f>[1]!MF_gas_fraction_d(F91,D91,fw_,PVT_str_)</f>
        <v>0.33110172730417675</v>
      </c>
      <c r="J91" s="48">
        <f>[1]!MF_gas_fraction_d(Q91,D91,fw_,PVT_str_annular_)</f>
        <v>0.88997413494303046</v>
      </c>
      <c r="K91" s="49">
        <f>[1]!MF_gas_fraction_d(M91,D91,fw_,PVT_str_)</f>
        <v>0</v>
      </c>
      <c r="L91" s="27">
        <f>[1]!MF_p_pipe_atma(Q_,fw_,C90,C91,L90,PVT_str_,theta_,Dtub_,1,D90,D91)</f>
        <v>162.54701491501427</v>
      </c>
      <c r="M91" s="41">
        <f>O91+F83</f>
        <v>165.47684551001419</v>
      </c>
      <c r="O91" s="50">
        <f>[1]!ESP_dP_atm(Q_,fw_,Pintake_,NumStage_,Freq_,PumpID_,PVT_str_,Tintake_,0,1,,D65)</f>
        <v>118.02722557519624</v>
      </c>
      <c r="P91" s="51">
        <f>L91-F91</f>
        <v>72.534067079320891</v>
      </c>
      <c r="Q91" s="39">
        <f>F91</f>
        <v>90.012947835693382</v>
      </c>
      <c r="R91" s="27">
        <f>[1]!MF_p_pipe_atma(Q_annular_,fw_,C90,C91,R90,PVT_str_annular_,theta_,d_annular_pr,1,D90,D91)</f>
        <v>95.314748301942885</v>
      </c>
    </row>
    <row r="92" spans="1:18" outlineLevel="1" x14ac:dyDescent="0.2">
      <c r="C92" s="33">
        <f>C91+Hmes_/N_</f>
        <v>1812.4799999999998</v>
      </c>
      <c r="D92" s="33">
        <f t="shared" si="1"/>
        <v>54.374399999999994</v>
      </c>
      <c r="F92" s="27">
        <f>[1]!MF_p_pipe_atma(Q_,fw_,C93,C92,F93,PVT_str_,theta_,Dtub_,,D93,D92)</f>
        <v>95.752907921750307</v>
      </c>
      <c r="I92" s="48">
        <f>[1]!MF_gas_fraction_d(F92,D92,fw_,PVT_str_)</f>
        <v>0.29802166629876653</v>
      </c>
      <c r="K92" s="47"/>
    </row>
    <row r="93" spans="1:18" outlineLevel="1" x14ac:dyDescent="0.2">
      <c r="C93" s="33">
        <f>C92+Hmes_/N_</f>
        <v>1887.9999999999998</v>
      </c>
      <c r="D93" s="33">
        <f t="shared" si="1"/>
        <v>56.639999999999993</v>
      </c>
      <c r="F93" s="34">
        <f>Pwf_</f>
        <v>101.55</v>
      </c>
      <c r="I93" s="48">
        <f>[1]!MF_gas_fraction_d(F93,D93,fw_,PVT_str_)</f>
        <v>0.26546889937497586</v>
      </c>
      <c r="K93" s="47"/>
    </row>
    <row r="94" spans="1:18" x14ac:dyDescent="0.2">
      <c r="A94" t="s">
        <v>35</v>
      </c>
    </row>
    <row r="95" spans="1:18" outlineLevel="1" x14ac:dyDescent="0.2">
      <c r="A95" t="s">
        <v>32</v>
      </c>
    </row>
    <row r="96" spans="1:18" outlineLevel="1" x14ac:dyDescent="0.2"/>
    <row r="97" spans="3:16" outlineLevel="1" x14ac:dyDescent="0.2">
      <c r="C97" s="24" t="s">
        <v>33</v>
      </c>
      <c r="D97" s="2">
        <v>30</v>
      </c>
    </row>
    <row r="98" spans="3:16" outlineLevel="1" x14ac:dyDescent="0.2">
      <c r="C98" s="24" t="s">
        <v>0</v>
      </c>
      <c r="D98" s="40">
        <f>[1]!IPR_Qliq_sm3Day(PI_,Pres_,Pwf1_,fw_,Pb_)</f>
        <v>56.58487634327323</v>
      </c>
    </row>
    <row r="99" spans="3:16" outlineLevel="1" x14ac:dyDescent="0.2">
      <c r="C99" s="24" t="s">
        <v>1</v>
      </c>
      <c r="D99" s="2">
        <v>55</v>
      </c>
    </row>
    <row r="100" spans="3:16" outlineLevel="1" x14ac:dyDescent="0.2"/>
    <row r="101" spans="3:16" outlineLevel="1" x14ac:dyDescent="0.2"/>
    <row r="102" spans="3:16" ht="51" outlineLevel="1" x14ac:dyDescent="0.2">
      <c r="C102" s="10" t="s">
        <v>15</v>
      </c>
      <c r="D102" s="10" t="s">
        <v>14</v>
      </c>
      <c r="E102" s="11"/>
      <c r="F102" s="11" t="s">
        <v>24</v>
      </c>
      <c r="G102" s="11" t="s">
        <v>34</v>
      </c>
      <c r="H102" s="11" t="s">
        <v>23</v>
      </c>
      <c r="I102" s="11"/>
      <c r="J102" s="11"/>
      <c r="K102" s="11" t="s">
        <v>28</v>
      </c>
      <c r="L102" s="11" t="s">
        <v>22</v>
      </c>
      <c r="M102" s="11"/>
      <c r="N102" s="11" t="s">
        <v>29</v>
      </c>
      <c r="O102" s="11"/>
      <c r="P102" s="11" t="s">
        <v>30</v>
      </c>
    </row>
    <row r="103" spans="3:16" outlineLevel="1" x14ac:dyDescent="0.2">
      <c r="C103" s="12">
        <v>0</v>
      </c>
      <c r="D103" s="12">
        <f t="shared" ref="D103:D122" si="3">D104-Tgrad*(C104-C103)/100</f>
        <v>14.688000000000009</v>
      </c>
      <c r="E103" s="6"/>
      <c r="F103" s="6"/>
      <c r="N103" s="14"/>
      <c r="O103" s="6"/>
      <c r="P103" s="6"/>
    </row>
    <row r="104" spans="3:16" outlineLevel="1" x14ac:dyDescent="0.2">
      <c r="C104" s="12">
        <f t="shared" ref="C104:C123" si="4">C103+Hmes_/N_</f>
        <v>75.52</v>
      </c>
      <c r="D104" s="12">
        <f t="shared" si="3"/>
        <v>16.953600000000009</v>
      </c>
      <c r="E104" s="6"/>
      <c r="F104" s="6"/>
      <c r="N104" s="14"/>
      <c r="O104" s="6"/>
      <c r="P104" s="6"/>
    </row>
    <row r="105" spans="3:16" outlineLevel="1" x14ac:dyDescent="0.2">
      <c r="C105" s="12">
        <f t="shared" si="4"/>
        <v>151.04</v>
      </c>
      <c r="D105" s="12">
        <f t="shared" si="3"/>
        <v>19.219200000000008</v>
      </c>
      <c r="E105" s="6"/>
      <c r="F105" s="6"/>
      <c r="N105" s="14"/>
      <c r="O105" s="6"/>
      <c r="P105" s="6"/>
    </row>
    <row r="106" spans="3:16" outlineLevel="1" x14ac:dyDescent="0.2">
      <c r="C106" s="12">
        <f t="shared" si="4"/>
        <v>226.56</v>
      </c>
      <c r="D106" s="12">
        <f t="shared" si="3"/>
        <v>21.484800000000007</v>
      </c>
      <c r="E106" s="6"/>
      <c r="F106" s="6"/>
      <c r="N106" s="14"/>
      <c r="O106" s="6"/>
      <c r="P106" s="6"/>
    </row>
    <row r="107" spans="3:16" outlineLevel="1" x14ac:dyDescent="0.2">
      <c r="C107" s="12">
        <f t="shared" si="4"/>
        <v>302.08</v>
      </c>
      <c r="D107" s="12">
        <f t="shared" si="3"/>
        <v>23.750400000000006</v>
      </c>
      <c r="E107" s="6"/>
      <c r="F107" s="6"/>
      <c r="N107" s="14"/>
      <c r="O107" s="6"/>
      <c r="P107" s="6"/>
    </row>
    <row r="108" spans="3:16" outlineLevel="1" x14ac:dyDescent="0.2">
      <c r="C108" s="12">
        <f t="shared" si="4"/>
        <v>377.59999999999997</v>
      </c>
      <c r="D108" s="12">
        <f t="shared" si="3"/>
        <v>26.016000000000005</v>
      </c>
      <c r="E108" s="6"/>
      <c r="F108" s="6"/>
      <c r="N108" s="14"/>
      <c r="O108" s="6"/>
      <c r="P108" s="6"/>
    </row>
    <row r="109" spans="3:16" outlineLevel="1" x14ac:dyDescent="0.2">
      <c r="C109" s="12">
        <f t="shared" si="4"/>
        <v>453.11999999999995</v>
      </c>
      <c r="D109" s="12">
        <f t="shared" si="3"/>
        <v>28.281600000000005</v>
      </c>
      <c r="E109" s="6"/>
      <c r="F109" s="6"/>
      <c r="N109" s="14"/>
      <c r="O109" s="6"/>
      <c r="P109" s="6"/>
    </row>
    <row r="110" spans="3:16" outlineLevel="1" x14ac:dyDescent="0.2">
      <c r="C110" s="12">
        <f t="shared" si="4"/>
        <v>528.64</v>
      </c>
      <c r="D110" s="12">
        <f t="shared" si="3"/>
        <v>30.547200000000004</v>
      </c>
      <c r="E110" s="6"/>
      <c r="F110" s="6"/>
      <c r="N110" s="14"/>
      <c r="O110" s="6"/>
      <c r="P110" s="6"/>
    </row>
    <row r="111" spans="3:16" outlineLevel="1" x14ac:dyDescent="0.2">
      <c r="C111" s="12">
        <f t="shared" si="4"/>
        <v>604.16</v>
      </c>
      <c r="D111" s="12">
        <f t="shared" si="3"/>
        <v>32.812800000000003</v>
      </c>
      <c r="E111" s="6"/>
      <c r="F111" s="6"/>
      <c r="N111" s="14"/>
      <c r="O111" s="6"/>
      <c r="P111" s="6"/>
    </row>
    <row r="112" spans="3:16" outlineLevel="1" x14ac:dyDescent="0.2">
      <c r="C112" s="12">
        <f t="shared" si="4"/>
        <v>679.68</v>
      </c>
      <c r="D112" s="12">
        <f t="shared" si="3"/>
        <v>35.078400000000002</v>
      </c>
      <c r="E112" s="6"/>
      <c r="F112" s="6"/>
      <c r="N112" s="14"/>
      <c r="O112" s="6"/>
      <c r="P112" s="6"/>
    </row>
    <row r="113" spans="2:16" outlineLevel="1" x14ac:dyDescent="0.2">
      <c r="C113" s="12">
        <f t="shared" si="4"/>
        <v>755.19999999999993</v>
      </c>
      <c r="D113" s="12">
        <f t="shared" si="3"/>
        <v>37.344000000000001</v>
      </c>
      <c r="E113" s="6"/>
      <c r="F113" s="6"/>
      <c r="N113" s="14"/>
      <c r="O113" s="6"/>
      <c r="P113" s="6"/>
    </row>
    <row r="114" spans="2:16" outlineLevel="1" x14ac:dyDescent="0.2">
      <c r="C114" s="12">
        <f t="shared" si="4"/>
        <v>830.71999999999991</v>
      </c>
      <c r="D114" s="12">
        <f t="shared" si="3"/>
        <v>39.6096</v>
      </c>
      <c r="E114" s="6"/>
      <c r="F114" s="6"/>
      <c r="N114" s="14"/>
      <c r="O114" s="6"/>
      <c r="P114" s="6"/>
    </row>
    <row r="115" spans="2:16" outlineLevel="1" x14ac:dyDescent="0.2">
      <c r="C115" s="12">
        <f t="shared" si="4"/>
        <v>906.2399999999999</v>
      </c>
      <c r="D115" s="12">
        <f t="shared" si="3"/>
        <v>41.8752</v>
      </c>
      <c r="E115" s="6"/>
      <c r="F115" s="6"/>
      <c r="N115" s="14"/>
      <c r="O115" s="6"/>
      <c r="P115" s="6"/>
    </row>
    <row r="116" spans="2:16" outlineLevel="1" x14ac:dyDescent="0.2">
      <c r="C116" s="12">
        <f t="shared" si="4"/>
        <v>981.75999999999988</v>
      </c>
      <c r="D116" s="12">
        <f t="shared" si="3"/>
        <v>44.140799999999999</v>
      </c>
      <c r="E116" s="6"/>
      <c r="F116" s="6"/>
      <c r="N116" s="14"/>
      <c r="O116" s="6"/>
      <c r="P116" s="6"/>
    </row>
    <row r="117" spans="2:16" outlineLevel="1" x14ac:dyDescent="0.2">
      <c r="C117" s="12">
        <f t="shared" si="4"/>
        <v>1057.28</v>
      </c>
      <c r="D117" s="12">
        <f t="shared" si="3"/>
        <v>46.406400000000005</v>
      </c>
      <c r="E117" s="6"/>
      <c r="F117" s="6"/>
      <c r="N117" s="14"/>
      <c r="O117" s="6"/>
      <c r="P117" s="6"/>
    </row>
    <row r="118" spans="2:16" outlineLevel="1" x14ac:dyDescent="0.2">
      <c r="B118" t="s">
        <v>31</v>
      </c>
      <c r="C118" s="12">
        <f t="shared" si="4"/>
        <v>1132.8</v>
      </c>
      <c r="D118" s="12">
        <f t="shared" si="3"/>
        <v>48.672000000000004</v>
      </c>
      <c r="E118" s="6"/>
      <c r="F118" s="14"/>
      <c r="G118" s="14"/>
      <c r="H118" s="15"/>
      <c r="I118" s="15"/>
      <c r="J118" s="15"/>
      <c r="K118" s="15"/>
      <c r="L118" s="15"/>
      <c r="M118" s="15"/>
      <c r="N118" s="16"/>
      <c r="O118" s="6"/>
      <c r="P118" s="14"/>
    </row>
    <row r="119" spans="2:16" outlineLevel="1" x14ac:dyDescent="0.2">
      <c r="C119" s="12">
        <f t="shared" si="4"/>
        <v>1208.32</v>
      </c>
      <c r="D119" s="12">
        <f t="shared" si="3"/>
        <v>50.937600000000003</v>
      </c>
      <c r="E119" s="6"/>
      <c r="F119" s="14"/>
      <c r="G119" s="6"/>
      <c r="O119" s="6"/>
    </row>
    <row r="120" spans="2:16" outlineLevel="1" x14ac:dyDescent="0.2">
      <c r="C120" s="12">
        <f t="shared" si="4"/>
        <v>1283.8399999999999</v>
      </c>
      <c r="D120" s="12">
        <f t="shared" si="3"/>
        <v>53.203200000000002</v>
      </c>
      <c r="E120" s="6"/>
      <c r="F120" s="14"/>
      <c r="O120" s="6"/>
    </row>
    <row r="121" spans="2:16" outlineLevel="1" x14ac:dyDescent="0.2">
      <c r="C121" s="12">
        <f t="shared" si="4"/>
        <v>1359.36</v>
      </c>
      <c r="D121" s="12">
        <f t="shared" si="3"/>
        <v>55.468800000000002</v>
      </c>
      <c r="E121" s="6"/>
      <c r="F121" s="14"/>
      <c r="O121" s="6"/>
    </row>
    <row r="122" spans="2:16" outlineLevel="1" x14ac:dyDescent="0.2">
      <c r="C122" s="12">
        <f t="shared" si="4"/>
        <v>1434.8799999999999</v>
      </c>
      <c r="D122" s="12">
        <f t="shared" si="3"/>
        <v>57.734400000000001</v>
      </c>
      <c r="E122" s="6"/>
      <c r="F122" s="14"/>
      <c r="O122" s="6"/>
    </row>
    <row r="123" spans="2:16" outlineLevel="1" x14ac:dyDescent="0.2">
      <c r="C123" s="12">
        <f t="shared" si="4"/>
        <v>1510.3999999999999</v>
      </c>
      <c r="D123" s="12">
        <f>Tres_</f>
        <v>60</v>
      </c>
      <c r="E123" s="6"/>
      <c r="F123" s="13">
        <f>Pwf1_</f>
        <v>30</v>
      </c>
      <c r="O123" s="6"/>
    </row>
    <row r="124" spans="2:16" outlineLevel="1" x14ac:dyDescent="0.2"/>
    <row r="125" spans="2:16" outlineLevel="1" x14ac:dyDescent="0.2"/>
    <row r="185" spans="14:14" x14ac:dyDescent="0.2">
      <c r="N185" t="s">
        <v>16</v>
      </c>
    </row>
    <row r="196" spans="14:14" x14ac:dyDescent="0.2">
      <c r="N196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50</vt:i4>
      </vt:variant>
    </vt:vector>
  </HeadingPairs>
  <TitlesOfParts>
    <vt:vector size="51" baseType="lpstr">
      <vt:lpstr>well</vt:lpstr>
      <vt:lpstr>well!Bob_</vt:lpstr>
      <vt:lpstr>d_annular_pr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k_split_liquid</vt:lpstr>
      <vt:lpstr>well!Kdegr_</vt:lpstr>
      <vt:lpstr>well!KsepGasSep_</vt:lpstr>
      <vt:lpstr>mu_</vt:lpstr>
      <vt:lpstr>well!N_</vt:lpstr>
      <vt:lpstr>well!NumStage_</vt:lpstr>
      <vt:lpstr>Pannular_</vt:lpstr>
      <vt:lpstr>well!Pb_</vt:lpstr>
      <vt:lpstr>well!Pbuf_</vt:lpstr>
      <vt:lpstr>well!Pdis_</vt:lpstr>
      <vt:lpstr>well!PI_</vt:lpstr>
      <vt:lpstr>well!Pintake_</vt:lpstr>
      <vt:lpstr>PKsep</vt:lpstr>
      <vt:lpstr>well!Pres_</vt:lpstr>
      <vt:lpstr>well!PumpID_</vt:lpstr>
      <vt:lpstr>PVT_str_</vt:lpstr>
      <vt:lpstr>PVT_str_annular_</vt:lpstr>
      <vt:lpstr>well!Pwf_</vt:lpstr>
      <vt:lpstr>well!Pwf1_</vt:lpstr>
      <vt:lpstr>well!Q_</vt:lpstr>
      <vt:lpstr>Q_annular_</vt:lpstr>
      <vt:lpstr>well!Q_ESP_</vt:lpstr>
      <vt:lpstr>Q_total_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2019-07-11T11:09:55Z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