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rnt\unifloc_vba\exercises\excercises\"/>
    </mc:Choice>
  </mc:AlternateContent>
  <xr:revisionPtr revIDLastSave="0" documentId="13_ncr:1_{922E65D9-4B67-44C6-A2E7-8FDA64E58E74}" xr6:coauthVersionLast="45" xr6:coauthVersionMax="45" xr10:uidLastSave="{00000000-0000-0000-0000-000000000000}"/>
  <bookViews>
    <workbookView xWindow="-98" yWindow="-98" windowWidth="20715" windowHeight="13276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self_flow_well!$C$14</definedName>
    <definedName name="Dcas_" localSheetId="0">self_flow_well!$C$24</definedName>
    <definedName name="Dtub_" localSheetId="0">self_flow_well!$C$26</definedName>
    <definedName name="Dtub_out_" localSheetId="0">self_flow_well!$C$25</definedName>
    <definedName name="fw_" localSheetId="0">self_flow_well!$C$15</definedName>
    <definedName name="fw_2">self_flow_well!$H$76</definedName>
    <definedName name="fw_3">self_flow_well!$I$106</definedName>
    <definedName name="gamma_gas_" localSheetId="0">self_flow_well!$C$9</definedName>
    <definedName name="gamma_oil_" localSheetId="0">self_flow_well!$C$7</definedName>
    <definedName name="gamma_wat_">self_flow_well!$C$8</definedName>
    <definedName name="Hmes_" localSheetId="0">self_flow_well!$C$20</definedName>
    <definedName name="Htube_">self_flow_well!$C$22</definedName>
    <definedName name="muob_">self_flow_well!$C$16</definedName>
    <definedName name="N_" localSheetId="0">self_flow_well!$C$37</definedName>
    <definedName name="Pb_" localSheetId="0">self_flow_well!$C$12</definedName>
    <definedName name="Pbuf_" localSheetId="0">self_flow_well!$C$27</definedName>
    <definedName name="Pcas_">self_flow_well!$C$28</definedName>
    <definedName name="PI_" localSheetId="0">self_flow_well!$C$35</definedName>
    <definedName name="PI_1">self_flow_well!$B$78</definedName>
    <definedName name="Pres_" localSheetId="0">self_flow_well!$C$34</definedName>
    <definedName name="PVRstr1_">self_flow_well!$G$21</definedName>
    <definedName name="Pwf_" localSheetId="0">self_flow_well!$C$29</definedName>
    <definedName name="Pwf_1">self_flow_well!$B$75</definedName>
    <definedName name="Qmax_">self_flow_well!$F$74</definedName>
    <definedName name="Qtest_">self_flow_well!$C$40</definedName>
    <definedName name="Rp_" localSheetId="0">self_flow_well!$C$11</definedName>
    <definedName name="Rsb_" localSheetId="0">self_flow_well!$C$10</definedName>
    <definedName name="Tbuf_">self_flow_well!$C$31</definedName>
    <definedName name="Tgrad" localSheetId="0">self_flow_well!$C$33</definedName>
    <definedName name="theta_">self_flow_well!$C$23</definedName>
    <definedName name="Tres_" localSheetId="0">self_flow_well!$C$13</definedName>
    <definedName name="Twf_">self_flow_well!$C$30</definedName>
    <definedName name="Udl_" localSheetId="0">self_flow_well!$C$21</definedName>
    <definedName name="Udl_">self_flow_well!$C$21</definedName>
    <definedName name="Wellstr1_">self_flow_well!$G$23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6" i="108" l="1"/>
  <c r="I109" i="108"/>
  <c r="I117" i="108"/>
  <c r="I125" i="108"/>
  <c r="I127" i="108"/>
  <c r="I110" i="108"/>
  <c r="I111" i="108"/>
  <c r="I112" i="108"/>
  <c r="I120" i="108"/>
  <c r="I128" i="108"/>
  <c r="I119" i="108"/>
  <c r="I113" i="108"/>
  <c r="I121" i="108"/>
  <c r="I124" i="108"/>
  <c r="I114" i="108"/>
  <c r="I122" i="108"/>
  <c r="I118" i="108"/>
  <c r="I115" i="108"/>
  <c r="I123" i="108"/>
  <c r="I116" i="108"/>
  <c r="I126" i="108"/>
  <c r="I108" i="108"/>
  <c r="H112" i="108"/>
  <c r="H120" i="108"/>
  <c r="H128" i="108"/>
  <c r="H122" i="108"/>
  <c r="H117" i="108"/>
  <c r="H118" i="108"/>
  <c r="H111" i="108"/>
  <c r="H113" i="108"/>
  <c r="H121" i="108"/>
  <c r="H114" i="108"/>
  <c r="H125" i="108"/>
  <c r="H126" i="108"/>
  <c r="H127" i="108"/>
  <c r="H115" i="108"/>
  <c r="H123" i="108"/>
  <c r="H116" i="108"/>
  <c r="H124" i="108"/>
  <c r="H109" i="108"/>
  <c r="H110" i="108"/>
  <c r="H119" i="108"/>
  <c r="H108" i="108"/>
  <c r="H79" i="108"/>
  <c r="H87" i="108"/>
  <c r="H83" i="108"/>
  <c r="H80" i="108"/>
  <c r="H88" i="108"/>
  <c r="H96" i="108"/>
  <c r="H81" i="108"/>
  <c r="H89" i="108"/>
  <c r="H97" i="108"/>
  <c r="H82" i="108"/>
  <c r="H90" i="108"/>
  <c r="H91" i="108"/>
  <c r="H85" i="108"/>
  <c r="H93" i="108"/>
  <c r="H98" i="108"/>
  <c r="H92" i="108"/>
  <c r="H86" i="108"/>
  <c r="H94" i="108"/>
  <c r="H95" i="108"/>
  <c r="H84" i="108"/>
  <c r="H78" i="108"/>
  <c r="G78" i="108"/>
  <c r="G79" i="108"/>
  <c r="G87" i="108"/>
  <c r="G95" i="108"/>
  <c r="G80" i="108"/>
  <c r="G88" i="108"/>
  <c r="G96" i="108"/>
  <c r="G81" i="108"/>
  <c r="G97" i="108"/>
  <c r="G89" i="108"/>
  <c r="G82" i="108"/>
  <c r="G90" i="108"/>
  <c r="G98" i="108"/>
  <c r="G83" i="108"/>
  <c r="G91" i="108"/>
  <c r="G84" i="108"/>
  <c r="G92" i="108"/>
  <c r="G85" i="108"/>
  <c r="G93" i="108"/>
  <c r="G86" i="108"/>
  <c r="G94" i="108"/>
  <c r="F79" i="108"/>
  <c r="F80" i="108"/>
  <c r="F93" i="108"/>
  <c r="G114" i="108"/>
  <c r="G124" i="108"/>
  <c r="G112" i="108"/>
  <c r="C35" i="108"/>
  <c r="F83" i="108"/>
  <c r="F84" i="108"/>
  <c r="F97" i="108"/>
  <c r="G110" i="108"/>
  <c r="G125" i="108"/>
  <c r="F94" i="108"/>
  <c r="F87" i="108"/>
  <c r="F88" i="108"/>
  <c r="F82" i="108"/>
  <c r="G21" i="108"/>
  <c r="J51" i="108"/>
  <c r="E58" i="108"/>
  <c r="E64" i="108"/>
  <c r="E53" i="108"/>
  <c r="E56" i="108"/>
  <c r="E55" i="108"/>
  <c r="F92" i="108"/>
  <c r="G1" i="108"/>
  <c r="G127" i="108"/>
  <c r="G120" i="108"/>
  <c r="E59" i="108"/>
  <c r="F91" i="108"/>
  <c r="F95" i="108"/>
  <c r="F86" i="108"/>
  <c r="F78" i="108"/>
  <c r="G121" i="108"/>
  <c r="G123" i="108"/>
  <c r="E50" i="108"/>
  <c r="J55" i="108"/>
  <c r="J64" i="108"/>
  <c r="G117" i="108"/>
  <c r="J50" i="108"/>
  <c r="E63" i="108"/>
  <c r="G111" i="108"/>
  <c r="J52" i="108"/>
  <c r="J68" i="108"/>
  <c r="F96" i="108"/>
  <c r="F81" i="108"/>
  <c r="G126" i="108"/>
  <c r="G113" i="108"/>
  <c r="G119" i="108"/>
  <c r="J65" i="108"/>
  <c r="G23" i="108"/>
  <c r="G116" i="108"/>
  <c r="J60" i="108"/>
  <c r="J54" i="108"/>
  <c r="E67" i="108"/>
  <c r="J57" i="108"/>
  <c r="F90" i="108"/>
  <c r="F85" i="108"/>
  <c r="G122" i="108"/>
  <c r="G109" i="108"/>
  <c r="G115" i="108"/>
  <c r="J61" i="108"/>
  <c r="G128" i="108"/>
  <c r="E69" i="108"/>
  <c r="J56" i="108"/>
  <c r="J58" i="108"/>
  <c r="E60" i="108"/>
  <c r="J62" i="108"/>
  <c r="J67" i="108"/>
  <c r="F98" i="108"/>
  <c r="F89" i="108"/>
  <c r="G118" i="108"/>
  <c r="E65" i="108"/>
  <c r="G108" i="108"/>
  <c r="J59" i="108"/>
  <c r="E54" i="108"/>
  <c r="E51" i="108"/>
  <c r="E68" i="108"/>
  <c r="E57" i="108"/>
  <c r="J49" i="108"/>
  <c r="E62" i="108"/>
  <c r="J63" i="108"/>
  <c r="J66" i="108"/>
  <c r="E61" i="108"/>
  <c r="J53" i="108"/>
  <c r="E66" i="108"/>
  <c r="E52" i="108"/>
  <c r="C30" i="108" l="1"/>
  <c r="D69" i="108"/>
  <c r="E13" i="108" l="1"/>
  <c r="E12" i="108"/>
  <c r="E11" i="108"/>
  <c r="E10" i="108"/>
  <c r="E9" i="108"/>
  <c r="E8" i="108"/>
  <c r="E7" i="108"/>
  <c r="F110" i="108" l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F128" i="108" s="1"/>
  <c r="C50" i="108" l="1"/>
  <c r="C51" i="108" l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E49" i="108"/>
  <c r="C69" i="108" l="1"/>
  <c r="D68" i="108" l="1"/>
  <c r="D67" i="108" l="1"/>
  <c r="D66" i="108" l="1"/>
  <c r="D65" i="108" l="1"/>
  <c r="D64" i="108" l="1"/>
  <c r="D63" i="108" l="1"/>
  <c r="D62" i="108" l="1"/>
  <c r="D61" i="108" l="1"/>
  <c r="D60" i="108" l="1"/>
  <c r="D59" i="108" l="1"/>
  <c r="D58" i="108" l="1"/>
  <c r="D57" i="108" l="1"/>
  <c r="D56" i="108" l="1"/>
  <c r="D55" i="108" l="1"/>
  <c r="D54" i="108" l="1"/>
  <c r="D53" i="108" l="1"/>
  <c r="D52" i="108" l="1"/>
  <c r="D51" i="108" l="1"/>
  <c r="D50" i="108" l="1"/>
  <c r="D49" i="108" l="1"/>
  <c r="C31" i="108" s="1"/>
  <c r="E79" i="108" l="1"/>
  <c r="E80" i="108" l="1"/>
  <c r="E81" i="108" l="1"/>
  <c r="E82" i="108" l="1"/>
  <c r="E83" i="108" l="1"/>
  <c r="E84" i="108" l="1"/>
  <c r="E85" i="108" l="1"/>
  <c r="E86" i="108" s="1"/>
  <c r="E87" i="108" l="1"/>
  <c r="E88" i="108" l="1"/>
  <c r="E89" i="108" l="1"/>
  <c r="E90" i="108" l="1"/>
  <c r="E91" i="108" l="1"/>
  <c r="E92" i="108" l="1"/>
  <c r="E93" i="108" l="1"/>
  <c r="E94" i="108" l="1"/>
  <c r="E95" i="108" l="1"/>
  <c r="E96" i="108" l="1"/>
  <c r="E97" i="108" l="1"/>
  <c r="E98" i="108" l="1"/>
  <c r="B75" i="108" l="1"/>
</calcChain>
</file>

<file path=xl/sharedStrings.xml><?xml version="1.0" encoding="utf-8"?>
<sst xmlns="http://schemas.openxmlformats.org/spreadsheetml/2006/main" count="95" uniqueCount="75">
  <si>
    <t>Q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</si>
  <si>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</si>
  <si>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</si>
  <si>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</si>
  <si>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</si>
  <si>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</si>
  <si>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</si>
  <si>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</si>
  <si>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</si>
  <si>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</si>
  <si>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</si>
  <si>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</si>
  <si>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</si>
  <si>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</si>
  <si>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</si>
  <si>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</si>
  <si>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</si>
  <si>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</si>
  <si>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</si>
  <si>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</si>
  <si>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</si>
  <si>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</si>
  <si>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</si>
  <si>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</si>
  <si>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</si>
  <si>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</si>
  <si>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</si>
  <si>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</si>
  <si>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</si>
  <si>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</si>
  <si>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</si>
  <si>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</si>
  <si>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</si>
  <si>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</si>
  <si>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</si>
  <si>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</si>
  <si>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</si>
  <si>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</si>
  <si>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</si>
  <si>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</si>
  <si>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</si>
  <si>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</si>
  <si>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</si>
  <si>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</si>
  <si>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t>dT/dL</t>
  </si>
  <si>
    <r>
      <t>P</t>
    </r>
    <r>
      <rPr>
        <vertAlign val="subscript"/>
        <sz val="10"/>
        <rFont val="Arial Cyr"/>
        <charset val="204"/>
      </rPr>
      <t>res</t>
    </r>
  </si>
  <si>
    <t>PI</t>
  </si>
  <si>
    <r>
      <t>Q</t>
    </r>
    <r>
      <rPr>
        <vertAlign val="subscript"/>
        <sz val="10"/>
        <rFont val="Arial Cyr"/>
        <charset val="204"/>
      </rPr>
      <t>liq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</si>
  <si>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</si>
  <si>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</si>
  <si>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МПа</t>
  </si>
  <si>
    <t>Ф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</si>
  <si>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</si>
  <si>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атмa</t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</si>
  <si>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</si>
  <si>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</si>
  <si>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</si>
  <si>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</si>
  <si>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</si>
  <si>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</si>
  <si>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</si>
  <si>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</t>
    </r>
  </si>
  <si>
    <r>
      <t>H</t>
    </r>
    <r>
      <rPr>
        <vertAlign val="subscript"/>
        <sz val="10"/>
        <rFont val="Arial Cyr"/>
        <charset val="204"/>
      </rPr>
      <t>tube</t>
    </r>
  </si>
  <si>
    <t>θ</t>
  </si>
  <si>
    <t>°</t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</si>
  <si>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</si>
  <si>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</si>
  <si>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Строка скважины</t>
  </si>
  <si>
    <r>
      <t>T</t>
    </r>
    <r>
      <rPr>
        <vertAlign val="subscript"/>
        <sz val="10"/>
        <rFont val="Arial Cyr"/>
        <charset val="204"/>
      </rPr>
      <t>wf</t>
    </r>
  </si>
  <si>
    <r>
      <t>T</t>
    </r>
    <r>
      <rPr>
        <vertAlign val="subscript"/>
        <sz val="10"/>
        <rFont val="Arial Cyr"/>
        <charset val="204"/>
      </rPr>
      <t>buf</t>
    </r>
  </si>
  <si>
    <t>C</t>
  </si>
  <si>
    <r>
      <t>P</t>
    </r>
    <r>
      <rPr>
        <vertAlign val="subscript"/>
        <sz val="10"/>
        <rFont val="Arial Cyr"/>
        <charset val="204"/>
      </rPr>
      <t>cas</t>
    </r>
  </si>
  <si>
    <t>Расчет распределения давления в фонтанирующей скважине</t>
  </si>
  <si>
    <t>Упражнение 3</t>
  </si>
  <si>
    <t>Влияние ГФ на забойное давление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</si>
</sst>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2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4" borderId="3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2" fontId="0" fillId="7" borderId="2" xfId="0" applyNumberFormat="1" applyFill="1" applyBorder="1"/>
    <xf numFmtId="2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2" fillId="0" borderId="0" xfId="0" applyFont="1"/>
    <xf numFmtId="0" fontId="0" fillId="8" borderId="2" xfId="0" applyFill="1" applyBorder="1"/>
    <xf numFmtId="0" fontId="0" fillId="3" borderId="2" xfId="0" applyFill="1" applyBorder="1"/>
    <xf numFmtId="0" fontId="0" fillId="7" borderId="2" xfId="0" applyFill="1" applyBorder="1"/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self_flow_well!$E$48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self_flow_well!$E$49:$E$69</c:f>
              <c:numCache>
                <c:formatCode>0.00</c:formatCode>
                <c:ptCount val="21"/>
                <c:pt idx="0">
                  <c:v>20</c:v>
                </c:pt>
                <c:pt idx="1">
                  <c:v>23.919082974207917</c:v>
                </c:pt>
                <c:pt idx="2">
                  <c:v>28.118463156250751</c:v>
                </c:pt>
                <c:pt idx="3">
                  <c:v>32.584405899554511</c:v>
                </c:pt>
                <c:pt idx="4">
                  <c:v>37.300757654794388</c:v>
                </c:pt>
                <c:pt idx="5">
                  <c:v>42.249912841712224</c:v>
                </c:pt>
                <c:pt idx="6">
                  <c:v>47.413569804466761</c:v>
                </c:pt>
                <c:pt idx="7">
                  <c:v>52.773504295733495</c:v>
                </c:pt>
                <c:pt idx="8">
                  <c:v>58.311794844606624</c:v>
                </c:pt>
                <c:pt idx="9">
                  <c:v>64.011080129314465</c:v>
                </c:pt>
                <c:pt idx="10">
                  <c:v>69.854935735706931</c:v>
                </c:pt>
                <c:pt idx="11">
                  <c:v>75.828029104132668</c:v>
                </c:pt>
                <c:pt idx="12">
                  <c:v>81.916203049332694</c:v>
                </c:pt>
                <c:pt idx="13">
                  <c:v>88.106503443920431</c:v>
                </c:pt>
                <c:pt idx="14">
                  <c:v>94.387168869531934</c:v>
                </c:pt>
                <c:pt idx="15">
                  <c:v>100.8172836039513</c:v>
                </c:pt>
                <c:pt idx="16">
                  <c:v>107.43416332544071</c:v>
                </c:pt>
                <c:pt idx="17">
                  <c:v>114.22659226990068</c:v>
                </c:pt>
                <c:pt idx="18">
                  <c:v>121.18149417023243</c:v>
                </c:pt>
                <c:pt idx="19">
                  <c:v>128.2890744619144</c:v>
                </c:pt>
                <c:pt idx="20">
                  <c:v>135.53993957236688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self_flow_well!$J$49:$J$69</c:f>
              <c:numCache>
                <c:formatCode>0.00</c:formatCode>
                <c:ptCount val="21"/>
                <c:pt idx="0">
                  <c:v>19.757708706382058</c:v>
                </c:pt>
                <c:pt idx="1">
                  <c:v>23.656415294182356</c:v>
                </c:pt>
                <c:pt idx="2">
                  <c:v>27.835985903200218</c:v>
                </c:pt>
                <c:pt idx="3">
                  <c:v>32.282890558072431</c:v>
                </c:pt>
                <c:pt idx="4">
                  <c:v>36.981120808102538</c:v>
                </c:pt>
                <c:pt idx="5">
                  <c:v>41.913167280819408</c:v>
                </c:pt>
                <c:pt idx="6">
                  <c:v>47.060785671512278</c:v>
                </c:pt>
                <c:pt idx="7">
                  <c:v>52.405768811071766</c:v>
                </c:pt>
                <c:pt idx="8">
                  <c:v>57.930191359304658</c:v>
                </c:pt>
                <c:pt idx="9">
                  <c:v>63.616664081525528</c:v>
                </c:pt>
                <c:pt idx="10">
                  <c:v>69.448718690165251</c:v>
                </c:pt>
                <c:pt idx="11">
                  <c:v>75.410967757019719</c:v>
                </c:pt>
                <c:pt idx="12">
                  <c:v>81.489192401372563</c:v>
                </c:pt>
                <c:pt idx="13">
                  <c:v>87.670373323544482</c:v>
                </c:pt>
                <c:pt idx="14">
                  <c:v>93.942807410468035</c:v>
                </c:pt>
                <c:pt idx="15">
                  <c:v>100.35539446609654</c:v>
                </c:pt>
                <c:pt idx="16">
                  <c:v>106.95529068281218</c:v>
                </c:pt>
                <c:pt idx="17">
                  <c:v>113.73146318346359</c:v>
                </c:pt>
                <c:pt idx="18">
                  <c:v>120.67086657755249</c:v>
                </c:pt>
                <c:pt idx="19">
                  <c:v>127.76351147587658</c:v>
                </c:pt>
                <c:pt idx="20">
                  <c:v>135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self_flow_well!$F$78:$F$98</c:f>
              <c:numCache>
                <c:formatCode>0.00</c:formatCode>
                <c:ptCount val="21"/>
                <c:pt idx="0">
                  <c:v>248.33333333333334</c:v>
                </c:pt>
                <c:pt idx="1">
                  <c:v>239.16666666666666</c:v>
                </c:pt>
                <c:pt idx="2">
                  <c:v>230</c:v>
                </c:pt>
                <c:pt idx="3">
                  <c:v>220.83333333333334</c:v>
                </c:pt>
                <c:pt idx="4">
                  <c:v>211.66666666666666</c:v>
                </c:pt>
                <c:pt idx="5">
                  <c:v>202.5</c:v>
                </c:pt>
                <c:pt idx="6">
                  <c:v>193.33333333333334</c:v>
                </c:pt>
                <c:pt idx="7">
                  <c:v>184.16666666666666</c:v>
                </c:pt>
                <c:pt idx="8">
                  <c:v>175</c:v>
                </c:pt>
                <c:pt idx="9">
                  <c:v>165.83333333333334</c:v>
                </c:pt>
                <c:pt idx="10">
                  <c:v>156.66666666666666</c:v>
                </c:pt>
                <c:pt idx="11">
                  <c:v>147.48120194476127</c:v>
                </c:pt>
                <c:pt idx="12">
                  <c:v>137.89948930654069</c:v>
                </c:pt>
                <c:pt idx="13">
                  <c:v>127.69218142324976</c:v>
                </c:pt>
                <c:pt idx="14">
                  <c:v>116.71793901141332</c:v>
                </c:pt>
                <c:pt idx="15">
                  <c:v>104.77251819000452</c:v>
                </c:pt>
                <c:pt idx="16">
                  <c:v>91.540808773895563</c:v>
                </c:pt>
                <c:pt idx="17">
                  <c:v>76.488188244002203</c:v>
                </c:pt>
                <c:pt idx="18">
                  <c:v>58.558230480331133</c:v>
                </c:pt>
                <c:pt idx="19">
                  <c:v>34.941828987286321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self_flow_well!$G$78:$G$98</c:f>
              <c:numCache>
                <c:formatCode>0.00</c:formatCode>
                <c:ptCount val="21"/>
                <c:pt idx="0">
                  <c:v>184.97607066819606</c:v>
                </c:pt>
                <c:pt idx="1">
                  <c:v>184.90001376294441</c:v>
                </c:pt>
                <c:pt idx="2">
                  <c:v>183.99282755930145</c:v>
                </c:pt>
                <c:pt idx="3">
                  <c:v>182.45803343372071</c:v>
                </c:pt>
                <c:pt idx="4">
                  <c:v>180.35722204391749</c:v>
                </c:pt>
                <c:pt idx="5">
                  <c:v>177.58482188091909</c:v>
                </c:pt>
                <c:pt idx="6">
                  <c:v>173.99857821234244</c:v>
                </c:pt>
                <c:pt idx="7">
                  <c:v>169.35794645683725</c:v>
                </c:pt>
                <c:pt idx="8">
                  <c:v>163.36838967455799</c:v>
                </c:pt>
                <c:pt idx="9">
                  <c:v>158.16965799075862</c:v>
                </c:pt>
                <c:pt idx="10">
                  <c:v>155.51304568368496</c:v>
                </c:pt>
                <c:pt idx="11">
                  <c:v>155.10438011596673</c:v>
                </c:pt>
                <c:pt idx="12">
                  <c:v>154.86187842249763</c:v>
                </c:pt>
                <c:pt idx="13">
                  <c:v>154.7373579907518</c:v>
                </c:pt>
                <c:pt idx="14">
                  <c:v>154.59052121144407</c:v>
                </c:pt>
                <c:pt idx="15">
                  <c:v>154.47076437676736</c:v>
                </c:pt>
                <c:pt idx="16">
                  <c:v>154.38812058802171</c:v>
                </c:pt>
                <c:pt idx="17">
                  <c:v>154.33678237328689</c:v>
                </c:pt>
                <c:pt idx="18">
                  <c:v>154.31522200860661</c:v>
                </c:pt>
                <c:pt idx="19">
                  <c:v>154.32421893826313</c:v>
                </c:pt>
                <c:pt idx="20">
                  <c:v>154.35983303230893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self_flow_well!$H$78:$H$98</c:f>
              <c:numCache>
                <c:formatCode>0.00</c:formatCode>
                <c:ptCount val="21"/>
                <c:pt idx="0">
                  <c:v>190.92822309587905</c:v>
                </c:pt>
                <c:pt idx="1">
                  <c:v>190.93807955347597</c:v>
                </c:pt>
                <c:pt idx="2">
                  <c:v>190.30820916794369</c:v>
                </c:pt>
                <c:pt idx="3">
                  <c:v>189.10251225862541</c:v>
                </c:pt>
                <c:pt idx="4">
                  <c:v>187.39707499156032</c:v>
                </c:pt>
                <c:pt idx="5">
                  <c:v>185.1304527275646</c:v>
                </c:pt>
                <c:pt idx="6">
                  <c:v>182.22164836052391</c:v>
                </c:pt>
                <c:pt idx="7">
                  <c:v>178.50501718149664</c:v>
                </c:pt>
                <c:pt idx="8">
                  <c:v>173.7479109707138</c:v>
                </c:pt>
                <c:pt idx="9">
                  <c:v>168.74574034888983</c:v>
                </c:pt>
                <c:pt idx="10">
                  <c:v>165.72003906347317</c:v>
                </c:pt>
                <c:pt idx="11">
                  <c:v>165.08089334585699</c:v>
                </c:pt>
                <c:pt idx="12">
                  <c:v>164.87384712940374</c:v>
                </c:pt>
                <c:pt idx="13">
                  <c:v>164.71006755958757</c:v>
                </c:pt>
                <c:pt idx="14">
                  <c:v>164.55243579425425</c:v>
                </c:pt>
                <c:pt idx="15">
                  <c:v>164.43163645792217</c:v>
                </c:pt>
                <c:pt idx="16">
                  <c:v>164.34051194093001</c:v>
                </c:pt>
                <c:pt idx="17">
                  <c:v>164.27717217440579</c:v>
                </c:pt>
                <c:pt idx="18">
                  <c:v>164.24058567100769</c:v>
                </c:pt>
                <c:pt idx="19">
                  <c:v>164.23406155092698</c:v>
                </c:pt>
                <c:pt idx="20">
                  <c:v>164.24954464910897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  <a:p>
            <a:pPr>
              <a:defRPr sz="1400"/>
            </a:pPr>
            <a:endParaRPr lang="ru-RU" sz="1400" baseline="0"/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self_flow_well!$H$108:$H$128</c:f>
              <c:numCache>
                <c:formatCode>0.00</c:formatCode>
                <c:ptCount val="21"/>
                <c:pt idx="0">
                  <c:v>184.21420243843244</c:v>
                </c:pt>
                <c:pt idx="1">
                  <c:v>161.82521369860973</c:v>
                </c:pt>
                <c:pt idx="2">
                  <c:v>143.80115654052625</c:v>
                </c:pt>
                <c:pt idx="3">
                  <c:v>125.26240753233965</c:v>
                </c:pt>
                <c:pt idx="4">
                  <c:v>113.4833270532916</c:v>
                </c:pt>
                <c:pt idx="5">
                  <c:v>105.06635350642635</c:v>
                </c:pt>
                <c:pt idx="6">
                  <c:v>99.029211946906671</c:v>
                </c:pt>
                <c:pt idx="7">
                  <c:v>94.751772266773244</c:v>
                </c:pt>
                <c:pt idx="8">
                  <c:v>91.75456564622597</c:v>
                </c:pt>
                <c:pt idx="9">
                  <c:v>89.696731417198876</c:v>
                </c:pt>
                <c:pt idx="10">
                  <c:v>88.341228804524491</c:v>
                </c:pt>
                <c:pt idx="11">
                  <c:v>87.443326310028922</c:v>
                </c:pt>
                <c:pt idx="12">
                  <c:v>86.952114642885093</c:v>
                </c:pt>
                <c:pt idx="13">
                  <c:v>86.815194600072729</c:v>
                </c:pt>
                <c:pt idx="14">
                  <c:v>86.995916486152595</c:v>
                </c:pt>
                <c:pt idx="15">
                  <c:v>87.369565688907599</c:v>
                </c:pt>
                <c:pt idx="16">
                  <c:v>87.967454329706271</c:v>
                </c:pt>
                <c:pt idx="17">
                  <c:v>88.720608891785147</c:v>
                </c:pt>
                <c:pt idx="18">
                  <c:v>89.593314734729319</c:v>
                </c:pt>
                <c:pt idx="19">
                  <c:v>90.580408493650125</c:v>
                </c:pt>
                <c:pt idx="20">
                  <c:v>91.705815274676112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self_flow_well!$I$108:$I$128</c:f>
              <c:numCache>
                <c:formatCode>0.00</c:formatCode>
                <c:ptCount val="21"/>
                <c:pt idx="0">
                  <c:v>190.3487111484429</c:v>
                </c:pt>
                <c:pt idx="1">
                  <c:v>170.94726725764181</c:v>
                </c:pt>
                <c:pt idx="2">
                  <c:v>154.6293733279725</c:v>
                </c:pt>
                <c:pt idx="3">
                  <c:v>136.82610512243622</c:v>
                </c:pt>
                <c:pt idx="4">
                  <c:v>124.64947226717112</c:v>
                </c:pt>
                <c:pt idx="5">
                  <c:v>115.73089748277749</c:v>
                </c:pt>
                <c:pt idx="6">
                  <c:v>108.72146201460308</c:v>
                </c:pt>
                <c:pt idx="7">
                  <c:v>103.2902214926431</c:v>
                </c:pt>
                <c:pt idx="8">
                  <c:v>99.123044629786961</c:v>
                </c:pt>
                <c:pt idx="9">
                  <c:v>95.947937958411956</c:v>
                </c:pt>
                <c:pt idx="10">
                  <c:v>93.548197427109898</c:v>
                </c:pt>
                <c:pt idx="11">
                  <c:v>91.758141927655473</c:v>
                </c:pt>
                <c:pt idx="12">
                  <c:v>90.452741308222386</c:v>
                </c:pt>
                <c:pt idx="13">
                  <c:v>89.485037774032818</c:v>
                </c:pt>
                <c:pt idx="14">
                  <c:v>88.806710936911287</c:v>
                </c:pt>
                <c:pt idx="15">
                  <c:v>88.415535600028718</c:v>
                </c:pt>
                <c:pt idx="16">
                  <c:v>88.213657273326874</c:v>
                </c:pt>
                <c:pt idx="17">
                  <c:v>88.249149866864357</c:v>
                </c:pt>
                <c:pt idx="18">
                  <c:v>88.445822832013121</c:v>
                </c:pt>
                <c:pt idx="19">
                  <c:v>88.816204897834425</c:v>
                </c:pt>
                <c:pt idx="20">
                  <c:v>89.276338095335021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261073</xdr:colOff>
      <xdr:row>41</xdr:row>
      <xdr:rowOff>63679</xdr:rowOff>
    </xdr:from>
    <xdr:to>
      <xdr:col>18</xdr:col>
      <xdr:colOff>168088</xdr:colOff>
      <xdr:row>69</xdr:row>
      <xdr:rowOff>56029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44</xdr:row>
      <xdr:rowOff>9525</xdr:rowOff>
    </xdr:from>
    <xdr:to>
      <xdr:col>31</xdr:col>
      <xdr:colOff>571500</xdr:colOff>
      <xdr:row>67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8</xdr:col>
      <xdr:colOff>391508</xdr:colOff>
      <xdr:row>70</xdr:row>
      <xdr:rowOff>14707</xdr:rowOff>
    </xdr:from>
    <xdr:to>
      <xdr:col>21</xdr:col>
      <xdr:colOff>407616</xdr:colOff>
      <xdr:row>99</xdr:row>
      <xdr:rowOff>85077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216413</xdr:colOff>
      <xdr:row>103</xdr:row>
      <xdr:rowOff>13307</xdr:rowOff>
    </xdr:from>
    <xdr:to>
      <xdr:col>22</xdr:col>
      <xdr:colOff>355786</xdr:colOff>
      <xdr:row>132</xdr:row>
      <xdr:rowOff>38854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5</xdr:row>
      <xdr:rowOff>83343</xdr:rowOff>
    </xdr:from>
    <xdr:to>
      <xdr:col>15</xdr:col>
      <xdr:colOff>47625</xdr:colOff>
      <xdr:row>13</xdr:row>
      <xdr:rowOff>214312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7C6251-E582-4EC8-A1D2-68974E4575DC}"/>
            </a:ext>
          </a:extLst>
        </xdr:cNvPr>
        <xdr:cNvSpPr txBox="1"/>
      </xdr:nvSpPr>
      <xdr:spPr>
        <a:xfrm>
          <a:off x="6357938" y="91678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фонтанирующей скважины. Анализ работы по КРД, кривой притока и оттока.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Постройте распределние давления методом "сверху-вниз" и "снизу-вверх". При каком условии эти кривые совпадут?</a:t>
          </a:r>
        </a:p>
        <a:p>
          <a:r>
            <a:rPr lang="ru-RU" sz="1100" baseline="0"/>
            <a:t>2. С помощью кривых притока  </a:t>
          </a:r>
          <a:r>
            <a:rPr lang="en-US" sz="1100" baseline="0"/>
            <a:t>(IPR)</a:t>
          </a:r>
          <a:r>
            <a:rPr lang="ru-RU" sz="1100" baseline="0"/>
            <a:t> и оттока </a:t>
          </a:r>
          <a:r>
            <a:rPr lang="en-US" sz="1100" baseline="0"/>
            <a:t>(VLP</a:t>
          </a:r>
          <a:r>
            <a:rPr lang="ru-RU" sz="1100" baseline="0"/>
            <a:t>) определите рабочую точку системы "подъемник-пласт". От чего зависит ее положение?</a:t>
          </a:r>
        </a:p>
        <a:p>
          <a:r>
            <a:rPr lang="ru-RU" sz="1100" baseline="0"/>
            <a:t>3. Как газовый фактор влияет на кривую оттока?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MF_p_pipe_atma"/>
      <definedName name="PVT_encode_string"/>
      <definedName name="well_encode_string"/>
      <definedName name="well_pwf_plin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Z138"/>
  <sheetViews>
    <sheetView tabSelected="1" zoomScale="70" zoomScaleNormal="70" workbookViewId="0">
      <selection activeCell="J4" sqref="J4"/>
    </sheetView>
  </sheetViews>
  <sheetFormatPr defaultRowHeight="12.75" outlineLevelRow="1" x14ac:dyDescent="0.35"/>
  <cols>
    <col min="2" max="2" width="28.265625" customWidth="1"/>
    <col min="3" max="3" width="9.796875" customWidth="1"/>
    <col min="4" max="4" width="11.53125" style="4" bestFit="1" customWidth="1"/>
    <col min="5" max="5" width="11.265625" customWidth="1"/>
    <col min="6" max="6" width="13" bestFit="1" customWidth="1"/>
    <col min="7" max="7" width="10.796875" bestFit="1" customWidth="1"/>
    <col min="8" max="8" width="15.796875" bestFit="1" customWidth="1"/>
    <col min="9" max="9" width="10.796875" bestFit="1" customWidth="1"/>
    <col min="10" max="10" width="11.265625" customWidth="1"/>
    <col min="11" max="11" width="10.19921875" customWidth="1"/>
  </cols>
  <sheetData>
    <row r="1" spans="1:7" ht="13.15" x14ac:dyDescent="0.4">
      <c r="A1" s="1" t="s">
        <v>33</v>
      </c>
      <c r="F1" t="s">
        <v>34</v>
      </c>
      <c r="G1" t="str">
        <f>[1]!getUFVersion()</f>
        <v>7.12</v>
      </c>
    </row>
    <row r="2" spans="1:7" x14ac:dyDescent="0.35">
      <c r="A2" t="s">
        <v>72</v>
      </c>
    </row>
    <row r="3" spans="1:7" x14ac:dyDescent="0.35">
      <c r="A3" s="30"/>
    </row>
    <row r="6" spans="1:7" ht="13.15" x14ac:dyDescent="0.4">
      <c r="A6" s="1" t="s">
        <v>12</v>
      </c>
    </row>
    <row r="7" spans="1:7" ht="16.5" x14ac:dyDescent="0.55000000000000004">
      <c r="A7" s="1"/>
      <c r="B7" s="19" t="s">
        <v>36</v>
      </c>
      <c r="C7" s="2">
        <v>0.87</v>
      </c>
      <c r="D7" s="15"/>
      <c r="E7" s="13">
        <f>gamma_oil_*1000</f>
        <v>870</v>
      </c>
      <c r="F7" s="15" t="s">
        <v>48</v>
      </c>
    </row>
    <row r="8" spans="1:7" ht="16.5" outlineLevel="1" x14ac:dyDescent="0.55000000000000004">
      <c r="B8" s="15" t="s">
        <v>37</v>
      </c>
      <c r="C8" s="2">
        <v>1</v>
      </c>
      <c r="D8" s="15"/>
      <c r="E8" s="13">
        <f>gamma_wat_*1000</f>
        <v>1000</v>
      </c>
      <c r="F8" s="15" t="s">
        <v>48</v>
      </c>
    </row>
    <row r="9" spans="1:7" ht="16.5" outlineLevel="1" x14ac:dyDescent="0.55000000000000004">
      <c r="B9" s="15" t="s">
        <v>38</v>
      </c>
      <c r="C9" s="2">
        <v>0.8</v>
      </c>
      <c r="D9" s="15"/>
      <c r="E9" s="13">
        <f>gamma_gas_*1.22</f>
        <v>0.97599999999999998</v>
      </c>
      <c r="F9" s="15" t="s">
        <v>48</v>
      </c>
    </row>
    <row r="10" spans="1:7" ht="16.5" outlineLevel="1" x14ac:dyDescent="0.55000000000000004">
      <c r="B10" s="20" t="s">
        <v>39</v>
      </c>
      <c r="C10" s="2">
        <v>80</v>
      </c>
      <c r="D10" s="15" t="s">
        <v>52</v>
      </c>
      <c r="E10" s="14">
        <f>Rsb_/gamma_oil_</f>
        <v>91.954022988505741</v>
      </c>
      <c r="F10" s="15" t="s">
        <v>49</v>
      </c>
    </row>
    <row r="11" spans="1:7" ht="16.5" outlineLevel="1" x14ac:dyDescent="0.55000000000000004">
      <c r="B11" s="20" t="s">
        <v>40</v>
      </c>
      <c r="C11" s="2">
        <v>80</v>
      </c>
      <c r="D11" s="15" t="s">
        <v>52</v>
      </c>
      <c r="E11" s="14">
        <f>Rsb_/gamma_oil_</f>
        <v>91.954022988505741</v>
      </c>
      <c r="F11" s="15" t="s">
        <v>49</v>
      </c>
    </row>
    <row r="12" spans="1:7" ht="15.75" outlineLevel="1" x14ac:dyDescent="0.55000000000000004">
      <c r="B12" s="15" t="s">
        <v>41</v>
      </c>
      <c r="C12" s="2">
        <v>150</v>
      </c>
      <c r="D12" s="15" t="s">
        <v>53</v>
      </c>
      <c r="E12" s="14">
        <f>Pb_*1.01325</f>
        <v>151.98750000000001</v>
      </c>
      <c r="F12" s="15" t="s">
        <v>50</v>
      </c>
    </row>
    <row r="13" spans="1:7" ht="15.75" outlineLevel="1" x14ac:dyDescent="0.55000000000000004">
      <c r="B13" s="15" t="s">
        <v>42</v>
      </c>
      <c r="C13" s="2">
        <v>80</v>
      </c>
      <c r="D13" s="15" t="s">
        <v>2</v>
      </c>
      <c r="E13" s="14">
        <f>Tres_*9/5+32</f>
        <v>176</v>
      </c>
      <c r="F13" s="15" t="s">
        <v>51</v>
      </c>
    </row>
    <row r="14" spans="1:7" ht="16.5" outlineLevel="1" x14ac:dyDescent="0.55000000000000004">
      <c r="B14" s="20" t="s">
        <v>43</v>
      </c>
      <c r="C14" s="2">
        <v>1.2</v>
      </c>
      <c r="D14" s="15" t="s">
        <v>52</v>
      </c>
    </row>
    <row r="15" spans="1:7" ht="15" outlineLevel="1" x14ac:dyDescent="0.5">
      <c r="B15" s="20" t="s">
        <v>54</v>
      </c>
      <c r="C15" s="2">
        <v>0</v>
      </c>
      <c r="D15" s="15" t="s">
        <v>3</v>
      </c>
    </row>
    <row r="16" spans="1:7" ht="15.75" outlineLevel="1" x14ac:dyDescent="0.55000000000000004">
      <c r="B16" s="21" t="s">
        <v>65</v>
      </c>
      <c r="C16" s="2">
        <v>1</v>
      </c>
      <c r="D16" s="15" t="s">
        <v>66</v>
      </c>
    </row>
    <row r="17" spans="1:26" outlineLevel="1" x14ac:dyDescent="0.35">
      <c r="B17" s="16"/>
      <c r="C17" s="17"/>
      <c r="D17" s="17"/>
    </row>
    <row r="18" spans="1:26" x14ac:dyDescent="0.35">
      <c r="B18" s="3"/>
      <c r="C18" s="4"/>
    </row>
    <row r="19" spans="1:26" ht="13.15" x14ac:dyDescent="0.4">
      <c r="A19" s="1" t="s">
        <v>13</v>
      </c>
      <c r="B19" s="3"/>
      <c r="C19" s="4"/>
    </row>
    <row r="20" spans="1:26" ht="15" outlineLevel="1" x14ac:dyDescent="0.5">
      <c r="B20" s="20" t="s">
        <v>55</v>
      </c>
      <c r="C20" s="2">
        <v>2000</v>
      </c>
      <c r="D20" s="15" t="s">
        <v>4</v>
      </c>
      <c r="G20" s="18" t="s">
        <v>35</v>
      </c>
    </row>
    <row r="21" spans="1:26" ht="15" outlineLevel="1" x14ac:dyDescent="0.5">
      <c r="B21" s="20" t="s">
        <v>56</v>
      </c>
      <c r="C21" s="2">
        <v>0</v>
      </c>
      <c r="D21" s="15" t="s">
        <v>4</v>
      </c>
      <c r="G21" s="11" t="str">
        <f>[1]!PVT_encode_string(gamma_gas_,gamma_oil_,,Rsb_,Rp_,Pb_,Tres_,Bob_,muob_)</f>
        <v>gamma_gas:0,800;gamma_oil:0,870;gamma_wat:1,000;rsb_m3m3:80,000;rp_m3m3:80,000;pb_atma:150,000;tres_C:80,000;bob_m3m3:1,200;muob_cP:1,000;PVTcorr:0;ksep_fr:0,000;p_ksep_atma:-1,000;t_ksep_C:-1,000;gas_only:False;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" outlineLevel="1" x14ac:dyDescent="0.5">
      <c r="B22" s="20" t="s">
        <v>62</v>
      </c>
      <c r="C22" s="2">
        <v>2000</v>
      </c>
      <c r="D22" s="15" t="s">
        <v>4</v>
      </c>
      <c r="G22" s="32" t="s">
        <v>67</v>
      </c>
      <c r="H22" s="32"/>
    </row>
    <row r="23" spans="1:26" ht="14.25" outlineLevel="1" x14ac:dyDescent="0.45">
      <c r="B23" s="21" t="s">
        <v>63</v>
      </c>
      <c r="C23" s="2">
        <v>90</v>
      </c>
      <c r="D23" s="15" t="s">
        <v>64</v>
      </c>
      <c r="G23" s="31" t="str">
        <f>[1]!well_encode_string(Hmes_,Htube_,Udl_,Dcas_,Dtub_,0,,Twf_,Tbuf_)</f>
        <v>h_perf_m:2000,00000;h_pump_m:2000,00000;udl_m:0,00000;d_cas_mm:125,00000;dtub_mm:62,00000;dchoke_mm:0,00000;roughness_m:0,00010;t_bh_C:80,00000;t_wh_C:20,00000;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6" ht="15" outlineLevel="1" x14ac:dyDescent="0.5">
      <c r="B24" s="20" t="s">
        <v>57</v>
      </c>
      <c r="C24" s="2">
        <v>125</v>
      </c>
      <c r="D24" s="15" t="s">
        <v>5</v>
      </c>
    </row>
    <row r="25" spans="1:26" ht="15" outlineLevel="1" x14ac:dyDescent="0.5">
      <c r="B25" s="20" t="s">
        <v>58</v>
      </c>
      <c r="C25" s="2">
        <v>73</v>
      </c>
      <c r="D25" s="15" t="s">
        <v>5</v>
      </c>
    </row>
    <row r="26" spans="1:26" ht="15" outlineLevel="1" x14ac:dyDescent="0.5">
      <c r="B26" s="20" t="s">
        <v>59</v>
      </c>
      <c r="C26" s="2">
        <v>62</v>
      </c>
      <c r="D26" s="15" t="s">
        <v>5</v>
      </c>
    </row>
    <row r="27" spans="1:26" ht="15" outlineLevel="1" x14ac:dyDescent="0.5">
      <c r="B27" s="20" t="s">
        <v>60</v>
      </c>
      <c r="C27" s="2">
        <v>20</v>
      </c>
      <c r="D27" s="15" t="s">
        <v>1</v>
      </c>
    </row>
    <row r="28" spans="1:26" ht="15" outlineLevel="1" x14ac:dyDescent="0.5">
      <c r="B28" s="20" t="s">
        <v>71</v>
      </c>
      <c r="C28" s="2">
        <v>0</v>
      </c>
      <c r="D28" s="15" t="s">
        <v>1</v>
      </c>
    </row>
    <row r="29" spans="1:26" ht="15" outlineLevel="1" x14ac:dyDescent="0.5">
      <c r="B29" s="20" t="s">
        <v>61</v>
      </c>
      <c r="C29" s="2">
        <v>70</v>
      </c>
      <c r="D29" s="15" t="s">
        <v>1</v>
      </c>
    </row>
    <row r="30" spans="1:26" ht="15" outlineLevel="1" x14ac:dyDescent="0.5">
      <c r="B30" s="20" t="s">
        <v>68</v>
      </c>
      <c r="C30" s="2">
        <f>Tres_</f>
        <v>80</v>
      </c>
      <c r="D30" s="15" t="s">
        <v>70</v>
      </c>
    </row>
    <row r="31" spans="1:26" ht="15" x14ac:dyDescent="0.5">
      <c r="B31" s="20" t="s">
        <v>69</v>
      </c>
      <c r="C31" s="13">
        <f>$D$49</f>
        <v>20</v>
      </c>
      <c r="D31" s="15" t="s">
        <v>70</v>
      </c>
    </row>
    <row r="32" spans="1:26" ht="13.15" x14ac:dyDescent="0.4">
      <c r="A32" s="1" t="s">
        <v>14</v>
      </c>
    </row>
    <row r="33" spans="1:10" x14ac:dyDescent="0.35">
      <c r="B33" s="15" t="s">
        <v>44</v>
      </c>
      <c r="C33" s="2">
        <v>3</v>
      </c>
      <c r="D33" s="15" t="s">
        <v>7</v>
      </c>
    </row>
    <row r="34" spans="1:10" ht="15" x14ac:dyDescent="0.5">
      <c r="B34" s="15" t="s">
        <v>45</v>
      </c>
      <c r="C34" s="2">
        <v>250</v>
      </c>
      <c r="D34" s="15" t="s">
        <v>1</v>
      </c>
    </row>
    <row r="35" spans="1:10" x14ac:dyDescent="0.35">
      <c r="B35" s="15" t="s">
        <v>46</v>
      </c>
      <c r="C35" s="8">
        <f>[1]!IPR_pi_sm3dayatm(Qtest_,Pwf_,Pres_,fw_,Pb_)</f>
        <v>0.62097516099356032</v>
      </c>
      <c r="D35" s="15" t="s">
        <v>24</v>
      </c>
    </row>
    <row r="37" spans="1:10" x14ac:dyDescent="0.35">
      <c r="B37" s="15" t="s">
        <v>8</v>
      </c>
      <c r="C37" s="2">
        <v>20</v>
      </c>
      <c r="D37" s="15"/>
    </row>
    <row r="38" spans="1:10" outlineLevel="1" x14ac:dyDescent="0.35"/>
    <row r="39" spans="1:10" ht="13.15" x14ac:dyDescent="0.4">
      <c r="A39" s="1" t="s">
        <v>25</v>
      </c>
      <c r="B39" s="1"/>
      <c r="C39" s="1"/>
      <c r="D39" s="9"/>
    </row>
    <row r="40" spans="1:10" ht="15" outlineLevel="1" x14ac:dyDescent="0.5">
      <c r="B40" s="20" t="s">
        <v>47</v>
      </c>
      <c r="C40" s="2">
        <v>100</v>
      </c>
      <c r="D40" s="15" t="s">
        <v>6</v>
      </c>
    </row>
    <row r="41" spans="1:10" outlineLevel="1" x14ac:dyDescent="0.35">
      <c r="B41" s="3"/>
      <c r="C41" s="4"/>
    </row>
    <row r="42" spans="1:10" outlineLevel="1" x14ac:dyDescent="0.35">
      <c r="A42" t="s">
        <v>19</v>
      </c>
    </row>
    <row r="43" spans="1:10" outlineLevel="1" x14ac:dyDescent="0.35">
      <c r="A43" t="s">
        <v>15</v>
      </c>
    </row>
    <row r="44" spans="1:10" outlineLevel="1" x14ac:dyDescent="0.35">
      <c r="A44" t="s">
        <v>16</v>
      </c>
    </row>
    <row r="45" spans="1:10" outlineLevel="1" x14ac:dyDescent="0.35"/>
    <row r="46" spans="1:10" outlineLevel="1" x14ac:dyDescent="0.35"/>
    <row r="47" spans="1:10" outlineLevel="1" x14ac:dyDescent="0.35"/>
    <row r="48" spans="1:10" ht="26.25" outlineLevel="1" x14ac:dyDescent="0.4">
      <c r="C48" s="24" t="s">
        <v>10</v>
      </c>
      <c r="D48" s="24" t="s">
        <v>9</v>
      </c>
      <c r="E48" s="25" t="s">
        <v>17</v>
      </c>
      <c r="J48" s="23" t="s">
        <v>18</v>
      </c>
    </row>
    <row r="49" spans="3:10" outlineLevel="1" x14ac:dyDescent="0.35">
      <c r="C49" s="5">
        <v>0</v>
      </c>
      <c r="D49" s="5">
        <f t="shared" ref="D49:D68" si="0">D50-Tgrad*(C50-C49)/100</f>
        <v>20</v>
      </c>
      <c r="E49" s="27">
        <f>self_flow_well!Pbuf_</f>
        <v>20</v>
      </c>
      <c r="F49" s="6"/>
      <c r="G49" s="6"/>
      <c r="H49" s="6"/>
      <c r="J49" s="29">
        <f>[1]!MF_p_pipe_atma(Qtest_,fw_,$C$69-C49,$J$69,1,PVRstr1_,theta_,Dtub_,,$D$69,D49)</f>
        <v>19.757708706382058</v>
      </c>
    </row>
    <row r="50" spans="3:10" outlineLevel="1" x14ac:dyDescent="0.35">
      <c r="C50" s="5">
        <f t="shared" ref="C50:C69" si="1">C49+Hmes_/N_</f>
        <v>100</v>
      </c>
      <c r="D50" s="5">
        <f t="shared" si="0"/>
        <v>23</v>
      </c>
      <c r="E50" s="29">
        <f>[1]!MF_p_pipe_atma(Qtest_,fw_,C50-$C$49,$E$49,0,PVRstr1_,theta_,Dtub_,,$D$49,D50)</f>
        <v>23.919082974207917</v>
      </c>
      <c r="J50" s="29">
        <f>[1]!MF_p_pipe_atma(Qtest_,fw_,$C$69-C50,$J$69,1,PVRstr1_,theta_,Dtub_,,$D$69,D50)</f>
        <v>23.656415294182356</v>
      </c>
    </row>
    <row r="51" spans="3:10" outlineLevel="1" x14ac:dyDescent="0.35">
      <c r="C51" s="5">
        <f t="shared" si="1"/>
        <v>200</v>
      </c>
      <c r="D51" s="5">
        <f t="shared" si="0"/>
        <v>26</v>
      </c>
      <c r="E51" s="29">
        <f>[1]!MF_p_pipe_atma(Qtest_,fw_,C51-$C$49,$E$49,0,PVRstr1_,theta_,Dtub_,,$D$49,D51)</f>
        <v>28.118463156250751</v>
      </c>
      <c r="J51" s="29">
        <f>[1]!MF_p_pipe_atma(Qtest_,fw_,$C$69-C51,$J$69,1,PVRstr1_,theta_,Dtub_,,$D$69,D51)</f>
        <v>27.835985903200218</v>
      </c>
    </row>
    <row r="52" spans="3:10" outlineLevel="1" x14ac:dyDescent="0.35">
      <c r="C52" s="5">
        <f t="shared" si="1"/>
        <v>300</v>
      </c>
      <c r="D52" s="5">
        <f t="shared" si="0"/>
        <v>29</v>
      </c>
      <c r="E52" s="29">
        <f>[1]!MF_p_pipe_atma(Qtest_,fw_,C52-$C$49,$E$49,0,PVRstr1_,theta_,Dtub_,,$D$49,D52)</f>
        <v>32.584405899554511</v>
      </c>
      <c r="J52" s="29">
        <f>[1]!MF_p_pipe_atma(Qtest_,fw_,$C$69-C52,$J$69,1,PVRstr1_,theta_,Dtub_,,$D$69,D52)</f>
        <v>32.282890558072431</v>
      </c>
    </row>
    <row r="53" spans="3:10" outlineLevel="1" x14ac:dyDescent="0.35">
      <c r="C53" s="5">
        <f t="shared" si="1"/>
        <v>400</v>
      </c>
      <c r="D53" s="5">
        <f t="shared" si="0"/>
        <v>32</v>
      </c>
      <c r="E53" s="29">
        <f>[1]!MF_p_pipe_atma(Qtest_,fw_,C53-$C$49,$E$49,0,PVRstr1_,theta_,Dtub_,,$D$49,D53)</f>
        <v>37.300757654794388</v>
      </c>
      <c r="J53" s="29">
        <f>[1]!MF_p_pipe_atma(Qtest_,fw_,$C$69-C53,$J$69,1,PVRstr1_,theta_,Dtub_,,$D$69,D53)</f>
        <v>36.981120808102538</v>
      </c>
    </row>
    <row r="54" spans="3:10" outlineLevel="1" x14ac:dyDescent="0.35">
      <c r="C54" s="5">
        <f t="shared" si="1"/>
        <v>500</v>
      </c>
      <c r="D54" s="5">
        <f t="shared" si="0"/>
        <v>35</v>
      </c>
      <c r="E54" s="29">
        <f>[1]!MF_p_pipe_atma(Qtest_,fw_,C54-$C$49,$E$49,0,PVRstr1_,theta_,Dtub_,,$D$49,D54)</f>
        <v>42.249912841712224</v>
      </c>
      <c r="G54" s="30"/>
      <c r="J54" s="29">
        <f>[1]!MF_p_pipe_atma(Qtest_,fw_,$C$69-C54,$J$69,1,PVRstr1_,theta_,Dtub_,,$D$69,D54)</f>
        <v>41.913167280819408</v>
      </c>
    </row>
    <row r="55" spans="3:10" outlineLevel="1" x14ac:dyDescent="0.35">
      <c r="C55" s="5">
        <f t="shared" si="1"/>
        <v>600</v>
      </c>
      <c r="D55" s="5">
        <f t="shared" si="0"/>
        <v>38</v>
      </c>
      <c r="E55" s="29">
        <f>[1]!MF_p_pipe_atma(Qtest_,fw_,C55-$C$49,$E$49,0,PVRstr1_,theta_,Dtub_,,$D$49,D55)</f>
        <v>47.413569804466761</v>
      </c>
      <c r="J55" s="29">
        <f>[1]!MF_p_pipe_atma(Qtest_,fw_,$C$69-C55,$J$69,1,PVRstr1_,theta_,Dtub_,,$D$69,D55)</f>
        <v>47.060785671512278</v>
      </c>
    </row>
    <row r="56" spans="3:10" outlineLevel="1" x14ac:dyDescent="0.35">
      <c r="C56" s="5">
        <f t="shared" si="1"/>
        <v>700</v>
      </c>
      <c r="D56" s="5">
        <f t="shared" si="0"/>
        <v>41</v>
      </c>
      <c r="E56" s="29">
        <f>[1]!MF_p_pipe_atma(Qtest_,fw_,C56-$C$49,$E$49,0,PVRstr1_,theta_,Dtub_,,$D$49,D56)</f>
        <v>52.773504295733495</v>
      </c>
      <c r="J56" s="29">
        <f>[1]!MF_p_pipe_atma(Qtest_,fw_,$C$69-C56,$J$69,1,PVRstr1_,theta_,Dtub_,,$D$69,D56)</f>
        <v>52.405768811071766</v>
      </c>
    </row>
    <row r="57" spans="3:10" outlineLevel="1" x14ac:dyDescent="0.35">
      <c r="C57" s="5">
        <f t="shared" si="1"/>
        <v>800</v>
      </c>
      <c r="D57" s="5">
        <f t="shared" si="0"/>
        <v>44</v>
      </c>
      <c r="E57" s="29">
        <f>[1]!MF_p_pipe_atma(Qtest_,fw_,C57-$C$49,$E$49,0,PVRstr1_,theta_,Dtub_,,$D$49,D57)</f>
        <v>58.311794844606624</v>
      </c>
      <c r="J57" s="29">
        <f>[1]!MF_p_pipe_atma(Qtest_,fw_,$C$69-C57,$J$69,1,PVRstr1_,theta_,Dtub_,,$D$69,D57)</f>
        <v>57.930191359304658</v>
      </c>
    </row>
    <row r="58" spans="3:10" outlineLevel="1" x14ac:dyDescent="0.35">
      <c r="C58" s="5">
        <f t="shared" si="1"/>
        <v>900</v>
      </c>
      <c r="D58" s="5">
        <f t="shared" si="0"/>
        <v>47</v>
      </c>
      <c r="E58" s="29">
        <f>[1]!MF_p_pipe_atma(Qtest_,fw_,C58-$C$49,$E$49,0,PVRstr1_,theta_,Dtub_,,$D$49,D58)</f>
        <v>64.011080129314465</v>
      </c>
      <c r="J58" s="29">
        <f>[1]!MF_p_pipe_atma(Qtest_,fw_,$C$69-C58,$J$69,1,PVRstr1_,theta_,Dtub_,,$D$69,D58)</f>
        <v>63.616664081525528</v>
      </c>
    </row>
    <row r="59" spans="3:10" outlineLevel="1" x14ac:dyDescent="0.35">
      <c r="C59" s="5">
        <f t="shared" si="1"/>
        <v>1000</v>
      </c>
      <c r="D59" s="5">
        <f t="shared" si="0"/>
        <v>50</v>
      </c>
      <c r="E59" s="29">
        <f>[1]!MF_p_pipe_atma(Qtest_,fw_,C59-$C$49,$E$49,0,PVRstr1_,theta_,Dtub_,,$D$49,D59)</f>
        <v>69.854935735706931</v>
      </c>
      <c r="J59" s="29">
        <f>[1]!MF_p_pipe_atma(Qtest_,fw_,$C$69-C59,$J$69,1,PVRstr1_,theta_,Dtub_,,$D$69,D59)</f>
        <v>69.448718690165251</v>
      </c>
    </row>
    <row r="60" spans="3:10" outlineLevel="1" x14ac:dyDescent="0.35">
      <c r="C60" s="5">
        <f t="shared" si="1"/>
        <v>1100</v>
      </c>
      <c r="D60" s="5">
        <f t="shared" si="0"/>
        <v>53</v>
      </c>
      <c r="E60" s="29">
        <f>[1]!MF_p_pipe_atma(Qtest_,fw_,C60-$C$49,$E$49,0,PVRstr1_,theta_,Dtub_,,$D$49,D60)</f>
        <v>75.828029104132668</v>
      </c>
      <c r="J60" s="29">
        <f>[1]!MF_p_pipe_atma(Qtest_,fw_,$C$69-C60,$J$69,1,PVRstr1_,theta_,Dtub_,,$D$69,D60)</f>
        <v>75.410967757019719</v>
      </c>
    </row>
    <row r="61" spans="3:10" outlineLevel="1" x14ac:dyDescent="0.35">
      <c r="C61" s="5">
        <f t="shared" si="1"/>
        <v>1200</v>
      </c>
      <c r="D61" s="5">
        <f t="shared" si="0"/>
        <v>56</v>
      </c>
      <c r="E61" s="29">
        <f>[1]!MF_p_pipe_atma(Qtest_,fw_,C61-$C$49,$E$49,0,PVRstr1_,theta_,Dtub_,,$D$49,D61)</f>
        <v>81.916203049332694</v>
      </c>
      <c r="J61" s="29">
        <f>[1]!MF_p_pipe_atma(Qtest_,fw_,$C$69-C61,$J$69,1,PVRstr1_,theta_,Dtub_,,$D$69,D61)</f>
        <v>81.489192401372563</v>
      </c>
    </row>
    <row r="62" spans="3:10" outlineLevel="1" x14ac:dyDescent="0.35">
      <c r="C62" s="5">
        <f t="shared" si="1"/>
        <v>1300</v>
      </c>
      <c r="D62" s="5">
        <f t="shared" si="0"/>
        <v>59</v>
      </c>
      <c r="E62" s="29">
        <f>[1]!MF_p_pipe_atma(Qtest_,fw_,C62-$C$49,$E$49,0,PVRstr1_,theta_,Dtub_,,$D$49,D62)</f>
        <v>88.106503443920431</v>
      </c>
      <c r="J62" s="29">
        <f>[1]!MF_p_pipe_atma(Qtest_,fw_,$C$69-C62,$J$69,1,PVRstr1_,theta_,Dtub_,,$D$69,D62)</f>
        <v>87.670373323544482</v>
      </c>
    </row>
    <row r="63" spans="3:10" outlineLevel="1" x14ac:dyDescent="0.35">
      <c r="C63" s="5">
        <f t="shared" si="1"/>
        <v>1400</v>
      </c>
      <c r="D63" s="5">
        <f t="shared" si="0"/>
        <v>62</v>
      </c>
      <c r="E63" s="29">
        <f>[1]!MF_p_pipe_atma(Qtest_,fw_,C63-$C$49,$E$49,0,PVRstr1_,theta_,Dtub_,,$D$49,D63)</f>
        <v>94.387168869531934</v>
      </c>
      <c r="J63" s="29">
        <f>[1]!MF_p_pipe_atma(Qtest_,fw_,$C$69-C63,$J$69,1,PVRstr1_,theta_,Dtub_,,$D$69,D63)</f>
        <v>93.942807410468035</v>
      </c>
    </row>
    <row r="64" spans="3:10" outlineLevel="1" x14ac:dyDescent="0.35">
      <c r="C64" s="5">
        <f t="shared" si="1"/>
        <v>1500</v>
      </c>
      <c r="D64" s="5">
        <f t="shared" si="0"/>
        <v>65</v>
      </c>
      <c r="E64" s="29">
        <f>[1]!MF_p_pipe_atma(Qtest_,fw_,C64-$C$49,$E$49,0,PVRstr1_,theta_,Dtub_,,$D$49,D64)</f>
        <v>100.8172836039513</v>
      </c>
      <c r="J64" s="29">
        <f>[1]!MF_p_pipe_atma(Qtest_,fw_,$C$69-C64,$J$69,1,PVRstr1_,theta_,Dtub_,,$D$69,D64)</f>
        <v>100.35539446609654</v>
      </c>
    </row>
    <row r="65" spans="1:10" outlineLevel="1" x14ac:dyDescent="0.35">
      <c r="C65" s="5">
        <f t="shared" si="1"/>
        <v>1600</v>
      </c>
      <c r="D65" s="5">
        <f t="shared" si="0"/>
        <v>68</v>
      </c>
      <c r="E65" s="29">
        <f>[1]!MF_p_pipe_atma(Qtest_,fw_,C65-$C$49,$E$49,0,PVRstr1_,theta_,Dtub_,,$D$49,D65)</f>
        <v>107.43416332544071</v>
      </c>
      <c r="J65" s="29">
        <f>[1]!MF_p_pipe_atma(Qtest_,fw_,$C$69-C65,$J$69,1,PVRstr1_,theta_,Dtub_,,$D$69,D65)</f>
        <v>106.95529068281218</v>
      </c>
    </row>
    <row r="66" spans="1:10" outlineLevel="1" x14ac:dyDescent="0.35">
      <c r="C66" s="5">
        <f t="shared" si="1"/>
        <v>1700</v>
      </c>
      <c r="D66" s="5">
        <f t="shared" si="0"/>
        <v>71</v>
      </c>
      <c r="E66" s="29">
        <f>[1]!MF_p_pipe_atma(Qtest_,fw_,C66-$C$49,$E$49,0,PVRstr1_,theta_,Dtub_,,$D$49,D66)</f>
        <v>114.22659226990068</v>
      </c>
      <c r="J66" s="29">
        <f>[1]!MF_p_pipe_atma(Qtest_,fw_,$C$69-C66,$J$69,1,PVRstr1_,theta_,Dtub_,,$D$69,D66)</f>
        <v>113.73146318346359</v>
      </c>
    </row>
    <row r="67" spans="1:10" outlineLevel="1" x14ac:dyDescent="0.35">
      <c r="C67" s="5">
        <f t="shared" si="1"/>
        <v>1800</v>
      </c>
      <c r="D67" s="5">
        <f t="shared" si="0"/>
        <v>74</v>
      </c>
      <c r="E67" s="29">
        <f>[1]!MF_p_pipe_atma(Qtest_,fw_,C67-$C$49,$E$49,0,PVRstr1_,theta_,Dtub_,,$D$49,D67)</f>
        <v>121.18149417023243</v>
      </c>
      <c r="J67" s="29">
        <f>[1]!MF_p_pipe_atma(Qtest_,fw_,$C$69-C67,$J$69,1,PVRstr1_,theta_,Dtub_,,$D$69,D67)</f>
        <v>120.67086657755249</v>
      </c>
    </row>
    <row r="68" spans="1:10" outlineLevel="1" x14ac:dyDescent="0.35">
      <c r="C68" s="5">
        <f t="shared" si="1"/>
        <v>1900</v>
      </c>
      <c r="D68" s="5">
        <f t="shared" si="0"/>
        <v>77</v>
      </c>
      <c r="E68" s="29">
        <f>[1]!MF_p_pipe_atma(Qtest_,fw_,C68-$C$49,$E$49,0,PVRstr1_,theta_,Dtub_,,$D$49,D68)</f>
        <v>128.2890744619144</v>
      </c>
      <c r="J68" s="29">
        <f>[1]!MF_p_pipe_atma(Qtest_,fw_,$C$69-C68,$J$69,1,PVRstr1_,theta_,Dtub_,,$D$69,D68)</f>
        <v>127.76351147587658</v>
      </c>
    </row>
    <row r="69" spans="1:10" outlineLevel="1" x14ac:dyDescent="0.35">
      <c r="C69" s="5">
        <f t="shared" si="1"/>
        <v>2000</v>
      </c>
      <c r="D69" s="5">
        <f>Tres_</f>
        <v>80</v>
      </c>
      <c r="E69" s="29">
        <f>[1]!MF_p_pipe_atma(Qtest_,fw_,C69-$C$49,$E$49,0,PVRstr1_,theta_,Dtub_,,$D$49,D69)</f>
        <v>135.53993957236688</v>
      </c>
      <c r="J69" s="27">
        <v>135</v>
      </c>
    </row>
    <row r="70" spans="1:10" outlineLevel="1" x14ac:dyDescent="0.35"/>
    <row r="71" spans="1:10" outlineLevel="1" x14ac:dyDescent="0.35">
      <c r="A71" t="s">
        <v>20</v>
      </c>
    </row>
    <row r="72" spans="1:10" outlineLevel="1" x14ac:dyDescent="0.35">
      <c r="A72" t="s">
        <v>21</v>
      </c>
      <c r="G72" s="30"/>
    </row>
    <row r="73" spans="1:10" outlineLevel="1" x14ac:dyDescent="0.35"/>
    <row r="74" spans="1:10" x14ac:dyDescent="0.35">
      <c r="A74" t="s">
        <v>26</v>
      </c>
      <c r="E74" s="15" t="s">
        <v>22</v>
      </c>
      <c r="F74" s="27">
        <v>110</v>
      </c>
    </row>
    <row r="75" spans="1:10" ht="15" x14ac:dyDescent="0.5">
      <c r="A75" s="12" t="s">
        <v>27</v>
      </c>
      <c r="B75" s="26">
        <f>E69</f>
        <v>135.53993957236688</v>
      </c>
      <c r="C75" s="12" t="s">
        <v>1</v>
      </c>
      <c r="H75" s="20" t="s">
        <v>54</v>
      </c>
    </row>
    <row r="76" spans="1:10" x14ac:dyDescent="0.35">
      <c r="H76" s="28">
        <v>20</v>
      </c>
    </row>
    <row r="77" spans="1:10" ht="13.15" x14ac:dyDescent="0.4">
      <c r="A77" t="s">
        <v>23</v>
      </c>
      <c r="E77" s="22" t="s">
        <v>0</v>
      </c>
      <c r="F77" s="22" t="s">
        <v>29</v>
      </c>
      <c r="G77" s="22" t="s">
        <v>30</v>
      </c>
      <c r="H77" s="22" t="s">
        <v>30</v>
      </c>
      <c r="I77" s="9"/>
    </row>
    <row r="78" spans="1:10" x14ac:dyDescent="0.35">
      <c r="A78" s="12" t="s">
        <v>28</v>
      </c>
      <c r="B78" s="26">
        <v>0.6</v>
      </c>
      <c r="C78" s="10" t="s">
        <v>31</v>
      </c>
      <c r="E78" s="27">
        <v>1</v>
      </c>
      <c r="F78" s="29">
        <f>[1]!IPR_pwf_atma(PI_1,Pres_,E78,fw_,Pb_)</f>
        <v>248.33333333333334</v>
      </c>
      <c r="G78" s="29">
        <f>[1]!well_pwf_plin_atma(E78,fw_,Pbuf_,Hmes_,Pcas_,,PVRstr1_,,Hmes_,Dtub_,Dcas_,Twf_,,,Twf_)</f>
        <v>184.97607066819606</v>
      </c>
      <c r="H78" s="29">
        <f>[1]!well_pwf_plin_atma(E78,fw_2,Pbuf_,Hmes_,Pcas_,,PVRstr1_,,Hmes_,Dtub_,Dcas_,Twf_,,,Twf_)</f>
        <v>190.92822309587905</v>
      </c>
    </row>
    <row r="79" spans="1:10" x14ac:dyDescent="0.35">
      <c r="E79" s="27">
        <f t="shared" ref="E79:E98" si="2">E78+Qmax_/N_</f>
        <v>6.5</v>
      </c>
      <c r="F79" s="29">
        <f>[1]!IPR_pwf_atma(PI_1,Pres_,E79,fw_,Pb_)</f>
        <v>239.16666666666666</v>
      </c>
      <c r="G79" s="29">
        <f>[1]!well_pwf_plin_atma(E79,fw_,Pbuf_,Hmes_,Pcas_,,PVRstr1_,,Hmes_,Dtub_,Dcas_,Twf_,,,Twf_)</f>
        <v>184.90001376294441</v>
      </c>
      <c r="H79" s="29">
        <f>[1]!well_pwf_plin_atma(E79,fw_2,Pbuf_,Hmes_,Pcas_,,PVRstr1_,,Hmes_,Dtub_,Dcas_,Twf_,,,Twf_)</f>
        <v>190.93807955347597</v>
      </c>
    </row>
    <row r="80" spans="1:10" x14ac:dyDescent="0.35">
      <c r="E80" s="27">
        <f t="shared" si="2"/>
        <v>12</v>
      </c>
      <c r="F80" s="29">
        <f>[1]!IPR_pwf_atma(PI_1,Pres_,E80,fw_,Pb_)</f>
        <v>230</v>
      </c>
      <c r="G80" s="29">
        <f>[1]!well_pwf_plin_atma(E80,fw_,Pbuf_,Hmes_,Pcas_,,PVRstr1_,,Hmes_,Dtub_,Dcas_,Twf_,,,Twf_)</f>
        <v>183.99282755930145</v>
      </c>
      <c r="H80" s="29">
        <f>[1]!well_pwf_plin_atma(E80,fw_2,Pbuf_,Hmes_,Pcas_,,PVRstr1_,,Hmes_,Dtub_,Dcas_,Twf_,,,Twf_)</f>
        <v>190.30820916794369</v>
      </c>
    </row>
    <row r="81" spans="5:8" x14ac:dyDescent="0.35">
      <c r="E81" s="27">
        <f t="shared" si="2"/>
        <v>17.5</v>
      </c>
      <c r="F81" s="29">
        <f>[1]!IPR_pwf_atma(PI_1,Pres_,E81,fw_,Pb_)</f>
        <v>220.83333333333334</v>
      </c>
      <c r="G81" s="29">
        <f>[1]!well_pwf_plin_atma(E81,fw_,Pbuf_,Hmes_,Pcas_,,PVRstr1_,,Hmes_,Dtub_,Dcas_,Twf_,,,Twf_)</f>
        <v>182.45803343372071</v>
      </c>
      <c r="H81" s="29">
        <f>[1]!well_pwf_plin_atma(E81,fw_2,Pbuf_,Hmes_,Pcas_,,PVRstr1_,,Hmes_,Dtub_,Dcas_,Twf_,,,Twf_)</f>
        <v>189.10251225862541</v>
      </c>
    </row>
    <row r="82" spans="5:8" x14ac:dyDescent="0.35">
      <c r="E82" s="27">
        <f t="shared" si="2"/>
        <v>23</v>
      </c>
      <c r="F82" s="29">
        <f>[1]!IPR_pwf_atma(PI_1,Pres_,E82,fw_,Pb_)</f>
        <v>211.66666666666666</v>
      </c>
      <c r="G82" s="29">
        <f>[1]!well_pwf_plin_atma(E82,fw_,Pbuf_,Hmes_,Pcas_,,PVRstr1_,,Hmes_,Dtub_,Dcas_,Twf_,,,Twf_)</f>
        <v>180.35722204391749</v>
      </c>
      <c r="H82" s="29">
        <f>[1]!well_pwf_plin_atma(E82,fw_2,Pbuf_,Hmes_,Pcas_,,PVRstr1_,,Hmes_,Dtub_,Dcas_,Twf_,,,Twf_)</f>
        <v>187.39707499156032</v>
      </c>
    </row>
    <row r="83" spans="5:8" x14ac:dyDescent="0.35">
      <c r="E83" s="27">
        <f t="shared" si="2"/>
        <v>28.5</v>
      </c>
      <c r="F83" s="29">
        <f>[1]!IPR_pwf_atma(PI_1,Pres_,E83,fw_,Pb_)</f>
        <v>202.5</v>
      </c>
      <c r="G83" s="29">
        <f>[1]!well_pwf_plin_atma(E83,fw_,Pbuf_,Hmes_,Pcas_,,PVRstr1_,,Hmes_,Dtub_,Dcas_,Twf_,,,Twf_)</f>
        <v>177.58482188091909</v>
      </c>
      <c r="H83" s="29">
        <f>[1]!well_pwf_plin_atma(E83,fw_2,Pbuf_,Hmes_,Pcas_,,PVRstr1_,,Hmes_,Dtub_,Dcas_,Twf_,,,Twf_)</f>
        <v>185.1304527275646</v>
      </c>
    </row>
    <row r="84" spans="5:8" x14ac:dyDescent="0.35">
      <c r="E84" s="27">
        <f t="shared" si="2"/>
        <v>34</v>
      </c>
      <c r="F84" s="29">
        <f>[1]!IPR_pwf_atma(PI_1,Pres_,E84,fw_,Pb_)</f>
        <v>193.33333333333334</v>
      </c>
      <c r="G84" s="29">
        <f>[1]!well_pwf_plin_atma(E84,fw_,Pbuf_,Hmes_,Pcas_,,PVRstr1_,,Hmes_,Dtub_,Dcas_,Twf_,,,Twf_)</f>
        <v>173.99857821234244</v>
      </c>
      <c r="H84" s="29">
        <f>[1]!well_pwf_plin_atma(E84,fw_2,Pbuf_,Hmes_,Pcas_,,PVRstr1_,,Hmes_,Dtub_,Dcas_,Twf_,,,Twf_)</f>
        <v>182.22164836052391</v>
      </c>
    </row>
    <row r="85" spans="5:8" x14ac:dyDescent="0.35">
      <c r="E85" s="27">
        <f t="shared" si="2"/>
        <v>39.5</v>
      </c>
      <c r="F85" s="29">
        <f>[1]!IPR_pwf_atma(PI_1,Pres_,E85,fw_,Pb_)</f>
        <v>184.16666666666666</v>
      </c>
      <c r="G85" s="29">
        <f>[1]!well_pwf_plin_atma(E85,fw_,Pbuf_,Hmes_,Pcas_,,PVRstr1_,,Hmes_,Dtub_,Dcas_,Twf_,,,Twf_)</f>
        <v>169.35794645683725</v>
      </c>
      <c r="H85" s="29">
        <f>[1]!well_pwf_plin_atma(E85,fw_2,Pbuf_,Hmes_,Pcas_,,PVRstr1_,,Hmes_,Dtub_,Dcas_,Twf_,,,Twf_)</f>
        <v>178.50501718149664</v>
      </c>
    </row>
    <row r="86" spans="5:8" x14ac:dyDescent="0.35">
      <c r="E86" s="27">
        <f t="shared" si="2"/>
        <v>45</v>
      </c>
      <c r="F86" s="29">
        <f>[1]!IPR_pwf_atma(PI_1,Pres_,E86,fw_,Pb_)</f>
        <v>175</v>
      </c>
      <c r="G86" s="29">
        <f>[1]!well_pwf_plin_atma(E86,fw_,Pbuf_,Hmes_,Pcas_,,PVRstr1_,,Hmes_,Dtub_,Dcas_,Twf_,,,Twf_)</f>
        <v>163.36838967455799</v>
      </c>
      <c r="H86" s="29">
        <f>[1]!well_pwf_plin_atma(E86,fw_2,Pbuf_,Hmes_,Pcas_,,PVRstr1_,,Hmes_,Dtub_,Dcas_,Twf_,,,Twf_)</f>
        <v>173.7479109707138</v>
      </c>
    </row>
    <row r="87" spans="5:8" x14ac:dyDescent="0.35">
      <c r="E87" s="27">
        <f t="shared" si="2"/>
        <v>50.5</v>
      </c>
      <c r="F87" s="29">
        <f>[1]!IPR_pwf_atma(PI_1,Pres_,E87,fw_,Pb_)</f>
        <v>165.83333333333334</v>
      </c>
      <c r="G87" s="29">
        <f>[1]!well_pwf_plin_atma(E87,fw_,Pbuf_,Hmes_,Pcas_,,PVRstr1_,,Hmes_,Dtub_,Dcas_,Twf_,,,Twf_)</f>
        <v>158.16965799075862</v>
      </c>
      <c r="H87" s="29">
        <f>[1]!well_pwf_plin_atma(E87,fw_2,Pbuf_,Hmes_,Pcas_,,PVRstr1_,,Hmes_,Dtub_,Dcas_,Twf_,,,Twf_)</f>
        <v>168.74574034888983</v>
      </c>
    </row>
    <row r="88" spans="5:8" x14ac:dyDescent="0.35">
      <c r="E88" s="27">
        <f t="shared" si="2"/>
        <v>56</v>
      </c>
      <c r="F88" s="29">
        <f>[1]!IPR_pwf_atma(PI_1,Pres_,E88,fw_,Pb_)</f>
        <v>156.66666666666666</v>
      </c>
      <c r="G88" s="29">
        <f>[1]!well_pwf_plin_atma(E88,fw_,Pbuf_,Hmes_,Pcas_,,PVRstr1_,,Hmes_,Dtub_,Dcas_,Twf_,,,Twf_)</f>
        <v>155.51304568368496</v>
      </c>
      <c r="H88" s="29">
        <f>[1]!well_pwf_plin_atma(E88,fw_2,Pbuf_,Hmes_,Pcas_,,PVRstr1_,,Hmes_,Dtub_,Dcas_,Twf_,,,Twf_)</f>
        <v>165.72003906347317</v>
      </c>
    </row>
    <row r="89" spans="5:8" x14ac:dyDescent="0.35">
      <c r="E89" s="27">
        <f t="shared" si="2"/>
        <v>61.5</v>
      </c>
      <c r="F89" s="29">
        <f>[1]!IPR_pwf_atma(PI_1,Pres_,E89,fw_,Pb_)</f>
        <v>147.48120194476127</v>
      </c>
      <c r="G89" s="29">
        <f>[1]!well_pwf_plin_atma(E89,fw_,Pbuf_,Hmes_,Pcas_,,PVRstr1_,,Hmes_,Dtub_,Dcas_,Twf_,,,Twf_)</f>
        <v>155.10438011596673</v>
      </c>
      <c r="H89" s="29">
        <f>[1]!well_pwf_plin_atma(E89,fw_2,Pbuf_,Hmes_,Pcas_,,PVRstr1_,,Hmes_,Dtub_,Dcas_,Twf_,,,Twf_)</f>
        <v>165.08089334585699</v>
      </c>
    </row>
    <row r="90" spans="5:8" x14ac:dyDescent="0.35">
      <c r="E90" s="27">
        <f t="shared" si="2"/>
        <v>67</v>
      </c>
      <c r="F90" s="29">
        <f>[1]!IPR_pwf_atma(PI_1,Pres_,E90,fw_,Pb_)</f>
        <v>137.89948930654069</v>
      </c>
      <c r="G90" s="29">
        <f>[1]!well_pwf_plin_atma(E90,fw_,Pbuf_,Hmes_,Pcas_,,PVRstr1_,,Hmes_,Dtub_,Dcas_,Twf_,,,Twf_)</f>
        <v>154.86187842249763</v>
      </c>
      <c r="H90" s="29">
        <f>[1]!well_pwf_plin_atma(E90,fw_2,Pbuf_,Hmes_,Pcas_,,PVRstr1_,,Hmes_,Dtub_,Dcas_,Twf_,,,Twf_)</f>
        <v>164.87384712940374</v>
      </c>
    </row>
    <row r="91" spans="5:8" x14ac:dyDescent="0.35">
      <c r="E91" s="27">
        <f t="shared" si="2"/>
        <v>72.5</v>
      </c>
      <c r="F91" s="29">
        <f>[1]!IPR_pwf_atma(PI_1,Pres_,E91,fw_,Pb_)</f>
        <v>127.69218142324976</v>
      </c>
      <c r="G91" s="29">
        <f>[1]!well_pwf_plin_atma(E91,fw_,Pbuf_,Hmes_,Pcas_,,PVRstr1_,,Hmes_,Dtub_,Dcas_,Twf_,,,Twf_)</f>
        <v>154.7373579907518</v>
      </c>
      <c r="H91" s="29">
        <f>[1]!well_pwf_plin_atma(E91,fw_2,Pbuf_,Hmes_,Pcas_,,PVRstr1_,,Hmes_,Dtub_,Dcas_,Twf_,,,Twf_)</f>
        <v>164.71006755958757</v>
      </c>
    </row>
    <row r="92" spans="5:8" x14ac:dyDescent="0.35">
      <c r="E92" s="27">
        <f t="shared" si="2"/>
        <v>78</v>
      </c>
      <c r="F92" s="29">
        <f>[1]!IPR_pwf_atma(PI_1,Pres_,E92,fw_,Pb_)</f>
        <v>116.71793901141332</v>
      </c>
      <c r="G92" s="29">
        <f>[1]!well_pwf_plin_atma(E92,fw_,Pbuf_,Hmes_,Pcas_,,PVRstr1_,,Hmes_,Dtub_,Dcas_,Twf_,,,Twf_)</f>
        <v>154.59052121144407</v>
      </c>
      <c r="H92" s="29">
        <f>[1]!well_pwf_plin_atma(E92,fw_2,Pbuf_,Hmes_,Pcas_,,PVRstr1_,,Hmes_,Dtub_,Dcas_,Twf_,,,Twf_)</f>
        <v>164.55243579425425</v>
      </c>
    </row>
    <row r="93" spans="5:8" x14ac:dyDescent="0.35">
      <c r="E93" s="27">
        <f t="shared" si="2"/>
        <v>83.5</v>
      </c>
      <c r="F93" s="29">
        <f>[1]!IPR_pwf_atma(PI_1,Pres_,E93,fw_,Pb_)</f>
        <v>104.77251819000452</v>
      </c>
      <c r="G93" s="29">
        <f>[1]!well_pwf_plin_atma(E93,fw_,Pbuf_,Hmes_,Pcas_,,PVRstr1_,,Hmes_,Dtub_,Dcas_,Twf_,,,Twf_)</f>
        <v>154.47076437676736</v>
      </c>
      <c r="H93" s="29">
        <f>[1]!well_pwf_plin_atma(E93,fw_2,Pbuf_,Hmes_,Pcas_,,PVRstr1_,,Hmes_,Dtub_,Dcas_,Twf_,,,Twf_)</f>
        <v>164.43163645792217</v>
      </c>
    </row>
    <row r="94" spans="5:8" x14ac:dyDescent="0.35">
      <c r="E94" s="27">
        <f t="shared" si="2"/>
        <v>89</v>
      </c>
      <c r="F94" s="29">
        <f>[1]!IPR_pwf_atma(PI_1,Pres_,E94,fw_,Pb_)</f>
        <v>91.540808773895563</v>
      </c>
      <c r="G94" s="29">
        <f>[1]!well_pwf_plin_atma(E94,fw_,Pbuf_,Hmes_,Pcas_,,PVRstr1_,,Hmes_,Dtub_,Dcas_,Twf_,,,Twf_)</f>
        <v>154.38812058802171</v>
      </c>
      <c r="H94" s="29">
        <f>[1]!well_pwf_plin_atma(E94,fw_2,Pbuf_,Hmes_,Pcas_,,PVRstr1_,,Hmes_,Dtub_,Dcas_,Twf_,,,Twf_)</f>
        <v>164.34051194093001</v>
      </c>
    </row>
    <row r="95" spans="5:8" x14ac:dyDescent="0.35">
      <c r="E95" s="27">
        <f t="shared" si="2"/>
        <v>94.5</v>
      </c>
      <c r="F95" s="29">
        <f>[1]!IPR_pwf_atma(PI_1,Pres_,E95,fw_,Pb_)</f>
        <v>76.488188244002203</v>
      </c>
      <c r="G95" s="29">
        <f>[1]!well_pwf_plin_atma(E95,fw_,Pbuf_,Hmes_,Pcas_,,PVRstr1_,,Hmes_,Dtub_,Dcas_,Twf_,,,Twf_)</f>
        <v>154.33678237328689</v>
      </c>
      <c r="H95" s="29">
        <f>[1]!well_pwf_plin_atma(E95,fw_2,Pbuf_,Hmes_,Pcas_,,PVRstr1_,,Hmes_,Dtub_,Dcas_,Twf_,,,Twf_)</f>
        <v>164.27717217440579</v>
      </c>
    </row>
    <row r="96" spans="5:8" x14ac:dyDescent="0.35">
      <c r="E96" s="27">
        <f t="shared" si="2"/>
        <v>100</v>
      </c>
      <c r="F96" s="29">
        <f>[1]!IPR_pwf_atma(PI_1,Pres_,E96,fw_,Pb_)</f>
        <v>58.558230480331133</v>
      </c>
      <c r="G96" s="29">
        <f>[1]!well_pwf_plin_atma(E96,fw_,Pbuf_,Hmes_,Pcas_,,PVRstr1_,,Hmes_,Dtub_,Dcas_,Twf_,,,Twf_)</f>
        <v>154.31522200860661</v>
      </c>
      <c r="H96" s="29">
        <f>[1]!well_pwf_plin_atma(E96,fw_2,Pbuf_,Hmes_,Pcas_,,PVRstr1_,,Hmes_,Dtub_,Dcas_,Twf_,,,Twf_)</f>
        <v>164.24058567100769</v>
      </c>
    </row>
    <row r="97" spans="1:9" x14ac:dyDescent="0.35">
      <c r="E97" s="27">
        <f t="shared" si="2"/>
        <v>105.5</v>
      </c>
      <c r="F97" s="29">
        <f>[1]!IPR_pwf_atma(PI_1,Pres_,E97,fw_,Pb_)</f>
        <v>34.941828987286321</v>
      </c>
      <c r="G97" s="29">
        <f>[1]!well_pwf_plin_atma(E97,fw_,Pbuf_,Hmes_,Pcas_,,PVRstr1_,,Hmes_,Dtub_,Dcas_,Twf_,,,Twf_)</f>
        <v>154.32421893826313</v>
      </c>
      <c r="H97" s="29">
        <f>[1]!well_pwf_plin_atma(E97,fw_2,Pbuf_,Hmes_,Pcas_,,PVRstr1_,,Hmes_,Dtub_,Dcas_,Twf_,,,Twf_)</f>
        <v>164.23406155092698</v>
      </c>
    </row>
    <row r="98" spans="1:9" x14ac:dyDescent="0.35">
      <c r="E98" s="27">
        <f t="shared" si="2"/>
        <v>111</v>
      </c>
      <c r="F98" s="29">
        <f>[1]!IPR_pwf_atma(PI_1,Pres_,E98,fw_,Pb_)</f>
        <v>0</v>
      </c>
      <c r="G98" s="29">
        <f>[1]!well_pwf_plin_atma(E98,fw_,Pbuf_,Hmes_,Pcas_,,PVRstr1_,,Hmes_,Dtub_,Dcas_,Twf_,,,Twf_)</f>
        <v>154.35983303230893</v>
      </c>
      <c r="H98" s="29">
        <f>[1]!well_pwf_plin_atma(E98,fw_2,Pbuf_,Hmes_,Pcas_,,PVRstr1_,,Hmes_,Dtub_,Dcas_,Twf_,,,Twf_)</f>
        <v>164.24954464910897</v>
      </c>
    </row>
    <row r="99" spans="1:9" x14ac:dyDescent="0.35">
      <c r="C99" s="6"/>
    </row>
    <row r="100" spans="1:9" x14ac:dyDescent="0.35">
      <c r="C100" s="6"/>
    </row>
    <row r="101" spans="1:9" x14ac:dyDescent="0.35">
      <c r="C101" s="6"/>
    </row>
    <row r="102" spans="1:9" x14ac:dyDescent="0.35">
      <c r="A102" t="s">
        <v>73</v>
      </c>
      <c r="C102" s="6"/>
    </row>
    <row r="103" spans="1:9" x14ac:dyDescent="0.35">
      <c r="A103" t="s">
        <v>74</v>
      </c>
      <c r="C103" s="6"/>
    </row>
    <row r="104" spans="1:9" x14ac:dyDescent="0.35">
      <c r="C104" s="6"/>
    </row>
    <row r="105" spans="1:9" ht="15" x14ac:dyDescent="0.5">
      <c r="C105" s="6"/>
      <c r="I105" s="20" t="s">
        <v>54</v>
      </c>
    </row>
    <row r="106" spans="1:9" x14ac:dyDescent="0.35">
      <c r="C106" s="6"/>
      <c r="I106" s="28">
        <f>fw_2</f>
        <v>20</v>
      </c>
    </row>
    <row r="107" spans="1:9" ht="13.15" x14ac:dyDescent="0.4">
      <c r="C107" s="6"/>
      <c r="F107" s="15" t="s">
        <v>32</v>
      </c>
      <c r="G107" s="15" t="s">
        <v>35</v>
      </c>
      <c r="H107" s="22" t="s">
        <v>30</v>
      </c>
      <c r="I107" s="22" t="s">
        <v>30</v>
      </c>
    </row>
    <row r="108" spans="1:9" x14ac:dyDescent="0.35">
      <c r="C108" s="6"/>
      <c r="F108" s="28">
        <v>10</v>
      </c>
      <c r="G108" s="33" t="str">
        <f>[1]!PVT_encode_string(gamma_gas_,gamma_oil_,,Rsb_,F108,Pb_,Tres_,Bob_,muob_)</f>
        <v>gamma_gas:0,800;gamma_oil:0,870;gamma_wat:1,000;rsb_m3m3:80,000;rp_m3m3:10,000;pb_atma:150,000;tres_C:80,000;bob_m3m3:1,200;muob_cP:1,000;PVTcorr:0;ksep_fr:0,000;p_ksep_atma:-1,000;t_ksep_C:-1,000;gas_only:False;</v>
      </c>
      <c r="H108" s="29">
        <f>[1]!well_pwf_plin_atma(Qtest_,fw_,Pbuf_,Hmes_,Pcas_,,G108,,Hmes_,Dtub_,Dcas_,Twf_,,,Twf_)</f>
        <v>184.21420243843244</v>
      </c>
      <c r="I108" s="29">
        <f>[1]!well_pwf_plin_atma(Qtest_,fw_3,Pbuf_,Hmes_,Pcas_,,G108,,Hmes_,Dtub_,Dcas_,Twf_,,,Twf_)</f>
        <v>190.3487111484429</v>
      </c>
    </row>
    <row r="109" spans="1:9" x14ac:dyDescent="0.35">
      <c r="C109" s="6"/>
      <c r="F109" s="28">
        <v>50</v>
      </c>
      <c r="G109" s="33" t="str">
        <f>[1]!PVT_encode_string(gamma_gas_,gamma_oil_,,Rsb_,F109,Pb_,Tres_,Bob_,muob_)</f>
        <v>gamma_gas:0,800;gamma_oil:0,870;gamma_wat:1,000;rsb_m3m3:80,000;rp_m3m3:50,000;pb_atma:150,000;tres_C:80,000;bob_m3m3:1,200;muob_cP:1,000;PVTcorr:0;ksep_fr:0,000;p_ksep_atma:-1,000;t_ksep_C:-1,000;gas_only:False;</v>
      </c>
      <c r="H109" s="29">
        <f>[1]!well_pwf_plin_atma(Qtest_,fw_,Pbuf_,Hmes_,Pcas_,,G109,,Hmes_,Dtub_,Dcas_,Twf_,,,Twf_)</f>
        <v>161.82521369860973</v>
      </c>
      <c r="I109" s="29">
        <f>[1]!well_pwf_plin_atma(Qtest_,fw_3,Pbuf_,Hmes_,Pcas_,,G109,,Hmes_,Dtub_,Dcas_,Twf_,,,Twf_)</f>
        <v>170.94726725764181</v>
      </c>
    </row>
    <row r="110" spans="1:9" x14ac:dyDescent="0.35">
      <c r="C110" s="6"/>
      <c r="F110" s="28">
        <f>F109+50</f>
        <v>100</v>
      </c>
      <c r="G110" s="33" t="str">
        <f>[1]!PVT_encode_string(gamma_gas_,gamma_oil_,,Rsb_,F110,Pb_,Tres_,Bob_,muob_)</f>
        <v>gamma_gas:0,800;gamma_oil:0,870;gamma_wat:1,000;rsb_m3m3:80,000;rp_m3m3:100,000;pb_atma:150,000;tres_C:80,000;bob_m3m3:1,200;muob_cP:1,000;PVTcorr:0;ksep_fr:0,000;p_ksep_atma:-1,000;t_ksep_C:-1,000;gas_only:False;</v>
      </c>
      <c r="H110" s="29">
        <f>[1]!well_pwf_plin_atma(Qtest_,fw_,Pbuf_,Hmes_,Pcas_,,G110,,Hmes_,Dtub_,Dcas_,Twf_,,,Twf_)</f>
        <v>143.80115654052625</v>
      </c>
      <c r="I110" s="29">
        <f>[1]!well_pwf_plin_atma(Qtest_,fw_3,Pbuf_,Hmes_,Pcas_,,G110,,Hmes_,Dtub_,Dcas_,Twf_,,,Twf_)</f>
        <v>154.6293733279725</v>
      </c>
    </row>
    <row r="111" spans="1:9" x14ac:dyDescent="0.35">
      <c r="C111" s="6"/>
      <c r="F111" s="28">
        <f t="shared" ref="F111:F128" si="3">F110+50</f>
        <v>150</v>
      </c>
      <c r="G111" s="33" t="str">
        <f>[1]!PVT_encode_string(gamma_gas_,gamma_oil_,,Rsb_,F111,Pb_,Tres_,Bob_,muob_)</f>
        <v>gamma_gas:0,800;gamma_oil:0,870;gamma_wat:1,000;rsb_m3m3:80,000;rp_m3m3:150,000;pb_atma:150,000;tres_C:80,000;bob_m3m3:1,200;muob_cP:1,000;PVTcorr:0;ksep_fr:0,000;p_ksep_atma:-1,000;t_ksep_C:-1,000;gas_only:False;</v>
      </c>
      <c r="H111" s="29">
        <f>[1]!well_pwf_plin_atma(Qtest_,fw_,Pbuf_,Hmes_,Pcas_,,G111,,Hmes_,Dtub_,Dcas_,Twf_,,,Twf_)</f>
        <v>125.26240753233965</v>
      </c>
      <c r="I111" s="29">
        <f>[1]!well_pwf_plin_atma(Qtest_,fw_3,Pbuf_,Hmes_,Pcas_,,G111,,Hmes_,Dtub_,Dcas_,Twf_,,,Twf_)</f>
        <v>136.82610512243622</v>
      </c>
    </row>
    <row r="112" spans="1:9" x14ac:dyDescent="0.35">
      <c r="C112" s="6"/>
      <c r="F112" s="28">
        <f t="shared" si="3"/>
        <v>200</v>
      </c>
      <c r="G112" s="33" t="str">
        <f>[1]!PVT_encode_string(gamma_gas_,gamma_oil_,,Rsb_,F112,Pb_,Tres_,Bob_,muob_)</f>
        <v>gamma_gas:0,800;gamma_oil:0,870;gamma_wat:1,000;rsb_m3m3:80,000;rp_m3m3:200,000;pb_atma:150,000;tres_C:80,000;bob_m3m3:1,200;muob_cP:1,000;PVTcorr:0;ksep_fr:0,000;p_ksep_atma:-1,000;t_ksep_C:-1,000;gas_only:False;</v>
      </c>
      <c r="H112" s="29">
        <f>[1]!well_pwf_plin_atma(Qtest_,fw_,Pbuf_,Hmes_,Pcas_,,G112,,Hmes_,Dtub_,Dcas_,Twf_,,,Twf_)</f>
        <v>113.4833270532916</v>
      </c>
      <c r="I112" s="29">
        <f>[1]!well_pwf_plin_atma(Qtest_,fw_3,Pbuf_,Hmes_,Pcas_,,G112,,Hmes_,Dtub_,Dcas_,Twf_,,,Twf_)</f>
        <v>124.64947226717112</v>
      </c>
    </row>
    <row r="113" spans="3:11" x14ac:dyDescent="0.35">
      <c r="C113" s="6"/>
      <c r="F113" s="28">
        <f t="shared" si="3"/>
        <v>250</v>
      </c>
      <c r="G113" s="33" t="str">
        <f>[1]!PVT_encode_string(gamma_gas_,gamma_oil_,,Rsb_,F113,Pb_,Tres_,Bob_,muob_)</f>
        <v>gamma_gas:0,800;gamma_oil:0,870;gamma_wat:1,000;rsb_m3m3:80,000;rp_m3m3:250,000;pb_atma:150,000;tres_C:80,000;bob_m3m3:1,200;muob_cP:1,000;PVTcorr:0;ksep_fr:0,000;p_ksep_atma:-1,000;t_ksep_C:-1,000;gas_only:False;</v>
      </c>
      <c r="H113" s="29">
        <f>[1]!well_pwf_plin_atma(Qtest_,fw_,Pbuf_,Hmes_,Pcas_,,G113,,Hmes_,Dtub_,Dcas_,Twf_,,,Twf_)</f>
        <v>105.06635350642635</v>
      </c>
      <c r="I113" s="29">
        <f>[1]!well_pwf_plin_atma(Qtest_,fw_3,Pbuf_,Hmes_,Pcas_,,G113,,Hmes_,Dtub_,Dcas_,Twf_,,,Twf_)</f>
        <v>115.73089748277749</v>
      </c>
    </row>
    <row r="114" spans="3:11" x14ac:dyDescent="0.35">
      <c r="C114" s="6"/>
      <c r="F114" s="28">
        <f t="shared" si="3"/>
        <v>300</v>
      </c>
      <c r="G114" s="33" t="str">
        <f>[1]!PVT_encode_string(gamma_gas_,gamma_oil_,,Rsb_,F114,Pb_,Tres_,Bob_,muob_)</f>
        <v>gamma_gas:0,800;gamma_oil:0,870;gamma_wat:1,000;rsb_m3m3:80,000;rp_m3m3:300,000;pb_atma:150,000;tres_C:80,000;bob_m3m3:1,200;muob_cP:1,000;PVTcorr:0;ksep_fr:0,000;p_ksep_atma:-1,000;t_ksep_C:-1,000;gas_only:False;</v>
      </c>
      <c r="H114" s="29">
        <f>[1]!well_pwf_plin_atma(Qtest_,fw_,Pbuf_,Hmes_,Pcas_,,G114,,Hmes_,Dtub_,Dcas_,Twf_,,,Twf_)</f>
        <v>99.029211946906671</v>
      </c>
      <c r="I114" s="29">
        <f>[1]!well_pwf_plin_atma(Qtest_,fw_3,Pbuf_,Hmes_,Pcas_,,G114,,Hmes_,Dtub_,Dcas_,Twf_,,,Twf_)</f>
        <v>108.72146201460308</v>
      </c>
    </row>
    <row r="115" spans="3:11" x14ac:dyDescent="0.35">
      <c r="C115" s="6"/>
      <c r="F115" s="28">
        <f t="shared" si="3"/>
        <v>350</v>
      </c>
      <c r="G115" s="33" t="str">
        <f>[1]!PVT_encode_string(gamma_gas_,gamma_oil_,,Rsb_,F115,Pb_,Tres_,Bob_,muob_)</f>
        <v>gamma_gas:0,800;gamma_oil:0,870;gamma_wat:1,000;rsb_m3m3:80,000;rp_m3m3:350,000;pb_atma:150,000;tres_C:80,000;bob_m3m3:1,200;muob_cP:1,000;PVTcorr:0;ksep_fr:0,000;p_ksep_atma:-1,000;t_ksep_C:-1,000;gas_only:False;</v>
      </c>
      <c r="H115" s="29">
        <f>[1]!well_pwf_plin_atma(Qtest_,fw_,Pbuf_,Hmes_,Pcas_,,G115,,Hmes_,Dtub_,Dcas_,Twf_,,,Twf_)</f>
        <v>94.751772266773244</v>
      </c>
      <c r="I115" s="29">
        <f>[1]!well_pwf_plin_atma(Qtest_,fw_3,Pbuf_,Hmes_,Pcas_,,G115,,Hmes_,Dtub_,Dcas_,Twf_,,,Twf_)</f>
        <v>103.2902214926431</v>
      </c>
    </row>
    <row r="116" spans="3:11" x14ac:dyDescent="0.35">
      <c r="C116" s="6"/>
      <c r="F116" s="28">
        <f t="shared" si="3"/>
        <v>400</v>
      </c>
      <c r="G116" s="33" t="str">
        <f>[1]!PVT_encode_string(gamma_gas_,gamma_oil_,,Rsb_,F116,Pb_,Tres_,Bob_,muob_)</f>
        <v>gamma_gas:0,800;gamma_oil:0,870;gamma_wat:1,000;rsb_m3m3:80,000;rp_m3m3:400,000;pb_atma:150,000;tres_C:80,000;bob_m3m3:1,200;muob_cP:1,000;PVTcorr:0;ksep_fr:0,000;p_ksep_atma:-1,000;t_ksep_C:-1,000;gas_only:False;</v>
      </c>
      <c r="H116" s="29">
        <f>[1]!well_pwf_plin_atma(Qtest_,fw_,Pbuf_,Hmes_,Pcas_,,G116,,Hmes_,Dtub_,Dcas_,Twf_,,,Twf_)</f>
        <v>91.75456564622597</v>
      </c>
      <c r="I116" s="29">
        <f>[1]!well_pwf_plin_atma(Qtest_,fw_3,Pbuf_,Hmes_,Pcas_,,G116,,Hmes_,Dtub_,Dcas_,Twf_,,,Twf_)</f>
        <v>99.123044629786961</v>
      </c>
    </row>
    <row r="117" spans="3:11" x14ac:dyDescent="0.35">
      <c r="C117" s="6"/>
      <c r="F117" s="28">
        <f t="shared" si="3"/>
        <v>450</v>
      </c>
      <c r="G117" s="33" t="str">
        <f>[1]!PVT_encode_string(gamma_gas_,gamma_oil_,,Rsb_,F117,Pb_,Tres_,Bob_,muob_)</f>
        <v>gamma_gas:0,800;gamma_oil:0,870;gamma_wat:1,000;rsb_m3m3:80,000;rp_m3m3:450,000;pb_atma:150,000;tres_C:80,000;bob_m3m3:1,200;muob_cP:1,000;PVTcorr:0;ksep_fr:0,000;p_ksep_atma:-1,000;t_ksep_C:-1,000;gas_only:False;</v>
      </c>
      <c r="H117" s="29">
        <f>[1]!well_pwf_plin_atma(Qtest_,fw_,Pbuf_,Hmes_,Pcas_,,G117,,Hmes_,Dtub_,Dcas_,Twf_,,,Twf_)</f>
        <v>89.696731417198876</v>
      </c>
      <c r="I117" s="29">
        <f>[1]!well_pwf_plin_atma(Qtest_,fw_3,Pbuf_,Hmes_,Pcas_,,G117,,Hmes_,Dtub_,Dcas_,Twf_,,,Twf_)</f>
        <v>95.947937958411956</v>
      </c>
    </row>
    <row r="118" spans="3:11" x14ac:dyDescent="0.35">
      <c r="C118" s="6"/>
      <c r="F118" s="28">
        <f t="shared" si="3"/>
        <v>500</v>
      </c>
      <c r="G118" s="33" t="str">
        <f>[1]!PVT_encode_string(gamma_gas_,gamma_oil_,,Rsb_,F118,Pb_,Tres_,Bob_,muob_)</f>
        <v>gamma_gas:0,800;gamma_oil:0,870;gamma_wat:1,000;rsb_m3m3:80,000;rp_m3m3:500,000;pb_atma:150,000;tres_C:80,000;bob_m3m3:1,200;muob_cP:1,000;PVTcorr:0;ksep_fr:0,000;p_ksep_atma:-1,000;t_ksep_C:-1,000;gas_only:False;</v>
      </c>
      <c r="H118" s="29">
        <f>[1]!well_pwf_plin_atma(Qtest_,fw_,Pbuf_,Hmes_,Pcas_,,G118,,Hmes_,Dtub_,Dcas_,Twf_,,,Twf_)</f>
        <v>88.341228804524491</v>
      </c>
      <c r="I118" s="29">
        <f>[1]!well_pwf_plin_atma(Qtest_,fw_3,Pbuf_,Hmes_,Pcas_,,G118,,Hmes_,Dtub_,Dcas_,Twf_,,,Twf_)</f>
        <v>93.548197427109898</v>
      </c>
    </row>
    <row r="119" spans="3:11" x14ac:dyDescent="0.35">
      <c r="C119" s="6"/>
      <c r="F119" s="28">
        <f t="shared" si="3"/>
        <v>550</v>
      </c>
      <c r="G119" s="33" t="str">
        <f>[1]!PVT_encode_string(gamma_gas_,gamma_oil_,,Rsb_,F119,Pb_,Tres_,Bob_,muob_)</f>
        <v>gamma_gas:0,800;gamma_oil:0,870;gamma_wat:1,000;rsb_m3m3:80,000;rp_m3m3:550,000;pb_atma:150,000;tres_C:80,000;bob_m3m3:1,200;muob_cP:1,000;PVTcorr:0;ksep_fr:0,000;p_ksep_atma:-1,000;t_ksep_C:-1,000;gas_only:False;</v>
      </c>
      <c r="H119" s="29">
        <f>[1]!well_pwf_plin_atma(Qtest_,fw_,Pbuf_,Hmes_,Pcas_,,G119,,Hmes_,Dtub_,Dcas_,Twf_,,,Twf_)</f>
        <v>87.443326310028922</v>
      </c>
      <c r="I119" s="29">
        <f>[1]!well_pwf_plin_atma(Qtest_,fw_3,Pbuf_,Hmes_,Pcas_,,G119,,Hmes_,Dtub_,Dcas_,Twf_,,,Twf_)</f>
        <v>91.758141927655473</v>
      </c>
    </row>
    <row r="120" spans="3:11" x14ac:dyDescent="0.35">
      <c r="C120" s="6"/>
      <c r="F120" s="28">
        <f t="shared" si="3"/>
        <v>600</v>
      </c>
      <c r="G120" s="33" t="str">
        <f>[1]!PVT_encode_string(gamma_gas_,gamma_oil_,,Rsb_,F120,Pb_,Tres_,Bob_,muob_)</f>
        <v>gamma_gas:0,800;gamma_oil:0,870;gamma_wat:1,000;rsb_m3m3:80,000;rp_m3m3:600,000;pb_atma:150,000;tres_C:80,000;bob_m3m3:1,200;muob_cP:1,000;PVTcorr:0;ksep_fr:0,000;p_ksep_atma:-1,000;t_ksep_C:-1,000;gas_only:False;</v>
      </c>
      <c r="H120" s="29">
        <f>[1]!well_pwf_plin_atma(Qtest_,fw_,Pbuf_,Hmes_,Pcas_,,G120,,Hmes_,Dtub_,Dcas_,Twf_,,,Twf_)</f>
        <v>86.952114642885093</v>
      </c>
      <c r="I120" s="29">
        <f>[1]!well_pwf_plin_atma(Qtest_,fw_3,Pbuf_,Hmes_,Pcas_,,G120,,Hmes_,Dtub_,Dcas_,Twf_,,,Twf_)</f>
        <v>90.452741308222386</v>
      </c>
    </row>
    <row r="121" spans="3:11" x14ac:dyDescent="0.35">
      <c r="C121" s="6"/>
      <c r="F121" s="28">
        <f t="shared" si="3"/>
        <v>650</v>
      </c>
      <c r="G121" s="33" t="str">
        <f>[1]!PVT_encode_string(gamma_gas_,gamma_oil_,,Rsb_,F121,Pb_,Tres_,Bob_,muob_)</f>
        <v>gamma_gas:0,800;gamma_oil:0,870;gamma_wat:1,000;rsb_m3m3:80,000;rp_m3m3:650,000;pb_atma:150,000;tres_C:80,000;bob_m3m3:1,200;muob_cP:1,000;PVTcorr:0;ksep_fr:0,000;p_ksep_atma:-1,000;t_ksep_C:-1,000;gas_only:False;</v>
      </c>
      <c r="H121" s="29">
        <f>[1]!well_pwf_plin_atma(Qtest_,fw_,Pbuf_,Hmes_,Pcas_,,G121,,Hmes_,Dtub_,Dcas_,Twf_,,,Twf_)</f>
        <v>86.815194600072729</v>
      </c>
      <c r="I121" s="29">
        <f>[1]!well_pwf_plin_atma(Qtest_,fw_3,Pbuf_,Hmes_,Pcas_,,G121,,Hmes_,Dtub_,Dcas_,Twf_,,,Twf_)</f>
        <v>89.485037774032818</v>
      </c>
    </row>
    <row r="122" spans="3:11" x14ac:dyDescent="0.35">
      <c r="F122" s="28">
        <f t="shared" si="3"/>
        <v>700</v>
      </c>
      <c r="G122" s="33" t="str">
        <f>[1]!PVT_encode_string(gamma_gas_,gamma_oil_,,Rsb_,F122,Pb_,Tres_,Bob_,muob_)</f>
        <v>gamma_gas:0,800;gamma_oil:0,870;gamma_wat:1,000;rsb_m3m3:80,000;rp_m3m3:700,000;pb_atma:150,000;tres_C:80,000;bob_m3m3:1,200;muob_cP:1,000;PVTcorr:0;ksep_fr:0,000;p_ksep_atma:-1,000;t_ksep_C:-1,000;gas_only:False;</v>
      </c>
      <c r="H122" s="29">
        <f>[1]!well_pwf_plin_atma(Qtest_,fw_,Pbuf_,Hmes_,Pcas_,,G122,,Hmes_,Dtub_,Dcas_,Twf_,,,Twf_)</f>
        <v>86.995916486152595</v>
      </c>
      <c r="I122" s="29">
        <f>[1]!well_pwf_plin_atma(Qtest_,fw_3,Pbuf_,Hmes_,Pcas_,,G122,,Hmes_,Dtub_,Dcas_,Twf_,,,Twf_)</f>
        <v>88.806710936911287</v>
      </c>
    </row>
    <row r="123" spans="3:11" x14ac:dyDescent="0.35">
      <c r="F123" s="28">
        <f t="shared" si="3"/>
        <v>750</v>
      </c>
      <c r="G123" s="33" t="str">
        <f>[1]!PVT_encode_string(gamma_gas_,gamma_oil_,,Rsb_,F123,Pb_,Tres_,Bob_,muob_)</f>
        <v>gamma_gas:0,800;gamma_oil:0,870;gamma_wat:1,000;rsb_m3m3:80,000;rp_m3m3:750,000;pb_atma:150,000;tres_C:80,000;bob_m3m3:1,200;muob_cP:1,000;PVTcorr:0;ksep_fr:0,000;p_ksep_atma:-1,000;t_ksep_C:-1,000;gas_only:False;</v>
      </c>
      <c r="H123" s="29">
        <f>[1]!well_pwf_plin_atma(Qtest_,fw_,Pbuf_,Hmes_,Pcas_,,G123,,Hmes_,Dtub_,Dcas_,Twf_,,,Twf_)</f>
        <v>87.369565688907599</v>
      </c>
      <c r="I123" s="29">
        <f>[1]!well_pwf_plin_atma(Qtest_,fw_3,Pbuf_,Hmes_,Pcas_,,G123,,Hmes_,Dtub_,Dcas_,Twf_,,,Twf_)</f>
        <v>88.415535600028718</v>
      </c>
    </row>
    <row r="124" spans="3:11" x14ac:dyDescent="0.35">
      <c r="F124" s="28">
        <f t="shared" si="3"/>
        <v>800</v>
      </c>
      <c r="G124" s="33" t="str">
        <f>[1]!PVT_encode_string(gamma_gas_,gamma_oil_,,Rsb_,F124,Pb_,Tres_,Bob_,muob_)</f>
        <v>gamma_gas:0,800;gamma_oil:0,870;gamma_wat:1,000;rsb_m3m3:80,000;rp_m3m3:800,000;pb_atma:150,000;tres_C:80,000;bob_m3m3:1,200;muob_cP:1,000;PVTcorr:0;ksep_fr:0,000;p_ksep_atma:-1,000;t_ksep_C:-1,000;gas_only:False;</v>
      </c>
      <c r="H124" s="29">
        <f>[1]!well_pwf_plin_atma(Qtest_,fw_,Pbuf_,Hmes_,Pcas_,,G124,,Hmes_,Dtub_,Dcas_,Twf_,,,Twf_)</f>
        <v>87.967454329706271</v>
      </c>
      <c r="I124" s="29">
        <f>[1]!well_pwf_plin_atma(Qtest_,fw_3,Pbuf_,Hmes_,Pcas_,,G124,,Hmes_,Dtub_,Dcas_,Twf_,,,Twf_)</f>
        <v>88.213657273326874</v>
      </c>
    </row>
    <row r="125" spans="3:11" x14ac:dyDescent="0.35">
      <c r="F125" s="28">
        <f t="shared" si="3"/>
        <v>850</v>
      </c>
      <c r="G125" s="33" t="str">
        <f>[1]!PVT_encode_string(gamma_gas_,gamma_oil_,,Rsb_,F125,Pb_,Tres_,Bob_,muob_)</f>
        <v>gamma_gas:0,800;gamma_oil:0,870;gamma_wat:1,000;rsb_m3m3:80,000;rp_m3m3:850,000;pb_atma:150,000;tres_C:80,000;bob_m3m3:1,200;muob_cP:1,000;PVTcorr:0;ksep_fr:0,000;p_ksep_atma:-1,000;t_ksep_C:-1,000;gas_only:False;</v>
      </c>
      <c r="H125" s="29">
        <f>[1]!well_pwf_plin_atma(Qtest_,fw_,Pbuf_,Hmes_,Pcas_,,G125,,Hmes_,Dtub_,Dcas_,Twf_,,,Twf_)</f>
        <v>88.720608891785147</v>
      </c>
      <c r="I125" s="29">
        <f>[1]!well_pwf_plin_atma(Qtest_,fw_3,Pbuf_,Hmes_,Pcas_,,G125,,Hmes_,Dtub_,Dcas_,Twf_,,,Twf_)</f>
        <v>88.249149866864357</v>
      </c>
    </row>
    <row r="126" spans="3:11" x14ac:dyDescent="0.35">
      <c r="F126" s="28">
        <f>F125+50</f>
        <v>900</v>
      </c>
      <c r="G126" s="33" t="str">
        <f>[1]!PVT_encode_string(gamma_gas_,gamma_oil_,,Rsb_,F126,Pb_,Tres_,Bob_,muob_)</f>
        <v>gamma_gas:0,800;gamma_oil:0,870;gamma_wat:1,000;rsb_m3m3:80,000;rp_m3m3:900,000;pb_atma:150,000;tres_C:80,000;bob_m3m3:1,200;muob_cP:1,000;PVTcorr:0;ksep_fr:0,000;p_ksep_atma:-1,000;t_ksep_C:-1,000;gas_only:False;</v>
      </c>
      <c r="H126" s="29">
        <f>[1]!well_pwf_plin_atma(Qtest_,fw_,Pbuf_,Hmes_,Pcas_,,G126,,Hmes_,Dtub_,Dcas_,Twf_,,,Twf_)</f>
        <v>89.593314734729319</v>
      </c>
      <c r="I126" s="29">
        <f>[1]!well_pwf_plin_atma(Qtest_,fw_3,Pbuf_,Hmes_,Pcas_,,G126,,Hmes_,Dtub_,Dcas_,Twf_,,,Twf_)</f>
        <v>88.445822832013121</v>
      </c>
    </row>
    <row r="127" spans="3:11" x14ac:dyDescent="0.35">
      <c r="F127" s="28">
        <f t="shared" si="3"/>
        <v>950</v>
      </c>
      <c r="G127" s="33" t="str">
        <f>[1]!PVT_encode_string(gamma_gas_,gamma_oil_,,Rsb_,F127,Pb_,Tres_,Bob_,muob_)</f>
        <v>gamma_gas:0,800;gamma_oil:0,870;gamma_wat:1,000;rsb_m3m3:80,000;rp_m3m3:950,000;pb_atma:150,000;tres_C:80,000;bob_m3m3:1,200;muob_cP:1,000;PVTcorr:0;ksep_fr:0,000;p_ksep_atma:-1,000;t_ksep_C:-1,000;gas_only:False;</v>
      </c>
      <c r="H127" s="29">
        <f>[1]!well_pwf_plin_atma(Qtest_,fw_,Pbuf_,Hmes_,Pcas_,,G127,,Hmes_,Dtub_,Dcas_,Twf_,,,Twf_)</f>
        <v>90.580408493650125</v>
      </c>
      <c r="I127" s="29">
        <f>[1]!well_pwf_plin_atma(Qtest_,fw_3,Pbuf_,Hmes_,Pcas_,,G127,,Hmes_,Dtub_,Dcas_,Twf_,,,Twf_)</f>
        <v>88.816204897834425</v>
      </c>
      <c r="K127" t="s">
        <v>11</v>
      </c>
    </row>
    <row r="128" spans="3:11" x14ac:dyDescent="0.35">
      <c r="F128" s="28">
        <f t="shared" si="3"/>
        <v>1000</v>
      </c>
      <c r="G128" s="33" t="str">
        <f>[1]!PVT_encode_string(gamma_gas_,gamma_oil_,,Rsb_,F128,Pb_,Tres_,Bob_,muob_)</f>
        <v>gamma_gas:0,800;gamma_oil:0,870;gamma_wat:1,000;rsb_m3m3:80,000;rp_m3m3:1000,000;pb_atma:150,000;tres_C:80,000;bob_m3m3:1,200;muob_cP:1,000;PVTcorr:0;ksep_fr:0,000;p_ksep_atma:-1,000;t_ksep_C:-1,000;gas_only:False;</v>
      </c>
      <c r="H128" s="29">
        <f>[1]!well_pwf_plin_atma(Qtest_,fw_,Pbuf_,Hmes_,Pcas_,,G128,,Hmes_,Dtub_,Dcas_,Twf_,,,Twf_)</f>
        <v>91.705815274676112</v>
      </c>
      <c r="I128" s="29">
        <f>[1]!well_pwf_plin_atma(Qtest_,fw_3,Pbuf_,Hmes_,Pcas_,,G128,,Hmes_,Dtub_,Dcas_,Twf_,,,Twf_)</f>
        <v>89.276338095335021</v>
      </c>
    </row>
    <row r="138" spans="11:11" x14ac:dyDescent="0.35">
      <c r="K13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35</vt:i4>
      </vt:variant>
    </vt:vector>
  </HeadingPairs>
  <TitlesOfParts>
    <vt:vector size="36" baseType="lpstr">
      <vt:lpstr>self_flow_well</vt:lpstr>
      <vt:lpstr>self_flow_well!Bob_</vt:lpstr>
      <vt:lpstr>self_flow_well!Dcas_</vt:lpstr>
      <vt:lpstr>self_flow_well!Dtub_</vt:lpstr>
      <vt:lpstr>self_flow_well!Dtub_out_</vt:lpstr>
      <vt:lpstr>self_flow_well!fw_</vt:lpstr>
      <vt:lpstr>fw_2</vt:lpstr>
      <vt:lpstr>fw_3</vt:lpstr>
      <vt:lpstr>self_flow_well!gamma_gas_</vt:lpstr>
      <vt:lpstr>self_flow_well!gamma_oil_</vt:lpstr>
      <vt:lpstr>gamma_wat_</vt:lpstr>
      <vt:lpstr>self_flow_well!Hmes_</vt:lpstr>
      <vt:lpstr>Htube_</vt:lpstr>
      <vt:lpstr>muob_</vt:lpstr>
      <vt:lpstr>self_flow_well!N_</vt:lpstr>
      <vt:lpstr>self_flow_well!Pb_</vt:lpstr>
      <vt:lpstr>self_flow_well!Pbuf_</vt:lpstr>
      <vt:lpstr>Pcas_</vt:lpstr>
      <vt:lpstr>self_flow_well!PI_</vt:lpstr>
      <vt:lpstr>PI_1</vt:lpstr>
      <vt:lpstr>self_flow_well!Pres_</vt:lpstr>
      <vt:lpstr>PVRstr1_</vt:lpstr>
      <vt:lpstr>self_flow_well!Pwf_</vt:lpstr>
      <vt:lpstr>Pwf_1</vt:lpstr>
      <vt:lpstr>Qmax_</vt:lpstr>
      <vt:lpstr>Qtest_</vt:lpstr>
      <vt:lpstr>self_flow_well!Rp_</vt:lpstr>
      <vt:lpstr>self_flow_well!Rsb_</vt:lpstr>
      <vt:lpstr>Tbuf_</vt:lpstr>
      <vt:lpstr>self_flow_well!Tgrad</vt:lpstr>
      <vt:lpstr>theta_</vt:lpstr>
      <vt:lpstr>self_flow_well!Tres_</vt:lpstr>
      <vt:lpstr>Twf_</vt:lpstr>
      <vt:lpstr>self_flow_well!Udl_</vt:lpstr>
      <vt:lpstr>Udl_</vt:lpstr>
      <vt:lpstr>Wellstr1_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2019-11-12T06:27:26Z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