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updateLinks="always" codeName="ЭтаКнига" hidePivotFieldList="1"/>
  <mc:AlternateContent xmlns:mc="http://schemas.openxmlformats.org/markup-compatibility/2006">
    <mc:Choice Requires="x15">
      <x15ac:absPath xmlns:x15ac="http://schemas.microsoft.com/office/spreadsheetml/2010/11/ac" url="C:\rnt\unifloc_vba\excercises\excercises\"/>
    </mc:Choice>
  </mc:AlternateContent>
  <xr:revisionPtr revIDLastSave="0" documentId="13_ncr:1_{62CCFF0A-31C7-4AAE-8056-AC95EDF5B71A}" xr6:coauthVersionLast="43" xr6:coauthVersionMax="43" xr10:uidLastSave="{00000000-0000-0000-0000-000000000000}"/>
  <bookViews>
    <workbookView xWindow="-120" yWindow="-120" windowWidth="38640" windowHeight="21390" tabRatio="422" xr2:uid="{00000000-000D-0000-FFFF-FFFF00000000}"/>
  </bookViews>
  <sheets>
    <sheet name="well" sheetId="107" r:id="rId1"/>
  </sheets>
  <externalReferences>
    <externalReference r:id="rId2"/>
  </externalReferences>
  <definedNames>
    <definedName name="Bob_" localSheetId="0">well!$C$14</definedName>
    <definedName name="Dcas_" localSheetId="0">well!$C$21</definedName>
    <definedName name="Dintake_" localSheetId="0">well!$C$25</definedName>
    <definedName name="Dtub_" localSheetId="0">well!$C$24</definedName>
    <definedName name="Dtub_out_" localSheetId="0">well!$C$22</definedName>
    <definedName name="ESPstr">well!$G$42</definedName>
    <definedName name="Freq_" localSheetId="0">well!$C$37</definedName>
    <definedName name="Freq1_" localSheetId="0">well!$D$94</definedName>
    <definedName name="fw_">well!$C$32</definedName>
    <definedName name="gamma_gas_" localSheetId="0">well!$C$9</definedName>
    <definedName name="gamma_oil_" localSheetId="0">well!$C$7</definedName>
    <definedName name="gamma_wat_" localSheetId="0">well!$C$8</definedName>
    <definedName name="Head_ESP_" localSheetId="0">well!$C$36</definedName>
    <definedName name="Hmes_" localSheetId="0">well!$C$18</definedName>
    <definedName name="Hpump_" localSheetId="0">well!$C$20</definedName>
    <definedName name="Kdegr_" localSheetId="0">well!$D$60</definedName>
    <definedName name="Kdegr1_">well!$D$95</definedName>
    <definedName name="KsepGasSep_" localSheetId="0">well!$C$42</definedName>
    <definedName name="mu_">well!$C$15</definedName>
    <definedName name="N_" localSheetId="0">well!$C$52</definedName>
    <definedName name="NumStage_" localSheetId="0">well!$C$41</definedName>
    <definedName name="Pb_" localSheetId="0">well!$C$12</definedName>
    <definedName name="Pbuf_" localSheetId="0">well!$C$26</definedName>
    <definedName name="Pdis_" localSheetId="0">well!$C$29</definedName>
    <definedName name="PI_" localSheetId="0">well!$C$48</definedName>
    <definedName name="Pintake_" localSheetId="0">well!$C$27</definedName>
    <definedName name="PKsep">well!$C$43</definedName>
    <definedName name="PKsep2">well!$D$96</definedName>
    <definedName name="Pres_" localSheetId="0">well!$C$47</definedName>
    <definedName name="PumpID_" localSheetId="0">well!$C$38</definedName>
    <definedName name="PVT_str_">well!$G$39</definedName>
    <definedName name="PVT_str_2">well!$G$45</definedName>
    <definedName name="Pwf_" localSheetId="0">well!$C$30</definedName>
    <definedName name="Pwf1_" localSheetId="0">well!$D$92</definedName>
    <definedName name="Q_" localSheetId="0">well!$C$31</definedName>
    <definedName name="Q_ESP_" localSheetId="0">well!$C$35</definedName>
    <definedName name="Qmax" localSheetId="0">well!$C$40</definedName>
    <definedName name="Qreal_" localSheetId="0">well!$D$93</definedName>
    <definedName name="Rp_" localSheetId="0">well!$C$11</definedName>
    <definedName name="Rsb_" localSheetId="0">well!$C$10</definedName>
    <definedName name="Tgrad" localSheetId="0">well!$C$49</definedName>
    <definedName name="theta_">well!$C$23</definedName>
    <definedName name="Tintake_" localSheetId="0">well!$C$28</definedName>
    <definedName name="TKsep">well!$C$44</definedName>
    <definedName name="TKsep2">well!$D$97</definedName>
    <definedName name="Tres_" localSheetId="0">well!$C$13</definedName>
    <definedName name="Udl_" localSheetId="0">well!$C$19</definedName>
    <definedName name="wc_" localSheetId="0">well!$C$14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20" i="107" l="1"/>
  <c r="K100" i="107"/>
  <c r="K104" i="107"/>
  <c r="K108" i="107"/>
  <c r="K112" i="107"/>
  <c r="K101" i="107"/>
  <c r="K105" i="107"/>
  <c r="K109" i="107"/>
  <c r="K113" i="107"/>
  <c r="K111" i="107"/>
  <c r="K102" i="107"/>
  <c r="K106" i="107"/>
  <c r="K110" i="107"/>
  <c r="K103" i="107"/>
  <c r="K107" i="107"/>
  <c r="K114" i="107"/>
  <c r="K65" i="107"/>
  <c r="K69" i="107"/>
  <c r="K73" i="107"/>
  <c r="K77" i="107"/>
  <c r="K66" i="107"/>
  <c r="K70" i="107"/>
  <c r="K74" i="107"/>
  <c r="K78" i="107"/>
  <c r="K72" i="107"/>
  <c r="K67" i="107"/>
  <c r="K71" i="107"/>
  <c r="K75" i="107"/>
  <c r="K68" i="107"/>
  <c r="K76" i="107"/>
  <c r="K64" i="107"/>
  <c r="F78" i="107"/>
  <c r="F79" i="107"/>
  <c r="F80" i="107"/>
  <c r="F81" i="107"/>
  <c r="F82" i="107"/>
  <c r="G45" i="107"/>
  <c r="G39" i="107"/>
  <c r="C48" i="107"/>
  <c r="G115" i="107"/>
  <c r="H115" i="107" s="1"/>
  <c r="D93" i="107"/>
  <c r="I83" i="107"/>
  <c r="J63" i="107"/>
  <c r="C38" i="107"/>
  <c r="G1" i="107"/>
  <c r="G78" i="107"/>
  <c r="H78" i="107" s="1"/>
  <c r="I120" i="107"/>
  <c r="C41" i="107"/>
  <c r="C40" i="107"/>
  <c r="M78" i="107"/>
  <c r="C39" i="107"/>
  <c r="G42" i="107"/>
  <c r="J64" i="107"/>
  <c r="I82" i="107"/>
  <c r="J65" i="107"/>
  <c r="I81" i="107"/>
  <c r="J66" i="107"/>
  <c r="I80" i="107"/>
  <c r="J67" i="107"/>
  <c r="I78" i="107"/>
  <c r="I79" i="107"/>
  <c r="J68" i="107"/>
  <c r="J69" i="107"/>
  <c r="J70" i="107"/>
  <c r="J71" i="107"/>
  <c r="J72" i="107"/>
  <c r="J73" i="107"/>
  <c r="J74" i="107"/>
  <c r="J75" i="107"/>
  <c r="J76" i="107"/>
  <c r="J78" i="107"/>
  <c r="J77" i="107"/>
  <c r="F119" i="107"/>
  <c r="I119" i="107" s="1"/>
  <c r="F118" i="107"/>
  <c r="I118" i="107" s="1"/>
  <c r="F117" i="107"/>
  <c r="I117" i="107" s="1"/>
  <c r="F116" i="107"/>
  <c r="I116" i="107" s="1"/>
  <c r="F115" i="107"/>
  <c r="I115" i="107"/>
  <c r="L115" i="107"/>
  <c r="D83" i="107" l="1"/>
  <c r="E13" i="107" l="1"/>
  <c r="E12" i="107"/>
  <c r="E11" i="107"/>
  <c r="E10" i="107"/>
  <c r="E9" i="107"/>
  <c r="E8" i="107"/>
  <c r="E7" i="107"/>
  <c r="K63" i="107" l="1"/>
  <c r="D120" i="107" l="1"/>
  <c r="C101" i="107"/>
  <c r="C102" i="107" s="1"/>
  <c r="C103" i="107" s="1"/>
  <c r="C104" i="107" s="1"/>
  <c r="C105" i="107" s="1"/>
  <c r="C106" i="107" s="1"/>
  <c r="C107" i="107" s="1"/>
  <c r="C108" i="107" s="1"/>
  <c r="C109" i="107" s="1"/>
  <c r="C110" i="107" s="1"/>
  <c r="C111" i="107" s="1"/>
  <c r="C112" i="107" s="1"/>
  <c r="C113" i="107" s="1"/>
  <c r="C114" i="107" s="1"/>
  <c r="C115" i="107" s="1"/>
  <c r="C116" i="107" s="1"/>
  <c r="C117" i="107" s="1"/>
  <c r="C118" i="107" s="1"/>
  <c r="C119" i="107" s="1"/>
  <c r="C120" i="107" s="1"/>
  <c r="F83" i="107"/>
  <c r="C64" i="107"/>
  <c r="C65" i="107" s="1"/>
  <c r="C66" i="107" s="1"/>
  <c r="C67" i="107" s="1"/>
  <c r="C68" i="107" s="1"/>
  <c r="C69" i="107" s="1"/>
  <c r="C70" i="107" s="1"/>
  <c r="C71" i="107" s="1"/>
  <c r="C72" i="107" s="1"/>
  <c r="C73" i="107" s="1"/>
  <c r="C74" i="107" s="1"/>
  <c r="C75" i="107" s="1"/>
  <c r="C76" i="107" s="1"/>
  <c r="C77" i="107" s="1"/>
  <c r="C78" i="107" s="1"/>
  <c r="C79" i="107" s="1"/>
  <c r="C80" i="107" s="1"/>
  <c r="C81" i="107" s="1"/>
  <c r="C82" i="107" s="1"/>
  <c r="C83" i="107" s="1"/>
  <c r="D82" i="107" s="1"/>
  <c r="D81" i="107" s="1"/>
  <c r="D80" i="107" s="1"/>
  <c r="D79" i="107" s="1"/>
  <c r="D78" i="107" l="1"/>
  <c r="D119" i="107"/>
  <c r="P78" i="107" l="1"/>
  <c r="D77" i="107"/>
  <c r="D118" i="107"/>
  <c r="D76" i="107" l="1"/>
  <c r="D75" i="107" s="1"/>
  <c r="D117" i="107"/>
  <c r="D74" i="107" l="1"/>
  <c r="D116" i="107"/>
  <c r="D73" i="107" l="1"/>
  <c r="D115" i="107"/>
  <c r="D97" i="107" s="1"/>
  <c r="K115" i="107" l="1"/>
  <c r="N115" i="107"/>
  <c r="D72" i="107"/>
  <c r="D114" i="107"/>
  <c r="D113" i="107" s="1"/>
  <c r="D112" i="107" s="1"/>
  <c r="D111" i="107" s="1"/>
  <c r="D110" i="107" s="1"/>
  <c r="D109" i="107" s="1"/>
  <c r="D108" i="107" s="1"/>
  <c r="D107" i="107" s="1"/>
  <c r="D106" i="107" s="1"/>
  <c r="D105" i="107" s="1"/>
  <c r="D104" i="107" s="1"/>
  <c r="D103" i="107" s="1"/>
  <c r="D102" i="107" s="1"/>
  <c r="D101" i="107" s="1"/>
  <c r="D100" i="107" s="1"/>
  <c r="J115" i="107"/>
  <c r="J114" i="107"/>
  <c r="J113" i="107"/>
  <c r="J112" i="107"/>
  <c r="J111" i="107"/>
  <c r="J110" i="107"/>
  <c r="J109" i="107"/>
  <c r="J108" i="107"/>
  <c r="J107" i="107"/>
  <c r="J106" i="107"/>
  <c r="J105" i="107"/>
  <c r="J104" i="107"/>
  <c r="J103" i="107"/>
  <c r="J102" i="107"/>
  <c r="J101" i="107"/>
  <c r="J100" i="107"/>
  <c r="M115" i="107" l="1"/>
  <c r="D71" i="107"/>
  <c r="D70" i="107" l="1"/>
  <c r="D69" i="107" l="1"/>
  <c r="D68" i="107" l="1"/>
  <c r="D67" i="107" l="1"/>
  <c r="D66" i="107" l="1"/>
  <c r="D65" i="107" l="1"/>
  <c r="D64" i="107" l="1"/>
  <c r="D63" i="107" l="1"/>
  <c r="O78" i="107" l="1"/>
  <c r="N78" i="107"/>
</calcChain>
</file>

<file path=xl/sharedStrings.xml><?xml version="1.0" encoding="utf-8"?>
<sst xmlns="http://schemas.openxmlformats.org/spreadsheetml/2006/main" count="123" uniqueCount="92">
  <si>
    <t>Q</t>
  </si>
  <si>
    <t>Частота</t>
  </si>
  <si>
    <t>атм</t>
  </si>
  <si>
    <t>С</t>
  </si>
  <si>
    <t>%</t>
  </si>
  <si>
    <t>м</t>
  </si>
  <si>
    <t>мм</t>
  </si>
  <si>
    <t>м3/сут</t>
  </si>
  <si>
    <t xml:space="preserve">м </t>
  </si>
  <si>
    <t>Гц</t>
  </si>
  <si>
    <t>шт</t>
  </si>
  <si>
    <t>м3/сут/атм</t>
  </si>
  <si>
    <t>град/100 м</t>
  </si>
  <si>
    <t>N</t>
  </si>
  <si>
    <t>T</t>
  </si>
  <si>
    <t>H</t>
  </si>
  <si>
    <t>,</t>
  </si>
  <si>
    <t>Физико - химические свойства флюида</t>
  </si>
  <si>
    <t>Данные по скважине</t>
  </si>
  <si>
    <t>ЭЦН</t>
  </si>
  <si>
    <t>Ступени</t>
  </si>
  <si>
    <t>Пласт</t>
  </si>
  <si>
    <t>Общая сепарация</t>
  </si>
  <si>
    <t>P снизу вверх</t>
  </si>
  <si>
    <t>Построить распределение давления в скважине при постоянном дебите</t>
  </si>
  <si>
    <t>Деградация</t>
  </si>
  <si>
    <t>Давление в НКТ сверху вниз</t>
  </si>
  <si>
    <t>Давление в НКТ</t>
  </si>
  <si>
    <t>Давление затруб</t>
  </si>
  <si>
    <t>Глубина установки насоса</t>
  </si>
  <si>
    <t>Построить распределение давления для скважины с постоянной продуктивностью</t>
  </si>
  <si>
    <t>Pзаб</t>
  </si>
  <si>
    <t>Ксепарации естественной</t>
  </si>
  <si>
    <t>Упражнение 2</t>
  </si>
  <si>
    <t>Упражнение 1</t>
  </si>
  <si>
    <t>Упражнения по работе с макросами Unifloc VBA</t>
  </si>
  <si>
    <t>версия</t>
  </si>
  <si>
    <r>
      <t>γ</t>
    </r>
    <r>
      <rPr>
        <vertAlign val="subscript"/>
        <sz val="11"/>
        <color theme="1"/>
        <rFont val="Calibri"/>
        <family val="2"/>
        <charset val="204"/>
      </rPr>
      <t>o</t>
    </r>
  </si>
  <si>
    <r>
      <t>кг/м</t>
    </r>
    <r>
      <rPr>
        <vertAlign val="superscript"/>
        <sz val="11"/>
        <rFont val="Calibri"/>
        <family val="2"/>
        <charset val="204"/>
        <scheme val="minor"/>
      </rPr>
      <t>3</t>
    </r>
  </si>
  <si>
    <r>
      <t>γ</t>
    </r>
    <r>
      <rPr>
        <vertAlign val="subscript"/>
        <sz val="11"/>
        <color theme="1"/>
        <rFont val="Calibri"/>
        <family val="2"/>
        <charset val="204"/>
        <scheme val="minor"/>
      </rPr>
      <t>w</t>
    </r>
  </si>
  <si>
    <r>
      <t>γ</t>
    </r>
    <r>
      <rPr>
        <vertAlign val="subscript"/>
        <sz val="11"/>
        <color theme="1"/>
        <rFont val="Calibri"/>
        <family val="2"/>
        <charset val="204"/>
        <scheme val="minor"/>
      </rPr>
      <t>g</t>
    </r>
  </si>
  <si>
    <r>
      <t>R</t>
    </r>
    <r>
      <rPr>
        <vertAlign val="subscript"/>
        <sz val="11"/>
        <color theme="1"/>
        <rFont val="Calibri"/>
        <family val="2"/>
        <charset val="204"/>
        <scheme val="minor"/>
      </rPr>
      <t>sb</t>
    </r>
  </si>
  <si>
    <r>
      <t>м</t>
    </r>
    <r>
      <rPr>
        <vertAlign val="superscript"/>
        <sz val="11"/>
        <color theme="1"/>
        <rFont val="Calibri"/>
        <family val="2"/>
        <charset val="204"/>
        <scheme val="minor"/>
      </rPr>
      <t>3</t>
    </r>
    <r>
      <rPr>
        <sz val="10"/>
        <rFont val="Arial Cyr"/>
        <charset val="204"/>
      </rPr>
      <t>/м</t>
    </r>
    <r>
      <rPr>
        <vertAlign val="superscript"/>
        <sz val="11"/>
        <color theme="1"/>
        <rFont val="Calibri"/>
        <family val="2"/>
        <charset val="204"/>
        <scheme val="minor"/>
      </rPr>
      <t>3</t>
    </r>
  </si>
  <si>
    <r>
      <t>м</t>
    </r>
    <r>
      <rPr>
        <vertAlign val="superscript"/>
        <sz val="11"/>
        <rFont val="Calibri"/>
        <family val="2"/>
        <charset val="204"/>
        <scheme val="minor"/>
      </rPr>
      <t>3</t>
    </r>
    <r>
      <rPr>
        <sz val="10"/>
        <rFont val="Arial Cyr"/>
        <charset val="204"/>
      </rPr>
      <t>/т</t>
    </r>
  </si>
  <si>
    <r>
      <t>R</t>
    </r>
    <r>
      <rPr>
        <vertAlign val="subscript"/>
        <sz val="11"/>
        <color theme="1"/>
        <rFont val="Calibri"/>
        <family val="2"/>
        <charset val="204"/>
        <scheme val="minor"/>
      </rPr>
      <t>p</t>
    </r>
  </si>
  <si>
    <r>
      <t>P</t>
    </r>
    <r>
      <rPr>
        <vertAlign val="subscript"/>
        <sz val="11"/>
        <color theme="1"/>
        <rFont val="Calibri"/>
        <family val="2"/>
        <charset val="204"/>
        <scheme val="minor"/>
      </rPr>
      <t>b cal</t>
    </r>
  </si>
  <si>
    <t>атмa</t>
  </si>
  <si>
    <t>МПа</t>
  </si>
  <si>
    <r>
      <t>T</t>
    </r>
    <r>
      <rPr>
        <vertAlign val="subscript"/>
        <sz val="11"/>
        <color theme="1"/>
        <rFont val="Calibri"/>
        <family val="2"/>
        <charset val="204"/>
        <scheme val="minor"/>
      </rPr>
      <t>res</t>
    </r>
  </si>
  <si>
    <t>Ф</t>
  </si>
  <si>
    <r>
      <t>B</t>
    </r>
    <r>
      <rPr>
        <vertAlign val="subscript"/>
        <sz val="11"/>
        <color theme="1"/>
        <rFont val="Calibri"/>
        <family val="2"/>
        <charset val="204"/>
        <scheme val="minor"/>
      </rPr>
      <t>ob cal</t>
    </r>
  </si>
  <si>
    <r>
      <t>H</t>
    </r>
    <r>
      <rPr>
        <vertAlign val="subscript"/>
        <sz val="10"/>
        <rFont val="Arial Cyr"/>
        <charset val="204"/>
      </rPr>
      <t>mes</t>
    </r>
  </si>
  <si>
    <r>
      <t>H</t>
    </r>
    <r>
      <rPr>
        <vertAlign val="subscript"/>
        <sz val="10"/>
        <rFont val="Arial Cyr"/>
        <charset val="204"/>
      </rPr>
      <t>mes</t>
    </r>
    <r>
      <rPr>
        <sz val="10"/>
        <rFont val="Arial Cyr"/>
        <charset val="204"/>
      </rPr>
      <t>-H</t>
    </r>
    <r>
      <rPr>
        <vertAlign val="subscript"/>
        <sz val="10"/>
        <rFont val="Arial Cyr"/>
        <charset val="204"/>
      </rPr>
      <t>vert</t>
    </r>
  </si>
  <si>
    <r>
      <t>H</t>
    </r>
    <r>
      <rPr>
        <vertAlign val="subscript"/>
        <sz val="10"/>
        <rFont val="Arial Cyr"/>
        <charset val="204"/>
      </rPr>
      <t>pump</t>
    </r>
  </si>
  <si>
    <r>
      <t>ID</t>
    </r>
    <r>
      <rPr>
        <vertAlign val="subscript"/>
        <sz val="10"/>
        <rFont val="Arial Cyr"/>
        <charset val="204"/>
      </rPr>
      <t>cas</t>
    </r>
  </si>
  <si>
    <r>
      <t>OD</t>
    </r>
    <r>
      <rPr>
        <vertAlign val="subscript"/>
        <sz val="10"/>
        <rFont val="Arial Cyr"/>
        <charset val="204"/>
      </rPr>
      <t>tub</t>
    </r>
  </si>
  <si>
    <r>
      <t>ID</t>
    </r>
    <r>
      <rPr>
        <vertAlign val="subscript"/>
        <sz val="10"/>
        <rFont val="Arial Cyr"/>
        <charset val="204"/>
      </rPr>
      <t>tub</t>
    </r>
  </si>
  <si>
    <r>
      <t>D</t>
    </r>
    <r>
      <rPr>
        <vertAlign val="subscript"/>
        <sz val="10"/>
        <rFont val="Arial Cyr"/>
        <charset val="204"/>
      </rPr>
      <t>intake</t>
    </r>
  </si>
  <si>
    <r>
      <t>P</t>
    </r>
    <r>
      <rPr>
        <vertAlign val="subscript"/>
        <sz val="10"/>
        <rFont val="Arial Cyr"/>
        <charset val="204"/>
      </rPr>
      <t>buf</t>
    </r>
  </si>
  <si>
    <r>
      <t>P</t>
    </r>
    <r>
      <rPr>
        <vertAlign val="subscript"/>
        <sz val="10"/>
        <rFont val="Arial Cyr"/>
        <charset val="204"/>
      </rPr>
      <t>intake</t>
    </r>
  </si>
  <si>
    <r>
      <t>T</t>
    </r>
    <r>
      <rPr>
        <vertAlign val="subscript"/>
        <sz val="10"/>
        <rFont val="Arial Cyr"/>
        <charset val="204"/>
      </rPr>
      <t>intake</t>
    </r>
  </si>
  <si>
    <r>
      <t>P</t>
    </r>
    <r>
      <rPr>
        <vertAlign val="subscript"/>
        <sz val="10"/>
        <rFont val="Arial Cyr"/>
        <charset val="204"/>
      </rPr>
      <t>dis</t>
    </r>
  </si>
  <si>
    <r>
      <t>P</t>
    </r>
    <r>
      <rPr>
        <vertAlign val="subscript"/>
        <sz val="10"/>
        <rFont val="Arial Cyr"/>
        <charset val="204"/>
      </rPr>
      <t>wf</t>
    </r>
  </si>
  <si>
    <r>
      <t>Q</t>
    </r>
    <r>
      <rPr>
        <vertAlign val="subscript"/>
        <sz val="10"/>
        <rFont val="Arial Cyr"/>
        <charset val="204"/>
      </rPr>
      <t>liq</t>
    </r>
  </si>
  <si>
    <r>
      <t>f</t>
    </r>
    <r>
      <rPr>
        <vertAlign val="subscript"/>
        <sz val="10"/>
        <rFont val="Arial Cyr"/>
        <charset val="204"/>
      </rPr>
      <t>w</t>
    </r>
  </si>
  <si>
    <r>
      <t>ЭЦН Q</t>
    </r>
    <r>
      <rPr>
        <vertAlign val="subscript"/>
        <sz val="10"/>
        <rFont val="Arial Cyr"/>
        <charset val="204"/>
      </rPr>
      <t>nom</t>
    </r>
  </si>
  <si>
    <r>
      <t>ЭЦН H</t>
    </r>
    <r>
      <rPr>
        <vertAlign val="subscript"/>
        <sz val="10"/>
        <rFont val="Arial Cyr"/>
        <charset val="204"/>
      </rPr>
      <t>nom</t>
    </r>
  </si>
  <si>
    <t>F</t>
  </si>
  <si>
    <t>ЭЦН ID</t>
  </si>
  <si>
    <t>ЭЦН имя</t>
  </si>
  <si>
    <r>
      <t>ЭЦН Q</t>
    </r>
    <r>
      <rPr>
        <vertAlign val="subscript"/>
        <sz val="10"/>
        <rFont val="Arial Cyr"/>
        <charset val="204"/>
      </rPr>
      <t>max</t>
    </r>
  </si>
  <si>
    <t>ЭЦН строка</t>
  </si>
  <si>
    <r>
      <t>K</t>
    </r>
    <r>
      <rPr>
        <vertAlign val="subscript"/>
        <sz val="10"/>
        <rFont val="Arial Cyr"/>
        <charset val="204"/>
      </rPr>
      <t>sep гс</t>
    </r>
  </si>
  <si>
    <r>
      <t>P</t>
    </r>
    <r>
      <rPr>
        <vertAlign val="subscript"/>
        <sz val="10"/>
        <rFont val="Arial Cyr"/>
        <charset val="204"/>
      </rPr>
      <t>sep</t>
    </r>
  </si>
  <si>
    <r>
      <t>T</t>
    </r>
    <r>
      <rPr>
        <vertAlign val="subscript"/>
        <sz val="10"/>
        <rFont val="Arial Cyr"/>
        <charset val="204"/>
      </rPr>
      <t>sep</t>
    </r>
  </si>
  <si>
    <r>
      <t>P</t>
    </r>
    <r>
      <rPr>
        <vertAlign val="subscript"/>
        <sz val="10"/>
        <rFont val="Arial Cyr"/>
        <charset val="204"/>
      </rPr>
      <t>res</t>
    </r>
  </si>
  <si>
    <t>PI</t>
  </si>
  <si>
    <t>dT/dL</t>
  </si>
  <si>
    <t>Muob cal</t>
  </si>
  <si>
    <t>сПуаз</t>
  </si>
  <si>
    <t>θ</t>
  </si>
  <si>
    <t>°</t>
  </si>
  <si>
    <t>Перепад давления в насосе по потоку</t>
  </si>
  <si>
    <t>Перепад давления в насосе по ЭЦН</t>
  </si>
  <si>
    <t>Доля газа после сепарации</t>
  </si>
  <si>
    <t>Доля газа до сепарации</t>
  </si>
  <si>
    <t>PVT строка для упражнения 1</t>
  </si>
  <si>
    <t>PVT строка для упражнения 2</t>
  </si>
  <si>
    <t>P снизу вверх  до приема</t>
  </si>
  <si>
    <t>Давление в НКТ снизу вверх</t>
  </si>
  <si>
    <t>Расчет распределения давления в скважине, оснащенной ЭЦН</t>
  </si>
  <si>
    <t>Поправка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</si>
</sst>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0"/>
      <name val="Arial Cyr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charset val="204"/>
    </font>
    <font>
      <sz val="11"/>
      <color theme="1"/>
      <name val="Calibri"/>
      <family val="2"/>
      <scheme val="minor"/>
    </font>
    <font>
      <b/>
      <sz val="10"/>
      <name val="Arial Cyr"/>
      <charset val="204"/>
    </font>
    <font>
      <sz val="10"/>
      <name val="Arial Cyr"/>
      <charset val="204"/>
    </font>
    <font>
      <sz val="10"/>
      <color rgb="FFFF0000"/>
      <name val="Arial Cyr"/>
      <charset val="204"/>
    </font>
    <font>
      <sz val="11"/>
      <color theme="1"/>
      <name val="Calibri"/>
      <family val="2"/>
      <charset val="204"/>
    </font>
    <font>
      <vertAlign val="subscript"/>
      <sz val="11"/>
      <color theme="1"/>
      <name val="Calibri"/>
      <family val="2"/>
      <charset val="204"/>
    </font>
    <font>
      <vertAlign val="superscript"/>
      <sz val="11"/>
      <name val="Calibri"/>
      <family val="2"/>
      <charset val="204"/>
      <scheme val="minor"/>
    </font>
    <font>
      <vertAlign val="subscript"/>
      <sz val="11"/>
      <color theme="1"/>
      <name val="Calibri"/>
      <family val="2"/>
      <charset val="204"/>
      <scheme val="minor"/>
    </font>
    <font>
      <vertAlign val="superscript"/>
      <sz val="11"/>
      <color theme="1"/>
      <name val="Calibri"/>
      <family val="2"/>
      <charset val="204"/>
      <scheme val="minor"/>
    </font>
    <font>
      <vertAlign val="subscript"/>
      <sz val="10"/>
      <name val="Arial Cyr"/>
      <charset val="204"/>
    </font>
    <font>
      <sz val="10"/>
      <color theme="1"/>
      <name val="Arial Cyr"/>
      <charset val="204"/>
    </font>
  </fonts>
  <fills count="1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3" fillId="0" borderId="1"/>
    <xf numFmtId="0" fontId="4" fillId="0" borderId="0"/>
    <xf numFmtId="0" fontId="2" fillId="0" borderId="0"/>
    <xf numFmtId="0" fontId="1" fillId="0" borderId="0"/>
    <xf numFmtId="9" fontId="6" fillId="0" borderId="0" applyFont="0" applyFill="0" applyBorder="0" applyAlignment="0" applyProtection="0"/>
  </cellStyleXfs>
  <cellXfs count="47">
    <xf numFmtId="0" fontId="0" fillId="0" borderId="0" xfId="0"/>
    <xf numFmtId="0" fontId="5" fillId="0" borderId="0" xfId="0" applyFont="1"/>
    <xf numFmtId="0" fontId="0" fillId="3" borderId="2" xfId="0" applyFill="1" applyBorder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9" fontId="0" fillId="3" borderId="2" xfId="0" applyNumberFormat="1" applyFill="1" applyBorder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quotePrefix="1"/>
    <xf numFmtId="2" fontId="0" fillId="3" borderId="2" xfId="0" applyNumberFormat="1" applyFill="1" applyBorder="1" applyAlignment="1">
      <alignment horizontal="center"/>
    </xf>
    <xf numFmtId="0" fontId="5" fillId="0" borderId="0" xfId="0" applyFont="1" applyAlignment="1">
      <alignment horizontal="center" wrapText="1"/>
    </xf>
    <xf numFmtId="0" fontId="8" fillId="4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2" xfId="0" applyFill="1" applyBorder="1" applyAlignment="1">
      <alignment horizontal="center" wrapText="1"/>
    </xf>
    <xf numFmtId="1" fontId="0" fillId="5" borderId="2" xfId="0" applyNumberFormat="1" applyFill="1" applyBorder="1" applyAlignment="1">
      <alignment horizontal="center"/>
    </xf>
    <xf numFmtId="0" fontId="0" fillId="7" borderId="2" xfId="0" applyFill="1" applyBorder="1" applyAlignment="1">
      <alignment horizontal="center" wrapText="1"/>
    </xf>
    <xf numFmtId="0" fontId="0" fillId="7" borderId="2" xfId="0" applyFill="1" applyBorder="1" applyAlignment="1">
      <alignment horizontal="center"/>
    </xf>
    <xf numFmtId="0" fontId="0" fillId="7" borderId="2" xfId="0" applyFill="1" applyBorder="1"/>
    <xf numFmtId="0" fontId="0" fillId="5" borderId="2" xfId="0" applyFill="1" applyBorder="1"/>
    <xf numFmtId="2" fontId="0" fillId="5" borderId="2" xfId="0" applyNumberFormat="1" applyFill="1" applyBorder="1" applyAlignment="1">
      <alignment horizontal="center"/>
    </xf>
    <xf numFmtId="0" fontId="11" fillId="4" borderId="2" xfId="0" applyFont="1" applyFill="1" applyBorder="1" applyAlignment="1">
      <alignment horizontal="center" wrapText="1"/>
    </xf>
    <xf numFmtId="0" fontId="0" fillId="0" borderId="0" xfId="0" applyFill="1" applyBorder="1" applyAlignment="1">
      <alignment horizontal="center"/>
    </xf>
    <xf numFmtId="0" fontId="8" fillId="4" borderId="2" xfId="0" applyFont="1" applyFill="1" applyBorder="1" applyAlignment="1">
      <alignment horizontal="center" wrapText="1"/>
    </xf>
    <xf numFmtId="0" fontId="5" fillId="8" borderId="2" xfId="0" applyFont="1" applyFill="1" applyBorder="1" applyAlignment="1">
      <alignment horizontal="center" vertical="center" wrapText="1"/>
    </xf>
    <xf numFmtId="0" fontId="5" fillId="7" borderId="2" xfId="0" applyFont="1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9" borderId="2" xfId="0" applyFill="1" applyBorder="1" applyAlignment="1">
      <alignment horizontal="center"/>
    </xf>
    <xf numFmtId="0" fontId="5" fillId="8" borderId="4" xfId="0" applyFont="1" applyFill="1" applyBorder="1" applyAlignment="1">
      <alignment horizontal="center" vertical="center" wrapText="1"/>
    </xf>
    <xf numFmtId="9" fontId="0" fillId="5" borderId="4" xfId="5" applyFont="1" applyFill="1" applyBorder="1" applyAlignment="1">
      <alignment horizontal="center"/>
    </xf>
    <xf numFmtId="0" fontId="5" fillId="8" borderId="5" xfId="0" applyFont="1" applyFill="1" applyBorder="1" applyAlignment="1">
      <alignment horizontal="center" vertical="center" wrapText="1"/>
    </xf>
    <xf numFmtId="2" fontId="0" fillId="9" borderId="2" xfId="0" applyNumberFormat="1" applyFont="1" applyFill="1" applyBorder="1" applyAlignment="1">
      <alignment horizontal="center"/>
    </xf>
    <xf numFmtId="2" fontId="0" fillId="5" borderId="3" xfId="0" applyNumberFormat="1" applyFill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2" fontId="0" fillId="5" borderId="2" xfId="0" applyNumberFormat="1" applyFill="1" applyBorder="1"/>
    <xf numFmtId="9" fontId="0" fillId="5" borderId="6" xfId="5" applyFont="1" applyFill="1" applyBorder="1" applyAlignment="1">
      <alignment horizontal="center"/>
    </xf>
    <xf numFmtId="9" fontId="0" fillId="5" borderId="2" xfId="5" applyFont="1" applyFill="1" applyBorder="1" applyAlignment="1">
      <alignment horizontal="center"/>
    </xf>
    <xf numFmtId="2" fontId="14" fillId="5" borderId="2" xfId="0" applyNumberFormat="1" applyFont="1" applyFill="1" applyBorder="1"/>
    <xf numFmtId="2" fontId="14" fillId="5" borderId="2" xfId="0" applyNumberFormat="1" applyFont="1" applyFill="1" applyBorder="1" applyAlignment="1">
      <alignment horizontal="center"/>
    </xf>
    <xf numFmtId="2" fontId="0" fillId="5" borderId="5" xfId="0" applyNumberFormat="1" applyFill="1" applyBorder="1"/>
    <xf numFmtId="2" fontId="0" fillId="9" borderId="2" xfId="0" applyNumberFormat="1" applyFill="1" applyBorder="1" applyAlignment="1">
      <alignment horizontal="center"/>
    </xf>
    <xf numFmtId="0" fontId="5" fillId="8" borderId="2" xfId="0" applyFont="1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14" fillId="5" borderId="2" xfId="0" applyFont="1" applyFill="1" applyBorder="1" applyAlignment="1">
      <alignment horizontal="center"/>
    </xf>
    <xf numFmtId="2" fontId="0" fillId="10" borderId="2" xfId="0" applyNumberFormat="1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7" borderId="2" xfId="0" applyFill="1" applyBorder="1" applyAlignment="1">
      <alignment horizontal="center"/>
    </xf>
  </cellXfs>
  <cellStyles count="6">
    <cellStyle name="Iau?iue_AA_1" xfId="1" xr:uid="{00000000-0005-0000-0000-000000000000}"/>
    <cellStyle name="Обычный" xfId="0" builtinId="0"/>
    <cellStyle name="Обычный 2" xfId="2" xr:uid="{00000000-0005-0000-0000-000003000000}"/>
    <cellStyle name="Обычный 3" xfId="3" xr:uid="{00000000-0005-0000-0000-000004000000}"/>
    <cellStyle name="Обычный 3 2" xfId="4" xr:uid="{00000000-0005-0000-0000-000005000000}"/>
    <cellStyle name="Процентный" xfId="5" builtinId="5"/>
  </cellStyles>
  <dxfs count="0"/>
  <tableStyles count="0" defaultTableStyle="TableStyleMedium2" defaultPivotStyle="PivotStyleLight16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Распределение</a:t>
            </a:r>
            <a:r>
              <a:rPr lang="ru-RU" baseline="0"/>
              <a:t> давления в скважине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Давление в НКТ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well!$F$63:$F$83</c:f>
              <c:numCache>
                <c:formatCode>0.00</c:formatCode>
                <c:ptCount val="21"/>
                <c:pt idx="15">
                  <c:v>30.985733198550612</c:v>
                </c:pt>
                <c:pt idx="16">
                  <c:v>38.167180932718928</c:v>
                </c:pt>
                <c:pt idx="17">
                  <c:v>46.019832342828991</c:v>
                </c:pt>
                <c:pt idx="18">
                  <c:v>54.010662961718801</c:v>
                </c:pt>
                <c:pt idx="19">
                  <c:v>62.005127076195684</c:v>
                </c:pt>
                <c:pt idx="20" formatCode="General">
                  <c:v>70</c:v>
                </c:pt>
              </c:numCache>
            </c:numRef>
          </c:xVal>
          <c:yVal>
            <c:numRef>
              <c:f>well!$C$63:$C$83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B3-4480-B619-5B823188098A}"/>
            </c:ext>
          </c:extLst>
        </c:ser>
        <c:ser>
          <c:idx val="0"/>
          <c:order val="1"/>
          <c:tx>
            <c:v>P снизу вверх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well!$O$63:$O$83</c:f>
              <c:numCache>
                <c:formatCode>0.00</c:formatCode>
                <c:ptCount val="21"/>
                <c:pt idx="15">
                  <c:v>140.55977685615014</c:v>
                </c:pt>
              </c:numCache>
            </c:numRef>
          </c:xVal>
          <c:yVal>
            <c:numRef>
              <c:f>well!$C$63:$C$83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B3-4480-B619-5B823188098A}"/>
            </c:ext>
          </c:extLst>
        </c:ser>
        <c:ser>
          <c:idx val="2"/>
          <c:order val="2"/>
          <c:tx>
            <c:v>Давление в НКТ сверху вниз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well!$K$63:$K$83</c:f>
              <c:numCache>
                <c:formatCode>0.00</c:formatCode>
                <c:ptCount val="21"/>
                <c:pt idx="0">
                  <c:v>20</c:v>
                </c:pt>
                <c:pt idx="1">
                  <c:v>26.849083227966933</c:v>
                </c:pt>
                <c:pt idx="2">
                  <c:v>34.391022795883714</c:v>
                </c:pt>
                <c:pt idx="3">
                  <c:v>42.58791116609396</c:v>
                </c:pt>
                <c:pt idx="4">
                  <c:v>50.801006008814632</c:v>
                </c:pt>
                <c:pt idx="5">
                  <c:v>59.007037636116998</c:v>
                </c:pt>
                <c:pt idx="6">
                  <c:v>67.205375363318268</c:v>
                </c:pt>
                <c:pt idx="7">
                  <c:v>75.390497417594091</c:v>
                </c:pt>
                <c:pt idx="8">
                  <c:v>83.567306314317037</c:v>
                </c:pt>
                <c:pt idx="9">
                  <c:v>91.735596505487905</c:v>
                </c:pt>
                <c:pt idx="10">
                  <c:v>99.89521353811547</c:v>
                </c:pt>
                <c:pt idx="11">
                  <c:v>108.04603811321746</c:v>
                </c:pt>
                <c:pt idx="12">
                  <c:v>116.1879759834637</c:v>
                </c:pt>
                <c:pt idx="13">
                  <c:v>124.32095129233221</c:v>
                </c:pt>
                <c:pt idx="14">
                  <c:v>132.44490203221255</c:v>
                </c:pt>
                <c:pt idx="15">
                  <c:v>140.55977685615014</c:v>
                </c:pt>
              </c:numCache>
            </c:numRef>
          </c:xVal>
          <c:yVal>
            <c:numRef>
              <c:f>well!$C$63:$C$83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0B3-4480-B619-5B823188098A}"/>
            </c:ext>
          </c:extLst>
        </c:ser>
        <c:ser>
          <c:idx val="3"/>
          <c:order val="3"/>
          <c:tx>
            <c:v>Давление затруб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well!$P$63:$P$83</c:f>
              <c:numCache>
                <c:formatCode>0.00</c:formatCode>
                <c:ptCount val="21"/>
                <c:pt idx="15">
                  <c:v>30.985733198550612</c:v>
                </c:pt>
              </c:numCache>
            </c:numRef>
          </c:xVal>
          <c:yVal>
            <c:numRef>
              <c:f>well!$C$63:$C$83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0B3-4480-B619-5B82318809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4304640"/>
        <c:axId val="304305216"/>
      </c:scatterChart>
      <c:valAx>
        <c:axId val="30430464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</a:t>
                </a:r>
                <a:r>
                  <a:rPr lang="ru-RU" baseline="0"/>
                  <a:t> атм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4305216"/>
        <c:crosses val="autoZero"/>
        <c:crossBetween val="midCat"/>
      </c:valAx>
      <c:valAx>
        <c:axId val="304305216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Глубина,</a:t>
                </a:r>
                <a:r>
                  <a:rPr lang="ru-RU" baseline="0"/>
                  <a:t> м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4304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Объемное</a:t>
            </a:r>
            <a:r>
              <a:rPr lang="ru-RU" baseline="0"/>
              <a:t> содержание газа в потоке ГЖС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well!$I$62</c:f>
              <c:strCache>
                <c:ptCount val="1"/>
                <c:pt idx="0">
                  <c:v>Доля газа до сепарации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well!$I$63:$I$83</c:f>
              <c:numCache>
                <c:formatCode>General</c:formatCode>
                <c:ptCount val="21"/>
                <c:pt idx="15" formatCode="0%">
                  <c:v>0.21179231693746101</c:v>
                </c:pt>
                <c:pt idx="16" formatCode="0%">
                  <c:v>8.1470538245978982E-2</c:v>
                </c:pt>
                <c:pt idx="17" formatCode="0%">
                  <c:v>0</c:v>
                </c:pt>
                <c:pt idx="18" formatCode="0%">
                  <c:v>0</c:v>
                </c:pt>
                <c:pt idx="19" formatCode="0%">
                  <c:v>0</c:v>
                </c:pt>
                <c:pt idx="20" formatCode="0%">
                  <c:v>0</c:v>
                </c:pt>
              </c:numCache>
            </c:numRef>
          </c:xVal>
          <c:yVal>
            <c:numRef>
              <c:f>well!$C$63:$C$83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FB-49D4-933B-736CEB3D110A}"/>
            </c:ext>
          </c:extLst>
        </c:ser>
        <c:ser>
          <c:idx val="2"/>
          <c:order val="1"/>
          <c:tx>
            <c:strRef>
              <c:f>well!$J$62</c:f>
              <c:strCache>
                <c:ptCount val="1"/>
                <c:pt idx="0">
                  <c:v>Доля газа после сепарации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well!$J$63:$J$83</c:f>
              <c:numCache>
                <c:formatCode>0%</c:formatCode>
                <c:ptCount val="21"/>
                <c:pt idx="0">
                  <c:v>0.37651312845919432</c:v>
                </c:pt>
                <c:pt idx="1">
                  <c:v>0.20951561389793688</c:v>
                </c:pt>
                <c:pt idx="2">
                  <c:v>4.4226404828620544E-2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xVal>
          <c:yVal>
            <c:numRef>
              <c:f>well!$C$63:$C$83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EFB-49D4-933B-736CEB3D11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4304640"/>
        <c:axId val="304305216"/>
      </c:scatterChart>
      <c:valAx>
        <c:axId val="30430464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Доля газа, д.ед.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4305216"/>
        <c:crosses val="autoZero"/>
        <c:crossBetween val="midCat"/>
      </c:valAx>
      <c:valAx>
        <c:axId val="304305216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Глубина,</a:t>
                </a:r>
                <a:r>
                  <a:rPr lang="ru-RU" baseline="0"/>
                  <a:t> м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4304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Распределение</a:t>
            </a:r>
            <a:r>
              <a:rPr lang="ru-RU" baseline="0"/>
              <a:t> давления в скважине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well!$F$99</c:f>
              <c:strCache>
                <c:ptCount val="1"/>
                <c:pt idx="0">
                  <c:v>P снизу вверх  до приема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well!$F$100:$F$120</c:f>
              <c:numCache>
                <c:formatCode>0.00</c:formatCode>
                <c:ptCount val="21"/>
                <c:pt idx="15">
                  <c:v>29.555856184319655</c:v>
                </c:pt>
                <c:pt idx="16">
                  <c:v>37.647808746435871</c:v>
                </c:pt>
                <c:pt idx="17">
                  <c:v>45.741003998978627</c:v>
                </c:pt>
                <c:pt idx="18">
                  <c:v>53.831983978691397</c:v>
                </c:pt>
                <c:pt idx="19">
                  <c:v>61.918740334577336</c:v>
                </c:pt>
                <c:pt idx="20" formatCode="General">
                  <c:v>70</c:v>
                </c:pt>
              </c:numCache>
            </c:numRef>
          </c:xVal>
          <c:yVal>
            <c:numRef>
              <c:f>well!$C$100:$C$120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E7-4667-A769-D11CA745EEC8}"/>
            </c:ext>
          </c:extLst>
        </c:ser>
        <c:ser>
          <c:idx val="2"/>
          <c:order val="1"/>
          <c:tx>
            <c:strRef>
              <c:f>well!$K$99</c:f>
              <c:strCache>
                <c:ptCount val="1"/>
                <c:pt idx="0">
                  <c:v>Давление в НКТ снизу вверх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well!$K$100:$K$120</c:f>
              <c:numCache>
                <c:formatCode>0.00</c:formatCode>
                <c:ptCount val="21"/>
                <c:pt idx="0">
                  <c:v>81.550863767453876</c:v>
                </c:pt>
                <c:pt idx="1">
                  <c:v>89.857988124148349</c:v>
                </c:pt>
                <c:pt idx="2">
                  <c:v>98.155714635210344</c:v>
                </c:pt>
                <c:pt idx="3">
                  <c:v>106.44418929715984</c:v>
                </c:pt>
                <c:pt idx="4">
                  <c:v>114.72351902958214</c:v>
                </c:pt>
                <c:pt idx="5">
                  <c:v>122.99378330358932</c:v>
                </c:pt>
                <c:pt idx="6">
                  <c:v>131.2550418968174</c:v>
                </c:pt>
                <c:pt idx="7">
                  <c:v>139.50734021071773</c:v>
                </c:pt>
                <c:pt idx="8">
                  <c:v>147.75071300161892</c:v>
                </c:pt>
                <c:pt idx="9">
                  <c:v>155.98518704966031</c:v>
                </c:pt>
                <c:pt idx="10">
                  <c:v>164.21078309872837</c:v>
                </c:pt>
                <c:pt idx="11">
                  <c:v>172.42751728516939</c:v>
                </c:pt>
                <c:pt idx="12">
                  <c:v>180.63540220120836</c:v>
                </c:pt>
                <c:pt idx="13">
                  <c:v>188.83444769303628</c:v>
                </c:pt>
                <c:pt idx="14">
                  <c:v>197.02466146340223</c:v>
                </c:pt>
                <c:pt idx="15">
                  <c:v>205.20604952837439</c:v>
                </c:pt>
              </c:numCache>
            </c:numRef>
          </c:xVal>
          <c:yVal>
            <c:numRef>
              <c:f>well!$C$100:$C$120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EE7-4667-A769-D11CA745EE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4304640"/>
        <c:axId val="304305216"/>
      </c:scatterChart>
      <c:valAx>
        <c:axId val="30430464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</a:t>
                </a:r>
                <a:r>
                  <a:rPr lang="ru-RU" baseline="0"/>
                  <a:t> атм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4305216"/>
        <c:crosses val="autoZero"/>
        <c:crossBetween val="midCat"/>
      </c:valAx>
      <c:valAx>
        <c:axId val="304305216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Глубина,</a:t>
                </a:r>
                <a:r>
                  <a:rPr lang="ru-RU" baseline="0"/>
                  <a:t> м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4304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Объемное</a:t>
            </a:r>
            <a:r>
              <a:rPr lang="ru-RU" baseline="0"/>
              <a:t> содержание газа в потоке ГЖС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well!$I$99</c:f>
              <c:strCache>
                <c:ptCount val="1"/>
                <c:pt idx="0">
                  <c:v>Доля газа до сепарации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well!$I$100:$I$120</c:f>
              <c:numCache>
                <c:formatCode>General</c:formatCode>
                <c:ptCount val="21"/>
                <c:pt idx="15" formatCode="0%">
                  <c:v>0.24067644173163219</c:v>
                </c:pt>
                <c:pt idx="16" formatCode="0%">
                  <c:v>9.0984814014799631E-2</c:v>
                </c:pt>
                <c:pt idx="17" formatCode="0%">
                  <c:v>0</c:v>
                </c:pt>
                <c:pt idx="18" formatCode="0%">
                  <c:v>0</c:v>
                </c:pt>
                <c:pt idx="19" formatCode="0%">
                  <c:v>0</c:v>
                </c:pt>
                <c:pt idx="20" formatCode="0%">
                  <c:v>0</c:v>
                </c:pt>
              </c:numCache>
            </c:numRef>
          </c:xVal>
          <c:yVal>
            <c:numRef>
              <c:f>well!$C$63:$C$83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2C-467F-89D5-1998E1551B01}"/>
            </c:ext>
          </c:extLst>
        </c:ser>
        <c:ser>
          <c:idx val="2"/>
          <c:order val="1"/>
          <c:tx>
            <c:strRef>
              <c:f>well!$J$99</c:f>
              <c:strCache>
                <c:ptCount val="1"/>
                <c:pt idx="0">
                  <c:v>Доля газа после сепарации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well!$J$100:$J$120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xVal>
          <c:yVal>
            <c:numRef>
              <c:f>well!$C$63:$C$83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2C-467F-89D5-1998E1551B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4304640"/>
        <c:axId val="304305216"/>
      </c:scatterChart>
      <c:valAx>
        <c:axId val="30430464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Доля газа, д.ед.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4305216"/>
        <c:crosses val="autoZero"/>
        <c:crossBetween val="midCat"/>
      </c:valAx>
      <c:valAx>
        <c:axId val="304305216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Глубина,</a:t>
                </a:r>
                <a:r>
                  <a:rPr lang="ru-RU" baseline="0"/>
                  <a:t> м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4304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8452</xdr:colOff>
      <xdr:row>60</xdr:row>
      <xdr:rowOff>113806</xdr:rowOff>
    </xdr:from>
    <xdr:to>
      <xdr:col>22</xdr:col>
      <xdr:colOff>519545</xdr:colOff>
      <xdr:row>87</xdr:row>
      <xdr:rowOff>129886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530074</xdr:colOff>
      <xdr:row>60</xdr:row>
      <xdr:rowOff>142448</xdr:rowOff>
    </xdr:from>
    <xdr:to>
      <xdr:col>29</xdr:col>
      <xdr:colOff>447387</xdr:colOff>
      <xdr:row>87</xdr:row>
      <xdr:rowOff>115453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AABF45AF-75FB-4EC7-8477-3E20979EBC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31217</xdr:colOff>
      <xdr:row>89</xdr:row>
      <xdr:rowOff>144874</xdr:rowOff>
    </xdr:from>
    <xdr:to>
      <xdr:col>20</xdr:col>
      <xdr:colOff>530679</xdr:colOff>
      <xdr:row>120</xdr:row>
      <xdr:rowOff>136071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C67680E7-72C7-4192-86BC-407090D810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529554</xdr:colOff>
      <xdr:row>89</xdr:row>
      <xdr:rowOff>147277</xdr:rowOff>
    </xdr:from>
    <xdr:to>
      <xdr:col>28</xdr:col>
      <xdr:colOff>44499</xdr:colOff>
      <xdr:row>120</xdr:row>
      <xdr:rowOff>122463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56BEF9D1-4B76-4E2D-A541-7C03A44E0E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728382</xdr:colOff>
      <xdr:row>3</xdr:row>
      <xdr:rowOff>44824</xdr:rowOff>
    </xdr:from>
    <xdr:to>
      <xdr:col>14</xdr:col>
      <xdr:colOff>407613</xdr:colOff>
      <xdr:row>12</xdr:row>
      <xdr:rowOff>114161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C46E6903-ACEA-4E5C-92DA-5701E0074DEA}"/>
            </a:ext>
          </a:extLst>
        </xdr:cNvPr>
        <xdr:cNvSpPr txBox="1"/>
      </xdr:nvSpPr>
      <xdr:spPr>
        <a:xfrm>
          <a:off x="5905500" y="515471"/>
          <a:ext cx="5595937" cy="1940719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 baseline="0"/>
            <a:t>В упражнении рассматривается работа скважины, оснащенной ЭЦН, фонтанирующей через затруб.</a:t>
          </a:r>
        </a:p>
        <a:p>
          <a:endParaRPr lang="ru-RU" sz="1100" baseline="0"/>
        </a:p>
        <a:p>
          <a:r>
            <a:rPr lang="ru-RU" sz="1100" baseline="0"/>
            <a:t>Вопросы для проработки</a:t>
          </a:r>
        </a:p>
        <a:p>
          <a:r>
            <a:rPr lang="ru-RU" sz="1100" baseline="0"/>
            <a:t>1. Как влияет сепарация, естественная и искусственная, на работу скважины?</a:t>
          </a:r>
        </a:p>
        <a:p>
          <a:r>
            <a:rPr lang="ru-RU" sz="1100" baseline="0"/>
            <a:t>2. Что позволяет учесть коэффициент деградации напорной характеристики ЭЦН?</a:t>
          </a:r>
        </a:p>
        <a:p>
          <a:r>
            <a:rPr lang="ru-RU" sz="1100" baseline="0"/>
            <a:t>3. Какое минимальное забойное давление можно считать оптимальным?</a:t>
          </a:r>
        </a:p>
        <a:p>
          <a:endParaRPr lang="ru-RU" sz="1100" baseline="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habi/AppData/Roaming/Microsoft/AddIns/UniflocVBA_7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Pbase"/>
      <sheetName val="Info"/>
    </sheetNames>
    <definedNames>
      <definedName name="ESP_dp_atm"/>
      <definedName name="ESP_encode_string"/>
      <definedName name="ESP_head_m"/>
      <definedName name="ESP_id_by_rate"/>
      <definedName name="ESP_max_rate_m3day"/>
      <definedName name="ESP_name"/>
      <definedName name="getUFVersion"/>
      <definedName name="IPR_pi_sm3dayatm"/>
      <definedName name="IPR_qliq_sm3day"/>
      <definedName name="MF_gas_fraction_d"/>
      <definedName name="MF_ksep_natural_d"/>
      <definedName name="MF_ksep_total_d"/>
      <definedName name="MF_p_pipe_atma"/>
      <definedName name="PVT_encode_string"/>
    </defined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orksheet_well">
    <outlinePr summaryBelow="0"/>
  </sheetPr>
  <dimension ref="A1:X193"/>
  <sheetViews>
    <sheetView tabSelected="1" topLeftCell="A43" zoomScale="74" zoomScaleNormal="74" workbookViewId="0">
      <selection activeCell="D62" sqref="D62"/>
    </sheetView>
  </sheetViews>
  <sheetFormatPr defaultRowHeight="12.75" outlineLevelRow="1" x14ac:dyDescent="0.2"/>
  <cols>
    <col min="2" max="2" width="26.28515625" customWidth="1"/>
    <col min="3" max="3" width="11.28515625" bestFit="1" customWidth="1"/>
    <col min="4" max="4" width="9.85546875" customWidth="1"/>
    <col min="5" max="5" width="11.28515625" customWidth="1"/>
    <col min="6" max="6" width="9.85546875" customWidth="1"/>
    <col min="7" max="9" width="12.28515625" customWidth="1"/>
    <col min="10" max="10" width="12.42578125" customWidth="1"/>
    <col min="11" max="11" width="11.28515625" customWidth="1"/>
    <col min="12" max="12" width="10.140625" customWidth="1"/>
  </cols>
  <sheetData>
    <row r="1" spans="1:7" x14ac:dyDescent="0.2">
      <c r="A1" s="1" t="s">
        <v>35</v>
      </c>
      <c r="F1" t="s">
        <v>36</v>
      </c>
      <c r="G1" t="str">
        <f>[1]!getUFVersion()</f>
        <v>7.9</v>
      </c>
    </row>
    <row r="2" spans="1:7" x14ac:dyDescent="0.2">
      <c r="A2" t="s">
        <v>90</v>
      </c>
    </row>
    <row r="6" spans="1:7" x14ac:dyDescent="0.2">
      <c r="A6" s="1" t="s">
        <v>17</v>
      </c>
    </row>
    <row r="7" spans="1:7" ht="18.75" outlineLevel="1" x14ac:dyDescent="0.35">
      <c r="B7" s="10" t="s">
        <v>37</v>
      </c>
      <c r="C7" s="2">
        <v>0.87</v>
      </c>
      <c r="D7" s="11"/>
      <c r="E7" s="12">
        <f>gamma_oil_*1000</f>
        <v>870</v>
      </c>
      <c r="F7" s="13" t="s">
        <v>38</v>
      </c>
    </row>
    <row r="8" spans="1:7" ht="18.75" outlineLevel="1" x14ac:dyDescent="0.35">
      <c r="B8" s="13" t="s">
        <v>39</v>
      </c>
      <c r="C8" s="2">
        <v>1</v>
      </c>
      <c r="D8" s="11"/>
      <c r="E8" s="12">
        <f>gamma_wat_*1000</f>
        <v>1000</v>
      </c>
      <c r="F8" s="13" t="s">
        <v>38</v>
      </c>
    </row>
    <row r="9" spans="1:7" ht="18.75" outlineLevel="1" x14ac:dyDescent="0.35">
      <c r="B9" s="13" t="s">
        <v>40</v>
      </c>
      <c r="C9" s="2">
        <v>0.8</v>
      </c>
      <c r="D9" s="11"/>
      <c r="E9" s="12">
        <f>gamma_gas_*1.22</f>
        <v>0.97599999999999998</v>
      </c>
      <c r="F9" s="13" t="s">
        <v>38</v>
      </c>
    </row>
    <row r="10" spans="1:7" ht="18.75" outlineLevel="1" x14ac:dyDescent="0.35">
      <c r="B10" s="14" t="s">
        <v>41</v>
      </c>
      <c r="C10" s="2">
        <v>80</v>
      </c>
      <c r="D10" s="13" t="s">
        <v>42</v>
      </c>
      <c r="E10" s="15">
        <f>Rsb_/gamma_oil_</f>
        <v>91.954022988505741</v>
      </c>
      <c r="F10" s="13" t="s">
        <v>43</v>
      </c>
    </row>
    <row r="11" spans="1:7" ht="18.75" outlineLevel="1" x14ac:dyDescent="0.35">
      <c r="B11" s="14" t="s">
        <v>44</v>
      </c>
      <c r="C11" s="2">
        <v>80</v>
      </c>
      <c r="D11" s="13" t="s">
        <v>42</v>
      </c>
      <c r="E11" s="15">
        <f>Rsb_/gamma_oil_</f>
        <v>91.954022988505741</v>
      </c>
      <c r="F11" s="13" t="s">
        <v>43</v>
      </c>
    </row>
    <row r="12" spans="1:7" ht="18" outlineLevel="1" x14ac:dyDescent="0.35">
      <c r="B12" s="13" t="s">
        <v>45</v>
      </c>
      <c r="C12" s="2">
        <v>120</v>
      </c>
      <c r="D12" s="11" t="s">
        <v>46</v>
      </c>
      <c r="E12" s="15">
        <f>Pb_*1.01325</f>
        <v>121.59</v>
      </c>
      <c r="F12" s="11" t="s">
        <v>47</v>
      </c>
    </row>
    <row r="13" spans="1:7" ht="18" outlineLevel="1" x14ac:dyDescent="0.35">
      <c r="B13" s="13" t="s">
        <v>48</v>
      </c>
      <c r="C13" s="2">
        <v>100</v>
      </c>
      <c r="D13" s="11" t="s">
        <v>3</v>
      </c>
      <c r="E13" s="15">
        <f>Tres_*9/5+32</f>
        <v>212</v>
      </c>
      <c r="F13" s="11" t="s">
        <v>49</v>
      </c>
    </row>
    <row r="14" spans="1:7" ht="18.75" outlineLevel="1" x14ac:dyDescent="0.35">
      <c r="B14" s="14" t="s">
        <v>50</v>
      </c>
      <c r="C14" s="2">
        <v>1.2</v>
      </c>
      <c r="D14" s="13" t="s">
        <v>42</v>
      </c>
    </row>
    <row r="15" spans="1:7" ht="18" x14ac:dyDescent="0.35">
      <c r="B15" s="21" t="s">
        <v>78</v>
      </c>
      <c r="C15" s="2">
        <v>5</v>
      </c>
      <c r="D15" s="13" t="s">
        <v>79</v>
      </c>
    </row>
    <row r="16" spans="1:7" x14ac:dyDescent="0.2">
      <c r="B16" s="3"/>
      <c r="C16" s="4"/>
    </row>
    <row r="17" spans="1:4" outlineLevel="1" x14ac:dyDescent="0.2">
      <c r="A17" s="1" t="s">
        <v>18</v>
      </c>
      <c r="B17" s="3"/>
      <c r="C17" s="4"/>
    </row>
    <row r="18" spans="1:4" ht="15.75" outlineLevel="1" x14ac:dyDescent="0.3">
      <c r="B18" s="16" t="s">
        <v>51</v>
      </c>
      <c r="C18" s="2">
        <v>2000</v>
      </c>
      <c r="D18" s="17" t="s">
        <v>5</v>
      </c>
    </row>
    <row r="19" spans="1:4" ht="15.75" outlineLevel="1" x14ac:dyDescent="0.3">
      <c r="B19" s="16" t="s">
        <v>52</v>
      </c>
      <c r="C19" s="2">
        <v>0</v>
      </c>
      <c r="D19" s="17" t="s">
        <v>5</v>
      </c>
    </row>
    <row r="20" spans="1:4" ht="15.75" outlineLevel="1" x14ac:dyDescent="0.3">
      <c r="B20" s="16" t="s">
        <v>53</v>
      </c>
      <c r="C20" s="2">
        <v>1500</v>
      </c>
      <c r="D20" s="17" t="s">
        <v>5</v>
      </c>
    </row>
    <row r="21" spans="1:4" ht="15.75" outlineLevel="1" x14ac:dyDescent="0.3">
      <c r="B21" s="16" t="s">
        <v>54</v>
      </c>
      <c r="C21" s="2">
        <v>125</v>
      </c>
      <c r="D21" s="17" t="s">
        <v>6</v>
      </c>
    </row>
    <row r="22" spans="1:4" ht="15.75" outlineLevel="1" x14ac:dyDescent="0.3">
      <c r="B22" s="16" t="s">
        <v>55</v>
      </c>
      <c r="C22" s="2">
        <v>73</v>
      </c>
      <c r="D22" s="17" t="s">
        <v>6</v>
      </c>
    </row>
    <row r="23" spans="1:4" ht="15" outlineLevel="1" x14ac:dyDescent="0.25">
      <c r="B23" s="23" t="s">
        <v>80</v>
      </c>
      <c r="C23" s="2">
        <v>90</v>
      </c>
      <c r="D23" s="13" t="s">
        <v>81</v>
      </c>
    </row>
    <row r="24" spans="1:4" ht="15.75" outlineLevel="1" x14ac:dyDescent="0.3">
      <c r="B24" s="16" t="s">
        <v>56</v>
      </c>
      <c r="C24" s="2">
        <v>62</v>
      </c>
      <c r="D24" s="17" t="s">
        <v>6</v>
      </c>
    </row>
    <row r="25" spans="1:4" ht="15.75" outlineLevel="1" x14ac:dyDescent="0.3">
      <c r="B25" s="16" t="s">
        <v>57</v>
      </c>
      <c r="C25" s="2">
        <v>100</v>
      </c>
      <c r="D25" s="17" t="s">
        <v>6</v>
      </c>
    </row>
    <row r="26" spans="1:4" ht="15.75" outlineLevel="1" x14ac:dyDescent="0.3">
      <c r="B26" s="16" t="s">
        <v>58</v>
      </c>
      <c r="C26" s="2">
        <v>20</v>
      </c>
      <c r="D26" s="17" t="s">
        <v>2</v>
      </c>
    </row>
    <row r="27" spans="1:4" ht="15.75" outlineLevel="1" x14ac:dyDescent="0.3">
      <c r="B27" s="16" t="s">
        <v>59</v>
      </c>
      <c r="C27" s="2">
        <v>34</v>
      </c>
      <c r="D27" s="17" t="s">
        <v>2</v>
      </c>
    </row>
    <row r="28" spans="1:4" ht="15.75" outlineLevel="1" x14ac:dyDescent="0.3">
      <c r="B28" s="16" t="s">
        <v>60</v>
      </c>
      <c r="C28" s="2">
        <v>80</v>
      </c>
      <c r="D28" s="17" t="s">
        <v>3</v>
      </c>
    </row>
    <row r="29" spans="1:4" ht="15.75" outlineLevel="1" x14ac:dyDescent="0.3">
      <c r="B29" s="16" t="s">
        <v>61</v>
      </c>
      <c r="C29" s="2">
        <v>150</v>
      </c>
      <c r="D29" s="17" t="s">
        <v>2</v>
      </c>
    </row>
    <row r="30" spans="1:4" ht="15.75" outlineLevel="1" x14ac:dyDescent="0.3">
      <c r="B30" s="16" t="s">
        <v>62</v>
      </c>
      <c r="C30" s="2">
        <v>70</v>
      </c>
      <c r="D30" s="17" t="s">
        <v>2</v>
      </c>
    </row>
    <row r="31" spans="1:4" ht="15.75" x14ac:dyDescent="0.3">
      <c r="B31" s="16" t="s">
        <v>63</v>
      </c>
      <c r="C31" s="2">
        <v>50</v>
      </c>
      <c r="D31" s="17" t="s">
        <v>7</v>
      </c>
    </row>
    <row r="32" spans="1:4" ht="15.75" x14ac:dyDescent="0.3">
      <c r="B32" s="16" t="s">
        <v>64</v>
      </c>
      <c r="C32" s="2">
        <v>0</v>
      </c>
      <c r="D32" s="17" t="s">
        <v>4</v>
      </c>
    </row>
    <row r="33" spans="1:24" outlineLevel="1" x14ac:dyDescent="0.2"/>
    <row r="34" spans="1:24" outlineLevel="1" x14ac:dyDescent="0.2">
      <c r="A34" s="1" t="s">
        <v>19</v>
      </c>
    </row>
    <row r="35" spans="1:24" ht="15.75" outlineLevel="1" x14ac:dyDescent="0.3">
      <c r="B35" s="17" t="s">
        <v>65</v>
      </c>
      <c r="C35" s="2">
        <v>110</v>
      </c>
      <c r="D35" s="17" t="s">
        <v>7</v>
      </c>
    </row>
    <row r="36" spans="1:24" ht="15.75" outlineLevel="1" x14ac:dyDescent="0.3">
      <c r="B36" s="17" t="s">
        <v>66</v>
      </c>
      <c r="C36" s="2">
        <v>2000</v>
      </c>
      <c r="D36" s="17" t="s">
        <v>8</v>
      </c>
    </row>
    <row r="37" spans="1:24" outlineLevel="1" x14ac:dyDescent="0.2">
      <c r="B37" s="17" t="s">
        <v>67</v>
      </c>
      <c r="C37" s="2">
        <v>50</v>
      </c>
      <c r="D37" s="17" t="s">
        <v>9</v>
      </c>
    </row>
    <row r="38" spans="1:24" outlineLevel="1" x14ac:dyDescent="0.2">
      <c r="B38" s="17" t="s">
        <v>68</v>
      </c>
      <c r="C38" s="12">
        <f>[1]!ESP_id_by_rate(Q_ESP_)</f>
        <v>737</v>
      </c>
      <c r="D38" s="17"/>
      <c r="G38" s="46" t="s">
        <v>86</v>
      </c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</row>
    <row r="39" spans="1:24" outlineLevel="1" x14ac:dyDescent="0.2">
      <c r="B39" s="17" t="s">
        <v>69</v>
      </c>
      <c r="C39" s="12" t="str">
        <f>[1]!ESP_name(C38)</f>
        <v>ВНН5-125</v>
      </c>
      <c r="D39" s="17"/>
      <c r="G39" s="45" t="str">
        <f>[1]!PVT_encode_string(gamma_gas_,gamma_oil_,gamma_wat_,Rsb_,Rp_,Pb_,Tres_,Bob_,mu_,,KsepGasSep_,PKsep,TKsep)</f>
        <v>gamma_gas:0,800;gamma_oil:0,870;gamma_wat:1,000;rsb_m3m3:80,000;rp_m3m3:80,000;pb_atma:120,000;tres_C:100,000;bob_m3m3:1,200;muob_cP:5,000;PVTcorr:0;ksep_fr:0,900;pksep_atma:32,950;tksep_C:85,000;</v>
      </c>
      <c r="H39" s="45"/>
      <c r="I39" s="45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5"/>
      <c r="X39" s="45"/>
    </row>
    <row r="40" spans="1:24" ht="15.75" outlineLevel="1" x14ac:dyDescent="0.3">
      <c r="B40" s="17" t="s">
        <v>70</v>
      </c>
      <c r="C40" s="12">
        <f>[1]!ESP_max_rate_m3day(Freq_,PumpID_)*1</f>
        <v>230</v>
      </c>
      <c r="D40" s="17"/>
    </row>
    <row r="41" spans="1:24" x14ac:dyDescent="0.2">
      <c r="B41" s="17" t="s">
        <v>20</v>
      </c>
      <c r="C41" s="12">
        <f>INT(Head_ESP_/[1]!ESP_head_m(Q_ESP_,1,,PumpID_))</f>
        <v>324</v>
      </c>
      <c r="D41" s="17" t="s">
        <v>10</v>
      </c>
      <c r="G41" s="46" t="s">
        <v>71</v>
      </c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</row>
    <row r="42" spans="1:24" ht="15.75" x14ac:dyDescent="0.3">
      <c r="B42" s="17" t="s">
        <v>72</v>
      </c>
      <c r="C42" s="5">
        <v>0.9</v>
      </c>
      <c r="D42" s="17"/>
      <c r="G42" s="45" t="str">
        <f>[1]!ESP_encode_string(PumpID_,Head_ESP_,Freq_)</f>
        <v>ESP_ID:737,00000;HeadNom_m:2000,00000;ESPfreq_Hz:50,00000;ESP_U_V:1000,00000;MotorPowerNom_kW:30,00000;t_intake_C:85,00000;t_dis_C:85,00000;KsepGS_fr:0,00000;ESP_energy_fact_Whday:0,00000;ESP_cable_type:0;ESP_Hmes_m:0,00000;ESP_gas_degradation_type:0;c_calibr_head:0,00000;c_calibr_rate:0,00000;c_calibr_power:0,00000;PKV_work_min:-1,00000;PKV_stop_min:-1,00000;</v>
      </c>
      <c r="H42" s="45"/>
      <c r="I42" s="45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5"/>
      <c r="V42" s="45"/>
      <c r="W42" s="45"/>
      <c r="X42" s="45"/>
    </row>
    <row r="43" spans="1:24" ht="15.75" x14ac:dyDescent="0.3">
      <c r="B43" s="17" t="s">
        <v>73</v>
      </c>
      <c r="C43" s="44">
        <v>32.950000000000003</v>
      </c>
      <c r="D43" s="17" t="s">
        <v>2</v>
      </c>
    </row>
    <row r="44" spans="1:24" ht="15.75" x14ac:dyDescent="0.3">
      <c r="B44" s="17" t="s">
        <v>74</v>
      </c>
      <c r="C44" s="8">
        <v>85</v>
      </c>
      <c r="D44" s="17" t="s">
        <v>3</v>
      </c>
      <c r="G44" s="46" t="s">
        <v>87</v>
      </c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</row>
    <row r="45" spans="1:24" x14ac:dyDescent="0.2">
      <c r="G45" s="45" t="str">
        <f>[1]!PVT_encode_string(gamma_gas_,gamma_oil_,,Rsb_,Rp_,Pb_,Tres_,Bob_,mu_,,KsepGasSep_,PKsep2,TKsep2)</f>
        <v>gamma_gas:0,800;gamma_oil:0,870;gamma_wat:1,000;rsb_m3m3:80,000;rp_m3m3:80,000;pb_atma:120,000;tres_C:100,000;bob_m3m3:1,200;muob_cP:5,000;PVTcorr:0;ksep_fr:0,900;pksep_atma:6,730;tksep_C:85,000;</v>
      </c>
      <c r="H45" s="45"/>
      <c r="I45" s="45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45"/>
      <c r="X45" s="45"/>
    </row>
    <row r="46" spans="1:24" x14ac:dyDescent="0.2">
      <c r="A46" s="1" t="s">
        <v>21</v>
      </c>
    </row>
    <row r="47" spans="1:24" ht="15.75" x14ac:dyDescent="0.3">
      <c r="B47" s="17" t="s">
        <v>75</v>
      </c>
      <c r="C47" s="2">
        <v>250</v>
      </c>
      <c r="D47" s="17" t="s">
        <v>2</v>
      </c>
    </row>
    <row r="48" spans="1:24" x14ac:dyDescent="0.2">
      <c r="B48" s="17" t="s">
        <v>76</v>
      </c>
      <c r="C48" s="20">
        <f>[1]!IPR_pi_sm3dayatm(Q_,Pwf_,Pres_,fw_,Pb_)</f>
        <v>0.29284164859002171</v>
      </c>
      <c r="D48" s="17" t="s">
        <v>11</v>
      </c>
    </row>
    <row r="49" spans="1:16" x14ac:dyDescent="0.2">
      <c r="B49" s="17" t="s">
        <v>77</v>
      </c>
      <c r="C49" s="2">
        <v>3</v>
      </c>
      <c r="D49" s="17" t="s">
        <v>12</v>
      </c>
    </row>
    <row r="50" spans="1:16" x14ac:dyDescent="0.2">
      <c r="B50" s="22"/>
      <c r="C50" s="22"/>
      <c r="D50" s="22"/>
    </row>
    <row r="52" spans="1:16" x14ac:dyDescent="0.2">
      <c r="B52" s="11" t="s">
        <v>13</v>
      </c>
      <c r="C52" s="2">
        <v>20</v>
      </c>
      <c r="D52" s="11"/>
    </row>
    <row r="56" spans="1:16" outlineLevel="1" x14ac:dyDescent="0.2"/>
    <row r="57" spans="1:16" x14ac:dyDescent="0.2">
      <c r="A57" t="s">
        <v>34</v>
      </c>
    </row>
    <row r="58" spans="1:16" outlineLevel="1" x14ac:dyDescent="0.2">
      <c r="A58" t="s">
        <v>24</v>
      </c>
    </row>
    <row r="59" spans="1:16" outlineLevel="1" x14ac:dyDescent="0.2"/>
    <row r="60" spans="1:16" outlineLevel="1" x14ac:dyDescent="0.2">
      <c r="C60" s="18" t="s">
        <v>25</v>
      </c>
      <c r="D60" s="2">
        <v>1</v>
      </c>
    </row>
    <row r="61" spans="1:16" outlineLevel="1" x14ac:dyDescent="0.2"/>
    <row r="62" spans="1:16" ht="76.5" outlineLevel="1" x14ac:dyDescent="0.2">
      <c r="C62" s="25" t="s">
        <v>15</v>
      </c>
      <c r="D62" s="25" t="s">
        <v>14</v>
      </c>
      <c r="E62" s="9"/>
      <c r="F62" s="24" t="s">
        <v>23</v>
      </c>
      <c r="G62" s="24" t="s">
        <v>32</v>
      </c>
      <c r="H62" s="24" t="s">
        <v>22</v>
      </c>
      <c r="I62" s="28" t="s">
        <v>85</v>
      </c>
      <c r="J62" s="28" t="s">
        <v>84</v>
      </c>
      <c r="K62" s="24" t="s">
        <v>26</v>
      </c>
      <c r="L62" s="30" t="s">
        <v>25</v>
      </c>
      <c r="M62" s="24" t="s">
        <v>83</v>
      </c>
      <c r="N62" s="24" t="s">
        <v>82</v>
      </c>
      <c r="O62" s="24" t="s">
        <v>27</v>
      </c>
      <c r="P62" s="24" t="s">
        <v>28</v>
      </c>
    </row>
    <row r="63" spans="1:16" outlineLevel="1" x14ac:dyDescent="0.2">
      <c r="C63" s="26">
        <v>0</v>
      </c>
      <c r="D63" s="26">
        <f t="shared" ref="D63:D82" si="0">D64-Tgrad*(C64-C63)/100</f>
        <v>40</v>
      </c>
      <c r="F63" s="6"/>
      <c r="J63" s="29">
        <f>[1]!MF_gas_fraction_d(K63,D63,fw_,PVT_str_)</f>
        <v>0.37651312845919432</v>
      </c>
      <c r="K63" s="31">
        <f>Pbuf_</f>
        <v>20</v>
      </c>
      <c r="O63" s="6"/>
      <c r="P63" s="6"/>
    </row>
    <row r="64" spans="1:16" outlineLevel="1" x14ac:dyDescent="0.2">
      <c r="C64" s="26">
        <f t="shared" ref="C64:C83" si="1">C63+Hmes_/N_</f>
        <v>100</v>
      </c>
      <c r="D64" s="26">
        <f t="shared" si="0"/>
        <v>43</v>
      </c>
      <c r="F64" s="6"/>
      <c r="J64" s="29">
        <f>[1]!MF_gas_fraction_d(K64,D64,fw_,PVT_str_)</f>
        <v>0.20951561389793688</v>
      </c>
      <c r="K64" s="20">
        <f>[1]!MF_p_pipe_atma(Q_,fw_,C64-$C$63,$K$63,0,PVT_str_,theta_,Dtub_,,$D$63,D64)</f>
        <v>26.849083227966933</v>
      </c>
      <c r="O64" s="6"/>
      <c r="P64" s="6"/>
    </row>
    <row r="65" spans="2:16" outlineLevel="1" x14ac:dyDescent="0.2">
      <c r="C65" s="26">
        <f t="shared" si="1"/>
        <v>200</v>
      </c>
      <c r="D65" s="26">
        <f t="shared" si="0"/>
        <v>46</v>
      </c>
      <c r="F65" s="6"/>
      <c r="J65" s="29">
        <f>[1]!MF_gas_fraction_d(K65,D65,fw_,PVT_str_)</f>
        <v>4.4226404828620544E-2</v>
      </c>
      <c r="K65" s="20">
        <f>[1]!MF_p_pipe_atma(Q_,fw_,C65-$C$63,$K$63,0,PVT_str_,theta_,Dtub_,,$D$63,D65)</f>
        <v>34.391022795883714</v>
      </c>
      <c r="O65" s="6"/>
      <c r="P65" s="6"/>
    </row>
    <row r="66" spans="2:16" outlineLevel="1" x14ac:dyDescent="0.2">
      <c r="C66" s="26">
        <f t="shared" si="1"/>
        <v>300</v>
      </c>
      <c r="D66" s="26">
        <f t="shared" si="0"/>
        <v>49</v>
      </c>
      <c r="F66" s="6"/>
      <c r="J66" s="29">
        <f>[1]!MF_gas_fraction_d(K66,D66,fw_,PVT_str_)</f>
        <v>0</v>
      </c>
      <c r="K66" s="20">
        <f>[1]!MF_p_pipe_atma(Q_,fw_,C66-$C$63,$K$63,0,PVT_str_,theta_,Dtub_,,$D$63,D66)</f>
        <v>42.58791116609396</v>
      </c>
      <c r="O66" s="6"/>
      <c r="P66" s="6"/>
    </row>
    <row r="67" spans="2:16" outlineLevel="1" x14ac:dyDescent="0.2">
      <c r="C67" s="26">
        <f t="shared" si="1"/>
        <v>400</v>
      </c>
      <c r="D67" s="26">
        <f t="shared" si="0"/>
        <v>52</v>
      </c>
      <c r="F67" s="6"/>
      <c r="J67" s="29">
        <f>[1]!MF_gas_fraction_d(K67,D67,fw_,PVT_str_)</f>
        <v>0</v>
      </c>
      <c r="K67" s="20">
        <f>[1]!MF_p_pipe_atma(Q_,fw_,C67-$C$63,$K$63,0,PVT_str_,theta_,Dtub_,,$D$63,D67)</f>
        <v>50.801006008814632</v>
      </c>
      <c r="O67" s="6"/>
      <c r="P67" s="6"/>
    </row>
    <row r="68" spans="2:16" outlineLevel="1" x14ac:dyDescent="0.2">
      <c r="C68" s="26">
        <f t="shared" si="1"/>
        <v>500</v>
      </c>
      <c r="D68" s="26">
        <f t="shared" si="0"/>
        <v>55</v>
      </c>
      <c r="F68" s="6"/>
      <c r="J68" s="29">
        <f>[1]!MF_gas_fraction_d(K68,D68,fw_,PVT_str_)</f>
        <v>0</v>
      </c>
      <c r="K68" s="20">
        <f>[1]!MF_p_pipe_atma(Q_,fw_,C68-$C$63,$K$63,0,PVT_str_,theta_,Dtub_,,$D$63,D68)</f>
        <v>59.007037636116998</v>
      </c>
      <c r="O68" s="6"/>
      <c r="P68" s="6"/>
    </row>
    <row r="69" spans="2:16" outlineLevel="1" x14ac:dyDescent="0.2">
      <c r="C69" s="26">
        <f t="shared" si="1"/>
        <v>600</v>
      </c>
      <c r="D69" s="26">
        <f t="shared" si="0"/>
        <v>58</v>
      </c>
      <c r="F69" s="6"/>
      <c r="J69" s="29">
        <f>[1]!MF_gas_fraction_d(K69,D69,fw_,PVT_str_)</f>
        <v>0</v>
      </c>
      <c r="K69" s="20">
        <f>[1]!MF_p_pipe_atma(Q_,fw_,C69-$C$63,$K$63,0,PVT_str_,theta_,Dtub_,,$D$63,D69)</f>
        <v>67.205375363318268</v>
      </c>
      <c r="O69" s="6"/>
      <c r="P69" s="6"/>
    </row>
    <row r="70" spans="2:16" outlineLevel="1" x14ac:dyDescent="0.2">
      <c r="C70" s="26">
        <f t="shared" si="1"/>
        <v>700</v>
      </c>
      <c r="D70" s="26">
        <f t="shared" si="0"/>
        <v>61</v>
      </c>
      <c r="F70" s="6"/>
      <c r="J70" s="29">
        <f>[1]!MF_gas_fraction_d(K70,D70,fw_,PVT_str_)</f>
        <v>0</v>
      </c>
      <c r="K70" s="20">
        <f>[1]!MF_p_pipe_atma(Q_,fw_,C70-$C$63,$K$63,0,PVT_str_,theta_,Dtub_,,$D$63,D70)</f>
        <v>75.390497417594091</v>
      </c>
      <c r="O70" s="6"/>
      <c r="P70" s="6"/>
    </row>
    <row r="71" spans="2:16" outlineLevel="1" x14ac:dyDescent="0.2">
      <c r="C71" s="26">
        <f t="shared" si="1"/>
        <v>800</v>
      </c>
      <c r="D71" s="26">
        <f t="shared" si="0"/>
        <v>64</v>
      </c>
      <c r="F71" s="6"/>
      <c r="J71" s="29">
        <f>[1]!MF_gas_fraction_d(K71,D71,fw_,PVT_str_)</f>
        <v>0</v>
      </c>
      <c r="K71" s="20">
        <f>[1]!MF_p_pipe_atma(Q_,fw_,C71-$C$63,$K$63,0,PVT_str_,theta_,Dtub_,,$D$63,D71)</f>
        <v>83.567306314317037</v>
      </c>
      <c r="O71" s="6"/>
      <c r="P71" s="6"/>
    </row>
    <row r="72" spans="2:16" outlineLevel="1" x14ac:dyDescent="0.2">
      <c r="C72" s="26">
        <f t="shared" si="1"/>
        <v>900</v>
      </c>
      <c r="D72" s="26">
        <f t="shared" si="0"/>
        <v>67</v>
      </c>
      <c r="F72" s="6"/>
      <c r="J72" s="29">
        <f>[1]!MF_gas_fraction_d(K72,D72,fw_,PVT_str_)</f>
        <v>0</v>
      </c>
      <c r="K72" s="20">
        <f>[1]!MF_p_pipe_atma(Q_,fw_,C72-$C$63,$K$63,0,PVT_str_,theta_,Dtub_,,$D$63,D72)</f>
        <v>91.735596505487905</v>
      </c>
      <c r="O72" s="6"/>
      <c r="P72" s="6"/>
    </row>
    <row r="73" spans="2:16" outlineLevel="1" x14ac:dyDescent="0.2">
      <c r="C73" s="26">
        <f t="shared" si="1"/>
        <v>1000</v>
      </c>
      <c r="D73" s="26">
        <f t="shared" si="0"/>
        <v>70</v>
      </c>
      <c r="F73" s="6"/>
      <c r="J73" s="29">
        <f>[1]!MF_gas_fraction_d(K73,D73,fw_,PVT_str_)</f>
        <v>0</v>
      </c>
      <c r="K73" s="20">
        <f>[1]!MF_p_pipe_atma(Q_,fw_,C73-$C$63,$K$63,0,PVT_str_,theta_,Dtub_,,$D$63,D73)</f>
        <v>99.89521353811547</v>
      </c>
      <c r="O73" s="6"/>
      <c r="P73" s="6"/>
    </row>
    <row r="74" spans="2:16" outlineLevel="1" x14ac:dyDescent="0.2">
      <c r="C74" s="26">
        <f t="shared" si="1"/>
        <v>1100</v>
      </c>
      <c r="D74" s="26">
        <f t="shared" si="0"/>
        <v>73</v>
      </c>
      <c r="F74" s="6"/>
      <c r="J74" s="29">
        <f>[1]!MF_gas_fraction_d(K74,D74,fw_,PVT_str_)</f>
        <v>0</v>
      </c>
      <c r="K74" s="20">
        <f>[1]!MF_p_pipe_atma(Q_,fw_,C74-$C$63,$K$63,0,PVT_str_,theta_,Dtub_,,$D$63,D74)</f>
        <v>108.04603811321746</v>
      </c>
      <c r="O74" s="6"/>
      <c r="P74" s="6"/>
    </row>
    <row r="75" spans="2:16" outlineLevel="1" x14ac:dyDescent="0.2">
      <c r="C75" s="26">
        <f t="shared" si="1"/>
        <v>1200</v>
      </c>
      <c r="D75" s="26">
        <f t="shared" si="0"/>
        <v>76</v>
      </c>
      <c r="F75" s="6"/>
      <c r="J75" s="29">
        <f>[1]!MF_gas_fraction_d(K75,D75,fw_,PVT_str_)</f>
        <v>0</v>
      </c>
      <c r="K75" s="20">
        <f>[1]!MF_p_pipe_atma(Q_,fw_,C75-$C$63,$K$63,0,PVT_str_,theta_,Dtub_,,$D$63,D75)</f>
        <v>116.1879759834637</v>
      </c>
      <c r="O75" s="6"/>
      <c r="P75" s="6"/>
    </row>
    <row r="76" spans="2:16" outlineLevel="1" x14ac:dyDescent="0.2">
      <c r="C76" s="26">
        <f t="shared" si="1"/>
        <v>1300</v>
      </c>
      <c r="D76" s="26">
        <f t="shared" si="0"/>
        <v>79</v>
      </c>
      <c r="F76" s="6"/>
      <c r="J76" s="29">
        <f>[1]!MF_gas_fraction_d(K76,D76,fw_,PVT_str_)</f>
        <v>0</v>
      </c>
      <c r="K76" s="20">
        <f>[1]!MF_p_pipe_atma(Q_,fw_,C76-$C$63,$K$63,0,PVT_str_,theta_,Dtub_,,$D$63,D76)</f>
        <v>124.32095129233221</v>
      </c>
      <c r="O76" s="6"/>
      <c r="P76" s="6"/>
    </row>
    <row r="77" spans="2:16" outlineLevel="1" x14ac:dyDescent="0.2">
      <c r="C77" s="26">
        <f t="shared" si="1"/>
        <v>1400</v>
      </c>
      <c r="D77" s="26">
        <f t="shared" si="0"/>
        <v>82</v>
      </c>
      <c r="F77" s="6"/>
      <c r="J77" s="29">
        <f>[1]!MF_gas_fraction_d(K77,D77,fw_,PVT_str_)</f>
        <v>0</v>
      </c>
      <c r="K77" s="20">
        <f>[1]!MF_p_pipe_atma(Q_,fw_,C77-$C$63,$K$63,0,PVT_str_,theta_,Dtub_,,$D$63,D77)</f>
        <v>132.44490203221255</v>
      </c>
      <c r="O77" s="6"/>
      <c r="P77" s="6"/>
    </row>
    <row r="78" spans="2:16" outlineLevel="1" x14ac:dyDescent="0.2">
      <c r="B78" s="18" t="s">
        <v>29</v>
      </c>
      <c r="C78" s="26">
        <f t="shared" si="1"/>
        <v>1500</v>
      </c>
      <c r="D78" s="26">
        <f t="shared" si="0"/>
        <v>85</v>
      </c>
      <c r="F78" s="20">
        <f>[1]!MF_p_pipe_atma(Q_,fw_,$C$83-C78,$F$83,1,PVT_str_,theta_,Dtub_,,$D$83,D78)</f>
        <v>30.985733198550612</v>
      </c>
      <c r="G78" s="34">
        <f>[1]!MF_ksep_natural_d(Q_,wc_,Pintake_,Tintake_,Dintake_,Dcas_,PVT_str_)</f>
        <v>0.68541062785547402</v>
      </c>
      <c r="H78" s="34">
        <f>[1]!MF_ksep_total_d(G78,KsepGasSep_)</f>
        <v>0.96854106278554741</v>
      </c>
      <c r="I78" s="36">
        <f>[1]!MF_gas_fraction_d(F78,D78,fw_,PVT_str_)</f>
        <v>0.21179231693746101</v>
      </c>
      <c r="J78" s="35">
        <f>[1]!MF_gas_fraction_d(K78,D78,fw_,PVT_str_)</f>
        <v>0</v>
      </c>
      <c r="K78" s="20">
        <f>[1]!MF_p_pipe_atma(Q_,fw_,C78-$C$63,$K$63,0,PVT_str_,theta_,Dtub_,,$D$63,D78)</f>
        <v>140.55977685615014</v>
      </c>
      <c r="L78" s="33"/>
      <c r="M78" s="19">
        <f>[1]!ESP_dp_atm(Q_,fw_,Pintake_,NumStage_,Freq_,PumpID_,PVT_str_,Tintake_,0,1,,D60)</f>
        <v>173.96948508016834</v>
      </c>
      <c r="N78" s="37">
        <f>K78-F78</f>
        <v>109.57404365759953</v>
      </c>
      <c r="O78" s="38">
        <f>K78</f>
        <v>140.55977685615014</v>
      </c>
      <c r="P78" s="38">
        <f>F78</f>
        <v>30.985733198550612</v>
      </c>
    </row>
    <row r="79" spans="2:16" outlineLevel="1" x14ac:dyDescent="0.2">
      <c r="C79" s="26">
        <f t="shared" si="1"/>
        <v>1600</v>
      </c>
      <c r="D79" s="26">
        <f t="shared" si="0"/>
        <v>88</v>
      </c>
      <c r="E79" s="6"/>
      <c r="F79" s="20">
        <f>[1]!MF_p_pipe_atma(Q_,fw_,$C$83-C79,$F$83,1,PVT_str_,theta_,Dtub_,,$D$83,D79)</f>
        <v>38.167180932718928</v>
      </c>
      <c r="I79" s="36">
        <f>[1]!MF_gas_fraction_d(F79,D79,fw_,PVT_str_)</f>
        <v>8.1470538245978982E-2</v>
      </c>
      <c r="K79" s="6"/>
    </row>
    <row r="80" spans="2:16" outlineLevel="1" x14ac:dyDescent="0.2">
      <c r="C80" s="26">
        <f t="shared" si="1"/>
        <v>1700</v>
      </c>
      <c r="D80" s="26">
        <f t="shared" si="0"/>
        <v>91</v>
      </c>
      <c r="E80" s="6"/>
      <c r="F80" s="20">
        <f>[1]!MF_p_pipe_atma(Q_,fw_,$C$83-C80,$F$83,1,PVT_str_,theta_,Dtub_,,$D$83,D80)</f>
        <v>46.019832342828991</v>
      </c>
      <c r="I80" s="36">
        <f>[1]!MF_gas_fraction_d(F80,D80,fw_,PVT_str_)</f>
        <v>0</v>
      </c>
      <c r="K80" s="6"/>
    </row>
    <row r="81" spans="1:11" outlineLevel="1" x14ac:dyDescent="0.2">
      <c r="C81" s="26">
        <f t="shared" si="1"/>
        <v>1800</v>
      </c>
      <c r="D81" s="26">
        <f t="shared" si="0"/>
        <v>94</v>
      </c>
      <c r="E81" s="6"/>
      <c r="F81" s="20">
        <f>[1]!MF_p_pipe_atma(Q_,fw_,$C$83-C81,$F$83,1,PVT_str_,theta_,Dtub_,,$D$83,D81)</f>
        <v>54.010662961718801</v>
      </c>
      <c r="I81" s="36">
        <f>[1]!MF_gas_fraction_d(F81,D81,fw_,PVT_str_)</f>
        <v>0</v>
      </c>
      <c r="K81" s="6"/>
    </row>
    <row r="82" spans="1:11" outlineLevel="1" x14ac:dyDescent="0.2">
      <c r="C82" s="26">
        <f t="shared" si="1"/>
        <v>1900</v>
      </c>
      <c r="D82" s="26">
        <f t="shared" si="0"/>
        <v>97</v>
      </c>
      <c r="E82" s="6"/>
      <c r="F82" s="20">
        <f>[1]!MF_p_pipe_atma(Q_,fw_,$C$83-C82,$F$83,1,PVT_str_,theta_,Dtub_,,$D$83,D82)</f>
        <v>62.005127076195684</v>
      </c>
      <c r="I82" s="36">
        <f>[1]!MF_gas_fraction_d(F82,D82,fw_,PVT_str_)</f>
        <v>0</v>
      </c>
      <c r="K82" s="6"/>
    </row>
    <row r="83" spans="1:11" outlineLevel="1" x14ac:dyDescent="0.2">
      <c r="C83" s="26">
        <f t="shared" si="1"/>
        <v>2000</v>
      </c>
      <c r="D83" s="26">
        <f>Tres_</f>
        <v>100</v>
      </c>
      <c r="E83" s="6"/>
      <c r="F83" s="27">
        <f>Pwf_</f>
        <v>70</v>
      </c>
      <c r="I83" s="36">
        <f>[1]!MF_gas_fraction_d(F83,D83,fw_,PVT_str_)</f>
        <v>0</v>
      </c>
      <c r="K83" s="6"/>
    </row>
    <row r="84" spans="1:11" outlineLevel="1" x14ac:dyDescent="0.2"/>
    <row r="85" spans="1:11" outlineLevel="1" x14ac:dyDescent="0.2"/>
    <row r="86" spans="1:11" outlineLevel="1" x14ac:dyDescent="0.2"/>
    <row r="87" spans="1:11" outlineLevel="1" x14ac:dyDescent="0.2"/>
    <row r="88" spans="1:11" outlineLevel="1" x14ac:dyDescent="0.2"/>
    <row r="89" spans="1:11" x14ac:dyDescent="0.2">
      <c r="A89" t="s">
        <v>33</v>
      </c>
    </row>
    <row r="90" spans="1:11" outlineLevel="1" x14ac:dyDescent="0.2">
      <c r="A90" t="s">
        <v>30</v>
      </c>
    </row>
    <row r="91" spans="1:11" outlineLevel="1" x14ac:dyDescent="0.2"/>
    <row r="92" spans="1:11" outlineLevel="1" x14ac:dyDescent="0.2">
      <c r="C92" s="17" t="s">
        <v>31</v>
      </c>
      <c r="D92" s="27">
        <v>70</v>
      </c>
    </row>
    <row r="93" spans="1:11" outlineLevel="1" x14ac:dyDescent="0.2">
      <c r="C93" s="17" t="s">
        <v>0</v>
      </c>
      <c r="D93" s="43">
        <f>[1]!IPR_qliq_sm3day(PI_,Pres_,Pwf1_,fw_,Pb_)</f>
        <v>50</v>
      </c>
    </row>
    <row r="94" spans="1:11" outlineLevel="1" x14ac:dyDescent="0.2">
      <c r="C94" s="17" t="s">
        <v>1</v>
      </c>
      <c r="D94" s="27">
        <v>50</v>
      </c>
    </row>
    <row r="95" spans="1:11" outlineLevel="1" x14ac:dyDescent="0.2">
      <c r="C95" s="18" t="s">
        <v>91</v>
      </c>
      <c r="D95" s="27">
        <v>1</v>
      </c>
    </row>
    <row r="96" spans="1:11" ht="15.75" outlineLevel="1" x14ac:dyDescent="0.3">
      <c r="C96" s="17" t="s">
        <v>73</v>
      </c>
      <c r="D96" s="40">
        <v>6.73</v>
      </c>
    </row>
    <row r="97" spans="3:14" ht="15.75" outlineLevel="1" x14ac:dyDescent="0.3">
      <c r="C97" s="17" t="s">
        <v>74</v>
      </c>
      <c r="D97" s="20">
        <f>D115</f>
        <v>85</v>
      </c>
    </row>
    <row r="98" spans="3:14" outlineLevel="1" x14ac:dyDescent="0.2"/>
    <row r="99" spans="3:14" ht="51" outlineLevel="1" x14ac:dyDescent="0.2">
      <c r="C99" s="41" t="s">
        <v>15</v>
      </c>
      <c r="D99" s="41" t="s">
        <v>14</v>
      </c>
      <c r="E99" s="9"/>
      <c r="F99" s="24" t="s">
        <v>88</v>
      </c>
      <c r="G99" s="24" t="s">
        <v>32</v>
      </c>
      <c r="H99" s="24" t="s">
        <v>22</v>
      </c>
      <c r="I99" s="28" t="s">
        <v>85</v>
      </c>
      <c r="J99" s="28" t="s">
        <v>84</v>
      </c>
      <c r="K99" s="24" t="s">
        <v>89</v>
      </c>
      <c r="L99" s="24" t="s">
        <v>83</v>
      </c>
      <c r="M99" s="24" t="s">
        <v>27</v>
      </c>
      <c r="N99" s="24" t="s">
        <v>28</v>
      </c>
    </row>
    <row r="100" spans="3:14" outlineLevel="1" x14ac:dyDescent="0.2">
      <c r="C100" s="42">
        <v>0</v>
      </c>
      <c r="D100" s="42">
        <f t="shared" ref="D100:D119" si="2">D101-Tgrad*(C101-C100)/100</f>
        <v>40</v>
      </c>
      <c r="E100" s="6"/>
      <c r="F100" s="6"/>
      <c r="J100" s="29">
        <f>[1]!MF_gas_fraction_d(K100,D100,fw_,PVT_str_)</f>
        <v>0</v>
      </c>
      <c r="K100" s="32">
        <f>[1]!MF_p_pipe_atma(Qreal_,fw_,$C$115-C100,$K$115,1,PVT_str_2,theta_,Dtub_,,$D$115,D100)</f>
        <v>81.550863767453876</v>
      </c>
      <c r="L100" s="6"/>
    </row>
    <row r="101" spans="3:14" outlineLevel="1" x14ac:dyDescent="0.2">
      <c r="C101" s="42">
        <f t="shared" ref="C101:C120" si="3">C100+Hmes_/N_</f>
        <v>100</v>
      </c>
      <c r="D101" s="42">
        <f t="shared" si="2"/>
        <v>43</v>
      </c>
      <c r="E101" s="6"/>
      <c r="F101" s="6"/>
      <c r="J101" s="29">
        <f>[1]!MF_gas_fraction_d(K101,D101,fw_,PVT_str_)</f>
        <v>0</v>
      </c>
      <c r="K101" s="32">
        <f>[1]!MF_p_pipe_atma(Qreal_,fw_,$C$115-C101,$K$115,1,PVT_str_2,theta_,Dtub_,,$D$115,D101)</f>
        <v>89.857988124148349</v>
      </c>
      <c r="L101" s="6"/>
    </row>
    <row r="102" spans="3:14" outlineLevel="1" x14ac:dyDescent="0.2">
      <c r="C102" s="42">
        <f t="shared" si="3"/>
        <v>200</v>
      </c>
      <c r="D102" s="42">
        <f t="shared" si="2"/>
        <v>46</v>
      </c>
      <c r="E102" s="6"/>
      <c r="F102" s="6"/>
      <c r="J102" s="29">
        <f>[1]!MF_gas_fraction_d(K102,D102,fw_,PVT_str_)</f>
        <v>0</v>
      </c>
      <c r="K102" s="32">
        <f>[1]!MF_p_pipe_atma(Qreal_,fw_,$C$115-C102,$K$115,1,PVT_str_2,theta_,Dtub_,,$D$115,D102)</f>
        <v>98.155714635210344</v>
      </c>
      <c r="L102" s="6"/>
    </row>
    <row r="103" spans="3:14" outlineLevel="1" x14ac:dyDescent="0.2">
      <c r="C103" s="42">
        <f t="shared" si="3"/>
        <v>300</v>
      </c>
      <c r="D103" s="42">
        <f t="shared" si="2"/>
        <v>49</v>
      </c>
      <c r="E103" s="6"/>
      <c r="F103" s="6"/>
      <c r="J103" s="29">
        <f>[1]!MF_gas_fraction_d(K103,D103,fw_,PVT_str_)</f>
        <v>0</v>
      </c>
      <c r="K103" s="32">
        <f>[1]!MF_p_pipe_atma(Qreal_,fw_,$C$115-C103,$K$115,1,PVT_str_2,theta_,Dtub_,,$D$115,D103)</f>
        <v>106.44418929715984</v>
      </c>
      <c r="L103" s="6"/>
    </row>
    <row r="104" spans="3:14" outlineLevel="1" x14ac:dyDescent="0.2">
      <c r="C104" s="42">
        <f t="shared" si="3"/>
        <v>400</v>
      </c>
      <c r="D104" s="42">
        <f t="shared" si="2"/>
        <v>52</v>
      </c>
      <c r="E104" s="6"/>
      <c r="F104" s="6"/>
      <c r="J104" s="29">
        <f>[1]!MF_gas_fraction_d(K104,D104,fw_,PVT_str_)</f>
        <v>0</v>
      </c>
      <c r="K104" s="32">
        <f>[1]!MF_p_pipe_atma(Qreal_,fw_,$C$115-C104,$K$115,1,PVT_str_2,theta_,Dtub_,,$D$115,D104)</f>
        <v>114.72351902958214</v>
      </c>
      <c r="L104" s="6"/>
    </row>
    <row r="105" spans="3:14" outlineLevel="1" x14ac:dyDescent="0.2">
      <c r="C105" s="42">
        <f t="shared" si="3"/>
        <v>500</v>
      </c>
      <c r="D105" s="42">
        <f t="shared" si="2"/>
        <v>55</v>
      </c>
      <c r="E105" s="6"/>
      <c r="F105" s="6"/>
      <c r="J105" s="29">
        <f>[1]!MF_gas_fraction_d(K105,D105,fw_,PVT_str_)</f>
        <v>0</v>
      </c>
      <c r="K105" s="32">
        <f>[1]!MF_p_pipe_atma(Qreal_,fw_,$C$115-C105,$K$115,1,PVT_str_2,theta_,Dtub_,,$D$115,D105)</f>
        <v>122.99378330358932</v>
      </c>
      <c r="L105" s="6"/>
    </row>
    <row r="106" spans="3:14" outlineLevel="1" x14ac:dyDescent="0.2">
      <c r="C106" s="42">
        <f t="shared" si="3"/>
        <v>600</v>
      </c>
      <c r="D106" s="42">
        <f t="shared" si="2"/>
        <v>58</v>
      </c>
      <c r="E106" s="6"/>
      <c r="F106" s="6"/>
      <c r="J106" s="29">
        <f>[1]!MF_gas_fraction_d(K106,D106,fw_,PVT_str_)</f>
        <v>0</v>
      </c>
      <c r="K106" s="32">
        <f>[1]!MF_p_pipe_atma(Qreal_,fw_,$C$115-C106,$K$115,1,PVT_str_2,theta_,Dtub_,,$D$115,D106)</f>
        <v>131.2550418968174</v>
      </c>
      <c r="L106" s="6"/>
    </row>
    <row r="107" spans="3:14" outlineLevel="1" x14ac:dyDescent="0.2">
      <c r="C107" s="42">
        <f t="shared" si="3"/>
        <v>700</v>
      </c>
      <c r="D107" s="42">
        <f t="shared" si="2"/>
        <v>61</v>
      </c>
      <c r="E107" s="6"/>
      <c r="F107" s="6"/>
      <c r="J107" s="29">
        <f>[1]!MF_gas_fraction_d(K107,D107,fw_,PVT_str_)</f>
        <v>0</v>
      </c>
      <c r="K107" s="32">
        <f>[1]!MF_p_pipe_atma(Qreal_,fw_,$C$115-C107,$K$115,1,PVT_str_2,theta_,Dtub_,,$D$115,D107)</f>
        <v>139.50734021071773</v>
      </c>
      <c r="L107" s="6"/>
    </row>
    <row r="108" spans="3:14" outlineLevel="1" x14ac:dyDescent="0.2">
      <c r="C108" s="42">
        <f t="shared" si="3"/>
        <v>800</v>
      </c>
      <c r="D108" s="42">
        <f t="shared" si="2"/>
        <v>64</v>
      </c>
      <c r="E108" s="6"/>
      <c r="F108" s="6"/>
      <c r="J108" s="29">
        <f>[1]!MF_gas_fraction_d(K108,D108,fw_,PVT_str_)</f>
        <v>0</v>
      </c>
      <c r="K108" s="32">
        <f>[1]!MF_p_pipe_atma(Qreal_,fw_,$C$115-C108,$K$115,1,PVT_str_2,theta_,Dtub_,,$D$115,D108)</f>
        <v>147.75071300161892</v>
      </c>
      <c r="L108" s="6"/>
    </row>
    <row r="109" spans="3:14" outlineLevel="1" x14ac:dyDescent="0.2">
      <c r="C109" s="42">
        <f t="shared" si="3"/>
        <v>900</v>
      </c>
      <c r="D109" s="42">
        <f t="shared" si="2"/>
        <v>67</v>
      </c>
      <c r="E109" s="6"/>
      <c r="F109" s="6"/>
      <c r="J109" s="29">
        <f>[1]!MF_gas_fraction_d(K109,D109,fw_,PVT_str_)</f>
        <v>0</v>
      </c>
      <c r="K109" s="32">
        <f>[1]!MF_p_pipe_atma(Qreal_,fw_,$C$115-C109,$K$115,1,PVT_str_2,theta_,Dtub_,,$D$115,D109)</f>
        <v>155.98518704966031</v>
      </c>
      <c r="L109" s="6"/>
    </row>
    <row r="110" spans="3:14" outlineLevel="1" x14ac:dyDescent="0.2">
      <c r="C110" s="42">
        <f t="shared" si="3"/>
        <v>1000</v>
      </c>
      <c r="D110" s="42">
        <f t="shared" si="2"/>
        <v>70</v>
      </c>
      <c r="E110" s="6"/>
      <c r="F110" s="6"/>
      <c r="J110" s="29">
        <f>[1]!MF_gas_fraction_d(K110,D110,fw_,PVT_str_)</f>
        <v>0</v>
      </c>
      <c r="K110" s="32">
        <f>[1]!MF_p_pipe_atma(Qreal_,fw_,$C$115-C110,$K$115,1,PVT_str_2,theta_,Dtub_,,$D$115,D110)</f>
        <v>164.21078309872837</v>
      </c>
      <c r="L110" s="6"/>
    </row>
    <row r="111" spans="3:14" outlineLevel="1" x14ac:dyDescent="0.2">
      <c r="C111" s="42">
        <f t="shared" si="3"/>
        <v>1100</v>
      </c>
      <c r="D111" s="42">
        <f t="shared" si="2"/>
        <v>73</v>
      </c>
      <c r="E111" s="6"/>
      <c r="F111" s="6"/>
      <c r="J111" s="29">
        <f>[1]!MF_gas_fraction_d(K111,D111,fw_,PVT_str_)</f>
        <v>0</v>
      </c>
      <c r="K111" s="32">
        <f>[1]!MF_p_pipe_atma(Qreal_,fw_,$C$115-C111,$K$115,1,PVT_str_2,theta_,Dtub_,,$D$115,D111)</f>
        <v>172.42751728516939</v>
      </c>
      <c r="L111" s="6"/>
    </row>
    <row r="112" spans="3:14" outlineLevel="1" x14ac:dyDescent="0.2">
      <c r="C112" s="42">
        <f t="shared" si="3"/>
        <v>1200</v>
      </c>
      <c r="D112" s="42">
        <f t="shared" si="2"/>
        <v>76</v>
      </c>
      <c r="E112" s="6"/>
      <c r="F112" s="6"/>
      <c r="J112" s="29">
        <f>[1]!MF_gas_fraction_d(K112,D112,fw_,PVT_str_)</f>
        <v>0</v>
      </c>
      <c r="K112" s="32">
        <f>[1]!MF_p_pipe_atma(Qreal_,fw_,$C$115-C112,$K$115,1,PVT_str_2,theta_,Dtub_,,$D$115,D112)</f>
        <v>180.63540220120836</v>
      </c>
      <c r="L112" s="6"/>
    </row>
    <row r="113" spans="2:14" outlineLevel="1" x14ac:dyDescent="0.2">
      <c r="C113" s="42">
        <f t="shared" si="3"/>
        <v>1300</v>
      </c>
      <c r="D113" s="42">
        <f t="shared" si="2"/>
        <v>79</v>
      </c>
      <c r="E113" s="6"/>
      <c r="F113" s="6"/>
      <c r="J113" s="29">
        <f>[1]!MF_gas_fraction_d(K113,D113,fw_,PVT_str_)</f>
        <v>0</v>
      </c>
      <c r="K113" s="32">
        <f>[1]!MF_p_pipe_atma(Qreal_,fw_,$C$115-C113,$K$115,1,PVT_str_2,theta_,Dtub_,,$D$115,D113)</f>
        <v>188.83444769303628</v>
      </c>
      <c r="L113" s="6"/>
    </row>
    <row r="114" spans="2:14" outlineLevel="1" x14ac:dyDescent="0.2">
      <c r="C114" s="42">
        <f t="shared" si="3"/>
        <v>1400</v>
      </c>
      <c r="D114" s="42">
        <f t="shared" si="2"/>
        <v>82</v>
      </c>
      <c r="E114" s="6"/>
      <c r="F114" s="6"/>
      <c r="J114" s="29">
        <f>[1]!MF_gas_fraction_d(K114,D114,fw_,PVT_str_)</f>
        <v>0</v>
      </c>
      <c r="K114" s="32">
        <f>[1]!MF_p_pipe_atma(Qreal_,fw_,$C$115-C114,$K$115,1,PVT_str_2,theta_,Dtub_,,$D$115,D114)</f>
        <v>197.02466146340223</v>
      </c>
      <c r="L114" s="6"/>
    </row>
    <row r="115" spans="2:14" outlineLevel="1" x14ac:dyDescent="0.2">
      <c r="B115" t="s">
        <v>29</v>
      </c>
      <c r="C115" s="42">
        <f t="shared" si="3"/>
        <v>1500</v>
      </c>
      <c r="D115" s="42">
        <f t="shared" si="2"/>
        <v>85</v>
      </c>
      <c r="E115" s="6"/>
      <c r="F115" s="20">
        <f>[1]!MF_p_pipe_atma(Qreal_,fw_,$C$120-C115,$F$120,1,PVT_str_2,theta_,Dcas_,,$D$120,D115)</f>
        <v>29.555856184319655</v>
      </c>
      <c r="G115" s="39">
        <f>[1]!MF_ksep_natural_d(Q_,wc_,Pintake_,Tintake_,Dintake_,Dcas_,PVT_str_)</f>
        <v>0.68541062785547402</v>
      </c>
      <c r="H115" s="34">
        <f>[1]!MF_ksep_total_d(G115,KsepGasSep_)</f>
        <v>0.96854106278554741</v>
      </c>
      <c r="I115" s="36">
        <f>[1]!MF_gas_fraction_d(F115,D115,fw_,PVT_str_)</f>
        <v>0.24067644173163219</v>
      </c>
      <c r="J115" s="35">
        <f>[1]!MF_gas_fraction_d(K115,D115,fw_,PVT_str_)</f>
        <v>0</v>
      </c>
      <c r="K115" s="40">
        <f>F115+L115</f>
        <v>205.20604952837439</v>
      </c>
      <c r="L115" s="19">
        <f>[1]!ESP_dp_atm(Qreal_,fw_,F115,NumStage_,Freq1_,PumpID_,PVT_str_2,D115,0,1,1,Kdegr1_)</f>
        <v>175.65019334405474</v>
      </c>
      <c r="M115" s="38">
        <f>K115</f>
        <v>205.20604952837439</v>
      </c>
      <c r="N115" s="38">
        <f>F115</f>
        <v>29.555856184319655</v>
      </c>
    </row>
    <row r="116" spans="2:14" outlineLevel="1" x14ac:dyDescent="0.2">
      <c r="C116" s="42">
        <f t="shared" si="3"/>
        <v>1600</v>
      </c>
      <c r="D116" s="42">
        <f t="shared" si="2"/>
        <v>88</v>
      </c>
      <c r="E116" s="6"/>
      <c r="F116" s="20">
        <f>[1]!MF_p_pipe_atma(Qreal_,fw_,$C$120-C116,$F$120,1,PVT_str_2,theta_,Dcas_,,$D$120,D116)</f>
        <v>37.647808746435871</v>
      </c>
      <c r="G116" s="6"/>
      <c r="I116" s="36">
        <f>[1]!MF_gas_fraction_d(F116,D116,fw_,PVT_str_)</f>
        <v>9.0984814014799631E-2</v>
      </c>
      <c r="M116" s="6"/>
    </row>
    <row r="117" spans="2:14" outlineLevel="1" x14ac:dyDescent="0.2">
      <c r="C117" s="42">
        <f t="shared" si="3"/>
        <v>1700</v>
      </c>
      <c r="D117" s="42">
        <f t="shared" si="2"/>
        <v>91</v>
      </c>
      <c r="E117" s="6"/>
      <c r="F117" s="20">
        <f>[1]!MF_p_pipe_atma(Qreal_,fw_,$C$120-C117,$F$120,1,PVT_str_2,theta_,Dcas_,,$D$120,D117)</f>
        <v>45.741003998978627</v>
      </c>
      <c r="I117" s="36">
        <f>[1]!MF_gas_fraction_d(F117,D117,fw_,PVT_str_)</f>
        <v>0</v>
      </c>
      <c r="M117" s="6"/>
    </row>
    <row r="118" spans="2:14" outlineLevel="1" x14ac:dyDescent="0.2">
      <c r="C118" s="42">
        <f t="shared" si="3"/>
        <v>1800</v>
      </c>
      <c r="D118" s="42">
        <f t="shared" si="2"/>
        <v>94</v>
      </c>
      <c r="E118" s="6"/>
      <c r="F118" s="20">
        <f>[1]!MF_p_pipe_atma(Qreal_,fw_,$C$120-C118,$F$120,1,PVT_str_2,theta_,Dcas_,,$D$120,D118)</f>
        <v>53.831983978691397</v>
      </c>
      <c r="I118" s="36">
        <f>[1]!MF_gas_fraction_d(F118,D118,fw_,PVT_str_)</f>
        <v>0</v>
      </c>
      <c r="M118" s="6"/>
    </row>
    <row r="119" spans="2:14" outlineLevel="1" x14ac:dyDescent="0.2">
      <c r="C119" s="42">
        <f t="shared" si="3"/>
        <v>1900</v>
      </c>
      <c r="D119" s="42">
        <f t="shared" si="2"/>
        <v>97</v>
      </c>
      <c r="E119" s="6"/>
      <c r="F119" s="20">
        <f>[1]!MF_p_pipe_atma(Qreal_,fw_,$C$120-C119,$F$120,1,PVT_str_2,theta_,Dcas_,,$D$120,D119)</f>
        <v>61.918740334577336</v>
      </c>
      <c r="I119" s="36">
        <f>[1]!MF_gas_fraction_d(F119,D119,fw_,PVT_str_)</f>
        <v>0</v>
      </c>
      <c r="M119" s="6"/>
    </row>
    <row r="120" spans="2:14" outlineLevel="1" x14ac:dyDescent="0.2">
      <c r="C120" s="42">
        <f t="shared" si="3"/>
        <v>2000</v>
      </c>
      <c r="D120" s="42">
        <f>Tres_</f>
        <v>100</v>
      </c>
      <c r="E120" s="6"/>
      <c r="F120" s="27">
        <f>Pwf1_</f>
        <v>70</v>
      </c>
      <c r="I120" s="36">
        <f>[1]!MF_gas_fraction_d(F120,D120,fw_,PVT_str_)</f>
        <v>0</v>
      </c>
      <c r="M120" s="6"/>
    </row>
    <row r="121" spans="2:14" outlineLevel="1" x14ac:dyDescent="0.2"/>
    <row r="122" spans="2:14" outlineLevel="1" x14ac:dyDescent="0.2"/>
    <row r="182" spans="12:12" x14ac:dyDescent="0.2">
      <c r="L182" t="s">
        <v>16</v>
      </c>
    </row>
    <row r="193" spans="12:12" x14ac:dyDescent="0.2">
      <c r="L193" s="7"/>
    </row>
  </sheetData>
  <mergeCells count="6">
    <mergeCell ref="G45:X45"/>
    <mergeCell ref="G38:X38"/>
    <mergeCell ref="G39:X39"/>
    <mergeCell ref="G41:X41"/>
    <mergeCell ref="G42:X42"/>
    <mergeCell ref="G44:X44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48</vt:i4>
      </vt:variant>
    </vt:vector>
  </HeadingPairs>
  <TitlesOfParts>
    <vt:vector size="49" baseType="lpstr">
      <vt:lpstr>well</vt:lpstr>
      <vt:lpstr>well!Bob_</vt:lpstr>
      <vt:lpstr>well!Dcas_</vt:lpstr>
      <vt:lpstr>well!Dintake_</vt:lpstr>
      <vt:lpstr>well!Dtub_</vt:lpstr>
      <vt:lpstr>well!Dtub_out_</vt:lpstr>
      <vt:lpstr>ESPstr</vt:lpstr>
      <vt:lpstr>well!Freq_</vt:lpstr>
      <vt:lpstr>well!Freq1_</vt:lpstr>
      <vt:lpstr>fw_</vt:lpstr>
      <vt:lpstr>well!gamma_gas_</vt:lpstr>
      <vt:lpstr>well!gamma_oil_</vt:lpstr>
      <vt:lpstr>well!gamma_wat_</vt:lpstr>
      <vt:lpstr>well!Head_ESP_</vt:lpstr>
      <vt:lpstr>well!Hmes_</vt:lpstr>
      <vt:lpstr>well!Hpump_</vt:lpstr>
      <vt:lpstr>well!Kdegr_</vt:lpstr>
      <vt:lpstr>Kdegr1_</vt:lpstr>
      <vt:lpstr>well!KsepGasSep_</vt:lpstr>
      <vt:lpstr>mu_</vt:lpstr>
      <vt:lpstr>well!N_</vt:lpstr>
      <vt:lpstr>well!NumStage_</vt:lpstr>
      <vt:lpstr>well!Pb_</vt:lpstr>
      <vt:lpstr>well!Pbuf_</vt:lpstr>
      <vt:lpstr>well!Pdis_</vt:lpstr>
      <vt:lpstr>well!PI_</vt:lpstr>
      <vt:lpstr>well!Pintake_</vt:lpstr>
      <vt:lpstr>PKsep</vt:lpstr>
      <vt:lpstr>PKsep2</vt:lpstr>
      <vt:lpstr>well!Pres_</vt:lpstr>
      <vt:lpstr>well!PumpID_</vt:lpstr>
      <vt:lpstr>PVT_str_</vt:lpstr>
      <vt:lpstr>PVT_str_2</vt:lpstr>
      <vt:lpstr>well!Pwf_</vt:lpstr>
      <vt:lpstr>well!Pwf1_</vt:lpstr>
      <vt:lpstr>well!Q_</vt:lpstr>
      <vt:lpstr>well!Q_ESP_</vt:lpstr>
      <vt:lpstr>well!Qmax</vt:lpstr>
      <vt:lpstr>well!Qreal_</vt:lpstr>
      <vt:lpstr>well!Rp_</vt:lpstr>
      <vt:lpstr>well!Rsb_</vt:lpstr>
      <vt:lpstr>well!Tgrad</vt:lpstr>
      <vt:lpstr>theta_</vt:lpstr>
      <vt:lpstr>well!Tintake_</vt:lpstr>
      <vt:lpstr>TKsep</vt:lpstr>
      <vt:lpstr>TKsep2</vt:lpstr>
      <vt:lpstr>well!Tres_</vt:lpstr>
      <vt:lpstr>well!Udl_</vt:lpstr>
      <vt:lpstr>well!wc_</vt:lpstr>
    </vt:vector>
  </TitlesOfParts>
  <Company>CAF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Rinat</dc:creator>
  <cp:lastModifiedBy>Ринат Хабибуллин</cp:lastModifiedBy>
  <cp:lastPrinted>2007-08-27T05:31:44Z</cp:lastPrinted>
  <dcterms:created xsi:type="dcterms:W3CDTF">2005-04-11T05:46:28Z</dcterms:created>
  <dcterms:modified xsi:type="dcterms:W3CDTF">2019-07-25T15:23:07Z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