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updateLinks="always" codeName="ЭтаКнига" hidePivotFieldList="1"/>
  <mc:AlternateContent xmlns:mc="http://schemas.openxmlformats.org/markup-compatibility/2006">
    <mc:Choice Requires="x15">
      <x15ac:absPath xmlns:x15ac="http://schemas.microsoft.com/office/spreadsheetml/2010/11/ac" url="C:\Users\olegk\Documents\unifloc_vba\excercises\excercises\"/>
    </mc:Choice>
  </mc:AlternateContent>
  <xr:revisionPtr revIDLastSave="0" documentId="13_ncr:1_{B3782B3F-418B-4B33-AA8D-920E64D225B3}" xr6:coauthVersionLast="43" xr6:coauthVersionMax="43" xr10:uidLastSave="{00000000-0000-0000-0000-000000000000}"/>
  <bookViews>
    <workbookView xWindow="-120" yWindow="-120" windowWidth="24240" windowHeight="13140" tabRatio="422" xr2:uid="{00000000-000D-0000-FFFF-FFFF00000000}"/>
  </bookViews>
  <sheets>
    <sheet name="well" sheetId="107" r:id="rId1"/>
  </sheets>
  <externalReferences>
    <externalReference r:id="rId2"/>
    <externalReference r:id="rId3"/>
  </externalReferences>
  <definedNames>
    <definedName name="Bob_" localSheetId="0">well!$C$14</definedName>
    <definedName name="d_annular_pr">well!$C$37</definedName>
    <definedName name="d_tube_all_in">well!$V$62</definedName>
    <definedName name="Dcas_" localSheetId="0">well!$C$22</definedName>
    <definedName name="Dintake_" localSheetId="0">well!$C$26</definedName>
    <definedName name="Dtub_" localSheetId="0">well!$C$25</definedName>
    <definedName name="Dtub_out_" localSheetId="0">well!$C$23</definedName>
    <definedName name="ESPstr">well!$G$47</definedName>
    <definedName name="Freq_" localSheetId="0">well!$C$42</definedName>
    <definedName name="Freq1_" localSheetId="0">well!$D$100</definedName>
    <definedName name="fw_">well!$C$35</definedName>
    <definedName name="gamma_gas_" localSheetId="0">well!$C$9</definedName>
    <definedName name="gamma_oil_" localSheetId="0">well!$C$7</definedName>
    <definedName name="gamma_wat_" localSheetId="0">well!$C$8</definedName>
    <definedName name="Head_ESP_" localSheetId="0">well!$C$41</definedName>
    <definedName name="Hmes_" localSheetId="0">well!$C$18</definedName>
    <definedName name="Hpump_" localSheetId="0">well!$C$21</definedName>
    <definedName name="k_split_liquid">well!$N$66</definedName>
    <definedName name="Kdegr_" localSheetId="0">well!$D$66</definedName>
    <definedName name="KsepGasSep_" localSheetId="0">well!$C$47</definedName>
    <definedName name="mu_">well!$C$15</definedName>
    <definedName name="N_" localSheetId="0">well!$C$58</definedName>
    <definedName name="NumStage_" localSheetId="0">well!$C$46</definedName>
    <definedName name="Pannular_">well!$C$27</definedName>
    <definedName name="Pb_" localSheetId="0">well!$C$12</definedName>
    <definedName name="Pbuf_" localSheetId="0">well!$C$28</definedName>
    <definedName name="Pdis_" localSheetId="0">well!$C$31</definedName>
    <definedName name="PI_" localSheetId="0">well!$C$53</definedName>
    <definedName name="Pintake_" localSheetId="0">well!$C$29</definedName>
    <definedName name="PKsep">well!$C$48</definedName>
    <definedName name="Pres_" localSheetId="0">well!$C$52</definedName>
    <definedName name="PumpID_" localSheetId="0">well!$C$43</definedName>
    <definedName name="PVT_str_">well!$G$44</definedName>
    <definedName name="PVT_str_annular_">well!$G$50</definedName>
    <definedName name="Pwf_" localSheetId="0">well!$C$33</definedName>
    <definedName name="Pwf1_" localSheetId="0">well!$D$98</definedName>
    <definedName name="Q_" localSheetId="0">well!$C$34</definedName>
    <definedName name="Q_annular_">well!$C$36</definedName>
    <definedName name="Q_annular_all_in">well!$T$67</definedName>
    <definedName name="Q_ESP_" localSheetId="0">well!$C$40</definedName>
    <definedName name="Q_total_">well!$C$32</definedName>
    <definedName name="Q_tube_all_in">well!$V$67</definedName>
    <definedName name="Qmax" localSheetId="0">well!$C$45</definedName>
    <definedName name="qmax_">well!$C$55</definedName>
    <definedName name="Qreal_" localSheetId="0">well!$D$99</definedName>
    <definedName name="Rp_" localSheetId="0">well!$C$11</definedName>
    <definedName name="Rsb_" localSheetId="0">well!$C$10</definedName>
    <definedName name="solver_adj" localSheetId="0" hidden="1">well!$V$67</definedName>
    <definedName name="solver_cvg" localSheetId="0" hidden="1">"""""""""""""""""""""""""""""""""""""""""""""""""""""""""""""""""""""""""""""""""""""""""""""""""""""""""""""""""""""""""""""""0,0001"""""""""""""""""""""""""""""""""""""""""""""""""""""""""""""""""""""""""""""""""""""""""""""""""""""""""""""""""""""""""""""""</definedName>
    <definedName name="solver_drv" localSheetId="0" hidden="1">2</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well!$V$64</definedName>
    <definedName name="solver_pre" localSheetId="0" hidden="1">"""""""""""""""""""""""""""""""""""""""""""""""""""""""""""""""""""""""""""""""""""""""""""""""""""""""""""""""""""""""""""""""0,000001"""""""""""""""""""""""""""""""""""""""""""""""""""""""""""""""""""""""""""""""""""""""""""""""""""""""""""""""""""""""""""""""</definedName>
    <definedName name="solver_rbv" localSheetId="0" hidden="1">2</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 name="Tgrad" localSheetId="0">well!$C$54</definedName>
    <definedName name="theta_">well!$C$24</definedName>
    <definedName name="Tintake_" localSheetId="0">well!$C$30</definedName>
    <definedName name="TKsep">well!$C$49</definedName>
    <definedName name="Tres_" localSheetId="0">well!$C$13</definedName>
    <definedName name="Udl_" localSheetId="0">well!$C$20</definedName>
    <definedName name="wc_" localSheetId="0">well!$C$14</definedName>
  </definedNames>
  <calcPr calcId="191029" iterate="1" iterateCount="50" iterateDelta="0.0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37" i="107" l="1"/>
  <c r="F137" i="107"/>
  <c r="E162" i="107"/>
  <c r="E161" i="107"/>
  <c r="E138" i="107"/>
  <c r="E139" i="107"/>
  <c r="E140" i="107"/>
  <c r="E141" i="107"/>
  <c r="E142" i="107"/>
  <c r="E143" i="107"/>
  <c r="E144" i="107"/>
  <c r="E145" i="107"/>
  <c r="E146" i="107"/>
  <c r="E147" i="107"/>
  <c r="E148" i="107"/>
  <c r="E149" i="107"/>
  <c r="E150" i="107"/>
  <c r="E151" i="107"/>
  <c r="E152" i="107"/>
  <c r="E153" i="107"/>
  <c r="E154" i="107"/>
  <c r="E155" i="107"/>
  <c r="E156" i="107"/>
  <c r="E157" i="107"/>
  <c r="E158" i="107"/>
  <c r="E159" i="107"/>
  <c r="E160" i="107"/>
  <c r="E137" i="107"/>
  <c r="D158" i="107"/>
  <c r="D159" i="107"/>
  <c r="D160" i="107"/>
  <c r="D138" i="107"/>
  <c r="D139" i="107"/>
  <c r="D140" i="107"/>
  <c r="D141" i="107"/>
  <c r="D142" i="107"/>
  <c r="D143" i="107"/>
  <c r="D144" i="107"/>
  <c r="D145" i="107"/>
  <c r="D146" i="107"/>
  <c r="D147" i="107"/>
  <c r="D148" i="107"/>
  <c r="D149" i="107"/>
  <c r="D150" i="107"/>
  <c r="D151" i="107"/>
  <c r="D152" i="107"/>
  <c r="D153" i="107"/>
  <c r="D154" i="107"/>
  <c r="D155" i="107"/>
  <c r="D156" i="107"/>
  <c r="D157" i="107"/>
  <c r="D137" i="107"/>
  <c r="C137" i="107"/>
  <c r="C138" i="107"/>
  <c r="C139" i="107"/>
  <c r="C140" i="107"/>
  <c r="C141" i="107"/>
  <c r="C142" i="107"/>
  <c r="C143" i="107"/>
  <c r="C144" i="107"/>
  <c r="C145" i="107"/>
  <c r="C146" i="107"/>
  <c r="C147" i="107"/>
  <c r="C148" i="107"/>
  <c r="C149" i="107"/>
  <c r="C150" i="107"/>
  <c r="C151" i="107"/>
  <c r="C152" i="107"/>
  <c r="C153" i="107"/>
  <c r="C154" i="107"/>
  <c r="C155" i="107"/>
  <c r="C156" i="107"/>
  <c r="C157" i="107"/>
  <c r="C158" i="107"/>
  <c r="C159" i="107"/>
  <c r="C160" i="107"/>
  <c r="C161" i="107"/>
  <c r="C162" i="107"/>
  <c r="C136" i="107"/>
  <c r="C53" i="107"/>
  <c r="D105" i="107" s="1"/>
  <c r="C55" i="107"/>
  <c r="C106" i="107" l="1"/>
  <c r="R69" i="107"/>
  <c r="F94" i="107"/>
  <c r="C18" i="107"/>
  <c r="C21" i="107"/>
  <c r="C25" i="107"/>
  <c r="V62" i="107" s="1"/>
  <c r="D106" i="107"/>
  <c r="C107" i="107" l="1"/>
  <c r="C36" i="107"/>
  <c r="C34" i="107"/>
  <c r="C37" i="107"/>
  <c r="D107" i="107"/>
  <c r="G1" i="107"/>
  <c r="C43" i="107"/>
  <c r="C45" i="107" s="1"/>
  <c r="G47" i="107"/>
  <c r="C44" i="107"/>
  <c r="G50" i="107"/>
  <c r="E107" i="107"/>
  <c r="E106" i="107"/>
  <c r="E105" i="107"/>
  <c r="C108" i="107" l="1"/>
  <c r="E13" i="107"/>
  <c r="E12" i="107"/>
  <c r="E11" i="107"/>
  <c r="E10" i="107"/>
  <c r="E9" i="107"/>
  <c r="E8" i="107"/>
  <c r="E7" i="107"/>
  <c r="D108" i="107"/>
  <c r="E108" i="107" s="1"/>
  <c r="C46" i="107"/>
  <c r="C109" i="107" l="1"/>
  <c r="L69" i="107"/>
  <c r="D109" i="107"/>
  <c r="E109" i="107" s="1"/>
  <c r="C110" i="107" l="1"/>
  <c r="C70" i="107"/>
  <c r="C71" i="107" s="1"/>
  <c r="C72" i="107" s="1"/>
  <c r="C73" i="107" s="1"/>
  <c r="C74" i="107" s="1"/>
  <c r="C75" i="107" s="1"/>
  <c r="C76" i="107" s="1"/>
  <c r="C77" i="107" s="1"/>
  <c r="C78" i="107" s="1"/>
  <c r="C79" i="107" s="1"/>
  <c r="C80" i="107" s="1"/>
  <c r="C81" i="107" s="1"/>
  <c r="C82" i="107" s="1"/>
  <c r="C83" i="107" s="1"/>
  <c r="C84" i="107" s="1"/>
  <c r="C85" i="107" s="1"/>
  <c r="C86" i="107" s="1"/>
  <c r="C87" i="107" s="1"/>
  <c r="C88" i="107" s="1"/>
  <c r="D110" i="107"/>
  <c r="E110" i="107" s="1"/>
  <c r="C111" i="107" l="1"/>
  <c r="C89" i="107"/>
  <c r="D111" i="107"/>
  <c r="E111" i="107" s="1"/>
  <c r="C112" i="107" l="1"/>
  <c r="C90" i="107"/>
  <c r="C91" i="107" s="1"/>
  <c r="C92" i="107" s="1"/>
  <c r="C93" i="107" s="1"/>
  <c r="C94" i="107" s="1"/>
  <c r="D94" i="107" s="1"/>
  <c r="D93" i="107" s="1"/>
  <c r="D112" i="107"/>
  <c r="E112" i="107" s="1"/>
  <c r="D92" i="107" l="1"/>
  <c r="C113" i="107"/>
  <c r="D113" i="107"/>
  <c r="E113" i="107" s="1"/>
  <c r="D91" i="107" l="1"/>
  <c r="C114" i="107"/>
  <c r="D114" i="107"/>
  <c r="E114" i="107" s="1"/>
  <c r="D90" i="107" l="1"/>
  <c r="C115" i="107"/>
  <c r="D115" i="107"/>
  <c r="E115" i="107" s="1"/>
  <c r="D89" i="107" l="1"/>
  <c r="C116" i="107"/>
  <c r="D116" i="107"/>
  <c r="E116" i="107" s="1"/>
  <c r="D88" i="107" l="1"/>
  <c r="C117" i="107"/>
  <c r="D117" i="107"/>
  <c r="E117" i="107" s="1"/>
  <c r="D87" i="107" l="1"/>
  <c r="C118" i="107"/>
  <c r="D118" i="107"/>
  <c r="E118" i="107" s="1"/>
  <c r="D86" i="107" l="1"/>
  <c r="C119" i="107"/>
  <c r="D119" i="107"/>
  <c r="E119" i="107" s="1"/>
  <c r="D85" i="107" l="1"/>
  <c r="C120" i="107"/>
  <c r="D120" i="107"/>
  <c r="E120" i="107" s="1"/>
  <c r="D84" i="107" l="1"/>
  <c r="C121" i="107"/>
  <c r="D121" i="107"/>
  <c r="E121" i="107" s="1"/>
  <c r="D83" i="107" l="1"/>
  <c r="C49" i="107"/>
  <c r="C30" i="107" s="1"/>
  <c r="C122" i="107"/>
  <c r="D122" i="107"/>
  <c r="E122" i="107" s="1"/>
  <c r="D82" i="107" l="1"/>
  <c r="C123" i="107"/>
  <c r="D123" i="107"/>
  <c r="E123" i="107" s="1"/>
  <c r="D81" i="107" l="1"/>
  <c r="C124" i="107"/>
  <c r="D124" i="107"/>
  <c r="E124" i="107" s="1"/>
  <c r="D80" i="107" l="1"/>
  <c r="C125" i="107"/>
  <c r="D125" i="107"/>
  <c r="E125" i="107" s="1"/>
  <c r="D79" i="107" l="1"/>
  <c r="C126" i="107"/>
  <c r="D126" i="107"/>
  <c r="E126" i="107" s="1"/>
  <c r="D78" i="107" l="1"/>
  <c r="C127" i="107"/>
  <c r="D127" i="107"/>
  <c r="E127" i="107" s="1"/>
  <c r="D77" i="107" l="1"/>
  <c r="C128" i="107"/>
  <c r="D128" i="107"/>
  <c r="E128" i="107" s="1"/>
  <c r="D76" i="107" l="1"/>
  <c r="C129" i="107"/>
  <c r="D129" i="107"/>
  <c r="E129" i="107" s="1"/>
  <c r="D75" i="107" l="1"/>
  <c r="C130" i="107"/>
  <c r="D130" i="107"/>
  <c r="E130" i="107" s="1"/>
  <c r="D74" i="107" l="1"/>
  <c r="D73" i="107" l="1"/>
  <c r="D72" i="107" l="1"/>
  <c r="C29" i="107"/>
  <c r="G44" i="107"/>
  <c r="F93" i="107"/>
  <c r="G92" i="107"/>
  <c r="H92" i="107" s="1"/>
  <c r="O92" i="107"/>
  <c r="I94" i="107"/>
  <c r="I93" i="107"/>
  <c r="F92" i="107"/>
  <c r="F91" i="107"/>
  <c r="I92" i="107"/>
  <c r="D71" i="107" l="1"/>
  <c r="Q92" i="107"/>
  <c r="F90" i="107"/>
  <c r="Q91" i="107"/>
  <c r="J91" i="107" s="1"/>
  <c r="J92" i="107"/>
  <c r="Q90" i="107"/>
  <c r="J90" i="107" s="1"/>
  <c r="Q89" i="107"/>
  <c r="J89" i="107" s="1"/>
  <c r="Q88" i="107"/>
  <c r="J88" i="107" s="1"/>
  <c r="Q87" i="107"/>
  <c r="J87" i="107" s="1"/>
  <c r="Q86" i="107"/>
  <c r="J86" i="107" s="1"/>
  <c r="Q85" i="107"/>
  <c r="J85" i="107" s="1"/>
  <c r="Q84" i="107"/>
  <c r="J84" i="107" s="1"/>
  <c r="Q83" i="107"/>
  <c r="J83" i="107" s="1"/>
  <c r="Q82" i="107"/>
  <c r="J82" i="107" s="1"/>
  <c r="Q81" i="107"/>
  <c r="J81" i="107" s="1"/>
  <c r="Q80" i="107"/>
  <c r="J80" i="107" s="1"/>
  <c r="Q79" i="107"/>
  <c r="J79" i="107" s="1"/>
  <c r="Q78" i="107"/>
  <c r="J78" i="107" s="1"/>
  <c r="Q77" i="107"/>
  <c r="J77" i="107" s="1"/>
  <c r="Q76" i="107"/>
  <c r="J76" i="107" s="1"/>
  <c r="Q75" i="107"/>
  <c r="J75" i="107" s="1"/>
  <c r="Q74" i="107"/>
  <c r="J74" i="107" s="1"/>
  <c r="Q73" i="107"/>
  <c r="J73" i="107" s="1"/>
  <c r="Q72" i="107"/>
  <c r="J72" i="107" s="1"/>
  <c r="Q71" i="107"/>
  <c r="J71" i="107" s="1"/>
  <c r="F89" i="107"/>
  <c r="F88" i="107"/>
  <c r="F87" i="107"/>
  <c r="F86" i="107"/>
  <c r="F85" i="107"/>
  <c r="F84" i="107"/>
  <c r="F83" i="107"/>
  <c r="D70" i="107" l="1"/>
  <c r="M92" i="107"/>
  <c r="Q70" i="107"/>
  <c r="J70" i="107"/>
  <c r="F82" i="107"/>
  <c r="M91" i="107"/>
  <c r="K92" i="107"/>
  <c r="M90" i="107"/>
  <c r="K91" i="107"/>
  <c r="K90" i="107"/>
  <c r="M89" i="107"/>
  <c r="M88" i="107"/>
  <c r="K89" i="107"/>
  <c r="K88" i="107"/>
  <c r="M87" i="107"/>
  <c r="M86" i="107"/>
  <c r="K87" i="107"/>
  <c r="K86" i="107"/>
  <c r="M85" i="107"/>
  <c r="M84" i="107"/>
  <c r="K85" i="107"/>
  <c r="K84" i="107"/>
  <c r="M83" i="107"/>
  <c r="M82" i="107"/>
  <c r="K83" i="107"/>
  <c r="K82" i="107"/>
  <c r="M81" i="107"/>
  <c r="M80" i="107"/>
  <c r="K81" i="107"/>
  <c r="K80" i="107"/>
  <c r="M79" i="107"/>
  <c r="M78" i="107"/>
  <c r="K79" i="107"/>
  <c r="K78" i="107"/>
  <c r="M77" i="107"/>
  <c r="M76" i="107"/>
  <c r="K77" i="107"/>
  <c r="K76" i="107"/>
  <c r="M75" i="107"/>
  <c r="M74" i="107"/>
  <c r="K75" i="107"/>
  <c r="K74" i="107"/>
  <c r="M73" i="107"/>
  <c r="M72" i="107"/>
  <c r="K73" i="107"/>
  <c r="K72" i="107"/>
  <c r="M71" i="107"/>
  <c r="M70" i="107"/>
  <c r="K71" i="107"/>
  <c r="K70" i="107"/>
  <c r="D69" i="107" l="1"/>
  <c r="M69" i="107"/>
  <c r="U70" i="107"/>
  <c r="S70" i="107"/>
  <c r="R70" i="107"/>
  <c r="R71" i="107" s="1"/>
  <c r="R72" i="107" s="1"/>
  <c r="R73" i="107" s="1"/>
  <c r="R74" i="107" s="1"/>
  <c r="R75" i="107" s="1"/>
  <c r="R76" i="107" s="1"/>
  <c r="R77" i="107" s="1"/>
  <c r="R78" i="107" s="1"/>
  <c r="R79" i="107" s="1"/>
  <c r="L70" i="107"/>
  <c r="L71" i="107" s="1"/>
  <c r="L72" i="107" s="1"/>
  <c r="L73" i="107" s="1"/>
  <c r="L74" i="107" s="1"/>
  <c r="L75" i="107" s="1"/>
  <c r="L76" i="107" s="1"/>
  <c r="L77" i="107" s="1"/>
  <c r="L78" i="107" s="1"/>
  <c r="L79" i="107" s="1"/>
  <c r="L80" i="107" s="1"/>
  <c r="L81" i="107" s="1"/>
  <c r="L82" i="107" s="1"/>
  <c r="L83" i="107" s="1"/>
  <c r="L84" i="107" s="1"/>
  <c r="L85" i="107" s="1"/>
  <c r="L86" i="107" s="1"/>
  <c r="L87" i="107" s="1"/>
  <c r="L88" i="107" s="1"/>
  <c r="L89" i="107" s="1"/>
  <c r="L90" i="107" s="1"/>
  <c r="L91" i="107" s="1"/>
  <c r="L92" i="107" s="1"/>
  <c r="Q69" i="107"/>
  <c r="J69" i="107"/>
  <c r="F81" i="107"/>
  <c r="R80" i="107"/>
  <c r="F80" i="107"/>
  <c r="R81" i="107"/>
  <c r="F79" i="107"/>
  <c r="R82" i="107"/>
  <c r="F78" i="107"/>
  <c r="R83" i="107"/>
  <c r="F77" i="107"/>
  <c r="R84" i="107"/>
  <c r="F76" i="107"/>
  <c r="R85" i="107"/>
  <c r="R86" i="107"/>
  <c r="F75" i="107"/>
  <c r="R87" i="107"/>
  <c r="F74" i="107"/>
  <c r="F73" i="107"/>
  <c r="R88" i="107"/>
  <c r="F72" i="107"/>
  <c r="R89" i="107"/>
  <c r="R90" i="107"/>
  <c r="F71" i="107"/>
  <c r="R91" i="107"/>
  <c r="F70" i="107"/>
  <c r="R92" i="107"/>
  <c r="F69" i="107"/>
  <c r="K69" i="107"/>
  <c r="S71" i="107"/>
  <c r="S72" i="107"/>
  <c r="S73" i="107"/>
  <c r="S74" i="107"/>
  <c r="S75" i="107"/>
  <c r="S76" i="107"/>
  <c r="S77" i="107"/>
  <c r="S78" i="107"/>
  <c r="S79" i="107"/>
  <c r="S80" i="107"/>
  <c r="S81" i="107"/>
  <c r="S82" i="107"/>
  <c r="S83" i="107"/>
  <c r="S84" i="107"/>
  <c r="S85" i="107"/>
  <c r="S86" i="107"/>
  <c r="S87" i="107"/>
  <c r="S88" i="107"/>
  <c r="S89" i="107"/>
  <c r="S90" i="107"/>
  <c r="S91" i="107"/>
  <c r="S92" i="107"/>
  <c r="U71" i="107"/>
  <c r="U72" i="107"/>
  <c r="U73" i="107"/>
  <c r="U74" i="107"/>
  <c r="U75" i="107"/>
  <c r="U76" i="107"/>
  <c r="U77" i="107"/>
  <c r="U78" i="107"/>
  <c r="U79" i="107"/>
  <c r="U80" i="107"/>
  <c r="U81" i="107"/>
  <c r="U82" i="107"/>
  <c r="U83" i="107"/>
  <c r="U84" i="107"/>
  <c r="U85" i="107"/>
  <c r="U86" i="107"/>
  <c r="U87" i="107"/>
  <c r="U88" i="107"/>
  <c r="U89" i="107"/>
  <c r="U90" i="107"/>
  <c r="U91" i="107"/>
  <c r="U92" i="107"/>
  <c r="G160" i="107" l="1"/>
  <c r="G159" i="107"/>
  <c r="G158" i="107"/>
  <c r="G157" i="107"/>
  <c r="G156" i="107"/>
  <c r="G155" i="107"/>
  <c r="G154" i="107"/>
  <c r="G153" i="107"/>
  <c r="G152" i="107"/>
  <c r="G151" i="107"/>
  <c r="G150" i="107"/>
  <c r="G149" i="107"/>
  <c r="G148" i="107"/>
  <c r="G147" i="107"/>
  <c r="G146" i="107"/>
  <c r="G145" i="107"/>
  <c r="G144" i="107"/>
  <c r="G143" i="107"/>
  <c r="G142" i="107"/>
  <c r="G141" i="107"/>
  <c r="G140" i="107"/>
  <c r="G139" i="107"/>
  <c r="G138" i="107"/>
  <c r="F160" i="107"/>
  <c r="F159" i="107"/>
  <c r="F158" i="107"/>
  <c r="F157" i="107"/>
  <c r="F156" i="107"/>
  <c r="F155" i="107"/>
  <c r="F154" i="107"/>
  <c r="F153" i="107"/>
  <c r="F152" i="107"/>
  <c r="F151" i="107"/>
  <c r="F150" i="107"/>
  <c r="F149" i="107"/>
  <c r="F148" i="107"/>
  <c r="F147" i="107"/>
  <c r="F146" i="107"/>
  <c r="F145" i="107"/>
  <c r="F144" i="107"/>
  <c r="F143" i="107"/>
  <c r="F142" i="107"/>
  <c r="F141" i="107"/>
  <c r="F140" i="107"/>
  <c r="F139" i="107"/>
  <c r="F138" i="107"/>
  <c r="R67" i="107"/>
  <c r="P92" i="107"/>
  <c r="T92" i="107"/>
  <c r="V92" i="107"/>
  <c r="M67" i="107"/>
  <c r="T93" i="107"/>
  <c r="V93" i="107"/>
  <c r="T94" i="107"/>
  <c r="T66" i="107"/>
  <c r="V94" i="107"/>
  <c r="V66" i="107"/>
  <c r="V64" i="107" l="1"/>
  <c r="G162" i="107"/>
  <c r="G161" i="107"/>
  <c r="T64" i="107"/>
  <c r="F162" i="107"/>
  <c r="F161" i="107"/>
</calcChain>
</file>

<file path=xl/sharedStrings.xml><?xml version="1.0" encoding="utf-8"?>
<sst xmlns="http://schemas.openxmlformats.org/spreadsheetml/2006/main" count="143" uniqueCount="114">
  <si>
    <t>Q</t>
  </si>
  <si>
    <t>атм</t>
  </si>
  <si>
    <t>С</t>
  </si>
  <si>
    <t>%</t>
  </si>
  <si>
    <t>м</t>
  </si>
  <si>
    <t>мм</t>
  </si>
  <si>
    <t>м3/сут</t>
  </si>
  <si>
    <t xml:space="preserve">м </t>
  </si>
  <si>
    <t>Гц</t>
  </si>
  <si>
    <t>шт</t>
  </si>
  <si>
    <t>м3/сут/атм</t>
  </si>
  <si>
    <t>град/100 м</t>
  </si>
  <si>
    <t>N</t>
  </si>
  <si>
    <t>T</t>
  </si>
  <si>
    <t>H</t>
  </si>
  <si>
    <t>,</t>
  </si>
  <si>
    <t>Физико - химические свойства флюида</t>
  </si>
  <si>
    <t>Данные по скважине</t>
  </si>
  <si>
    <t>ЭЦН</t>
  </si>
  <si>
    <t>Ступени</t>
  </si>
  <si>
    <t>Пласт</t>
  </si>
  <si>
    <t>Общая сепарация</t>
  </si>
  <si>
    <t>Построить распределение давления в скважине при постоянном дебите</t>
  </si>
  <si>
    <t>Деградация</t>
  </si>
  <si>
    <t>Давление в НКТ сверху вниз</t>
  </si>
  <si>
    <t>Глубина установки насоса</t>
  </si>
  <si>
    <t>Ксепарации естественной</t>
  </si>
  <si>
    <t>Упражнение 1</t>
  </si>
  <si>
    <t>Упражнения по работе с макросами Unifloc VBA</t>
  </si>
  <si>
    <t>версия</t>
  </si>
  <si>
    <r>
      <t>γ</t>
    </r>
    <r>
      <rPr>
        <vertAlign val="subscript"/>
        <sz val="11"/>
        <color theme="1"/>
        <rFont val="Calibri"/>
        <family val="2"/>
        <charset val="204"/>
      </rPr>
      <t>o</t>
    </r>
  </si>
  <si>
    <r>
      <t>кг/м</t>
    </r>
    <r>
      <rPr>
        <vertAlign val="superscript"/>
        <sz val="11"/>
        <rFont val="Calibri"/>
        <family val="2"/>
        <charset val="204"/>
        <scheme val="minor"/>
      </rPr>
      <t>3</t>
    </r>
  </si>
  <si>
    <r>
      <t>γ</t>
    </r>
    <r>
      <rPr>
        <vertAlign val="subscript"/>
        <sz val="11"/>
        <color theme="1"/>
        <rFont val="Calibri"/>
        <family val="2"/>
        <charset val="204"/>
        <scheme val="minor"/>
      </rPr>
      <t>w</t>
    </r>
  </si>
  <si>
    <r>
      <t>γ</t>
    </r>
    <r>
      <rPr>
        <vertAlign val="subscript"/>
        <sz val="11"/>
        <color theme="1"/>
        <rFont val="Calibri"/>
        <family val="2"/>
        <charset val="204"/>
        <scheme val="minor"/>
      </rPr>
      <t>g</t>
    </r>
  </si>
  <si>
    <r>
      <t>R</t>
    </r>
    <r>
      <rPr>
        <vertAlign val="subscript"/>
        <sz val="11"/>
        <color theme="1"/>
        <rFont val="Calibri"/>
        <family val="2"/>
        <charset val="204"/>
        <scheme val="minor"/>
      </rPr>
      <t>sb</t>
    </r>
  </si>
  <si>
    <r>
      <t>м</t>
    </r>
    <r>
      <rPr>
        <vertAlign val="superscript"/>
        <sz val="11"/>
        <color theme="1"/>
        <rFont val="Calibri"/>
        <family val="2"/>
        <charset val="204"/>
        <scheme val="minor"/>
      </rPr>
      <t>3</t>
    </r>
    <r>
      <rPr>
        <sz val="10"/>
        <rFont val="Arial Cyr"/>
        <charset val="204"/>
      </rPr>
      <t>/м</t>
    </r>
    <r>
      <rPr>
        <vertAlign val="superscript"/>
        <sz val="11"/>
        <color theme="1"/>
        <rFont val="Calibri"/>
        <family val="2"/>
        <charset val="204"/>
        <scheme val="minor"/>
      </rPr>
      <t>3</t>
    </r>
  </si>
  <si>
    <r>
      <t>м</t>
    </r>
    <r>
      <rPr>
        <vertAlign val="superscript"/>
        <sz val="11"/>
        <rFont val="Calibri"/>
        <family val="2"/>
        <charset val="204"/>
        <scheme val="minor"/>
      </rPr>
      <t>3</t>
    </r>
    <r>
      <rPr>
        <sz val="10"/>
        <rFont val="Arial Cyr"/>
        <charset val="204"/>
      </rPr>
      <t>/т</t>
    </r>
  </si>
  <si>
    <r>
      <t>R</t>
    </r>
    <r>
      <rPr>
        <vertAlign val="subscript"/>
        <sz val="11"/>
        <color theme="1"/>
        <rFont val="Calibri"/>
        <family val="2"/>
        <charset val="204"/>
        <scheme val="minor"/>
      </rPr>
      <t>p</t>
    </r>
  </si>
  <si>
    <r>
      <t>P</t>
    </r>
    <r>
      <rPr>
        <vertAlign val="subscript"/>
        <sz val="11"/>
        <color theme="1"/>
        <rFont val="Calibri"/>
        <family val="2"/>
        <charset val="204"/>
        <scheme val="minor"/>
      </rPr>
      <t>b cal</t>
    </r>
  </si>
  <si>
    <t>атмa</t>
  </si>
  <si>
    <t>МПа</t>
  </si>
  <si>
    <r>
      <t>T</t>
    </r>
    <r>
      <rPr>
        <vertAlign val="subscript"/>
        <sz val="11"/>
        <color theme="1"/>
        <rFont val="Calibri"/>
        <family val="2"/>
        <charset val="204"/>
        <scheme val="minor"/>
      </rPr>
      <t>res</t>
    </r>
  </si>
  <si>
    <t>Ф</t>
  </si>
  <si>
    <r>
      <t>B</t>
    </r>
    <r>
      <rPr>
        <vertAlign val="subscript"/>
        <sz val="11"/>
        <color theme="1"/>
        <rFont val="Calibri"/>
        <family val="2"/>
        <charset val="204"/>
        <scheme val="minor"/>
      </rPr>
      <t>ob cal</t>
    </r>
  </si>
  <si>
    <r>
      <t>H</t>
    </r>
    <r>
      <rPr>
        <vertAlign val="subscript"/>
        <sz val="10"/>
        <rFont val="Arial Cyr"/>
        <charset val="204"/>
      </rPr>
      <t>mes</t>
    </r>
  </si>
  <si>
    <r>
      <t>H</t>
    </r>
    <r>
      <rPr>
        <vertAlign val="subscript"/>
        <sz val="10"/>
        <rFont val="Arial Cyr"/>
        <charset val="204"/>
      </rPr>
      <t>mes</t>
    </r>
    <r>
      <rPr>
        <sz val="10"/>
        <rFont val="Arial Cyr"/>
        <charset val="204"/>
      </rPr>
      <t>-H</t>
    </r>
    <r>
      <rPr>
        <vertAlign val="subscript"/>
        <sz val="10"/>
        <rFont val="Arial Cyr"/>
        <charset val="204"/>
      </rPr>
      <t>vert</t>
    </r>
  </si>
  <si>
    <r>
      <t>H</t>
    </r>
    <r>
      <rPr>
        <vertAlign val="subscript"/>
        <sz val="10"/>
        <rFont val="Arial Cyr"/>
        <charset val="204"/>
      </rPr>
      <t>pump</t>
    </r>
  </si>
  <si>
    <r>
      <t>ID</t>
    </r>
    <r>
      <rPr>
        <vertAlign val="subscript"/>
        <sz val="10"/>
        <rFont val="Arial Cyr"/>
        <charset val="204"/>
      </rPr>
      <t>cas</t>
    </r>
  </si>
  <si>
    <r>
      <t>OD</t>
    </r>
    <r>
      <rPr>
        <vertAlign val="subscript"/>
        <sz val="10"/>
        <rFont val="Arial Cyr"/>
        <charset val="204"/>
      </rPr>
      <t>tub</t>
    </r>
  </si>
  <si>
    <r>
      <t>ID</t>
    </r>
    <r>
      <rPr>
        <vertAlign val="subscript"/>
        <sz val="10"/>
        <rFont val="Arial Cyr"/>
        <charset val="204"/>
      </rPr>
      <t>tub</t>
    </r>
  </si>
  <si>
    <r>
      <t>D</t>
    </r>
    <r>
      <rPr>
        <vertAlign val="subscript"/>
        <sz val="10"/>
        <rFont val="Arial Cyr"/>
        <charset val="204"/>
      </rPr>
      <t>intake</t>
    </r>
  </si>
  <si>
    <r>
      <t>P</t>
    </r>
    <r>
      <rPr>
        <vertAlign val="subscript"/>
        <sz val="10"/>
        <rFont val="Arial Cyr"/>
        <charset val="204"/>
      </rPr>
      <t>buf</t>
    </r>
  </si>
  <si>
    <r>
      <t>P</t>
    </r>
    <r>
      <rPr>
        <vertAlign val="subscript"/>
        <sz val="10"/>
        <rFont val="Arial Cyr"/>
        <charset val="204"/>
      </rPr>
      <t>intake</t>
    </r>
  </si>
  <si>
    <r>
      <t>T</t>
    </r>
    <r>
      <rPr>
        <vertAlign val="subscript"/>
        <sz val="10"/>
        <rFont val="Arial Cyr"/>
        <charset val="204"/>
      </rPr>
      <t>intake</t>
    </r>
  </si>
  <si>
    <r>
      <t>P</t>
    </r>
    <r>
      <rPr>
        <vertAlign val="subscript"/>
        <sz val="10"/>
        <rFont val="Arial Cyr"/>
        <charset val="204"/>
      </rPr>
      <t>dis</t>
    </r>
  </si>
  <si>
    <r>
      <t>P</t>
    </r>
    <r>
      <rPr>
        <vertAlign val="subscript"/>
        <sz val="10"/>
        <rFont val="Arial Cyr"/>
        <charset val="204"/>
      </rPr>
      <t>wf</t>
    </r>
  </si>
  <si>
    <r>
      <t>Q</t>
    </r>
    <r>
      <rPr>
        <vertAlign val="subscript"/>
        <sz val="10"/>
        <rFont val="Arial Cyr"/>
        <charset val="204"/>
      </rPr>
      <t>liq</t>
    </r>
  </si>
  <si>
    <r>
      <t>f</t>
    </r>
    <r>
      <rPr>
        <vertAlign val="subscript"/>
        <sz val="10"/>
        <rFont val="Arial Cyr"/>
        <charset val="204"/>
      </rPr>
      <t>w</t>
    </r>
  </si>
  <si>
    <r>
      <t>ЭЦН Q</t>
    </r>
    <r>
      <rPr>
        <vertAlign val="subscript"/>
        <sz val="10"/>
        <rFont val="Arial Cyr"/>
        <charset val="204"/>
      </rPr>
      <t>nom</t>
    </r>
  </si>
  <si>
    <r>
      <t>ЭЦН H</t>
    </r>
    <r>
      <rPr>
        <vertAlign val="subscript"/>
        <sz val="10"/>
        <rFont val="Arial Cyr"/>
        <charset val="204"/>
      </rPr>
      <t>nom</t>
    </r>
  </si>
  <si>
    <t>F</t>
  </si>
  <si>
    <t>ЭЦН ID</t>
  </si>
  <si>
    <t>ЭЦН имя</t>
  </si>
  <si>
    <r>
      <t>ЭЦН Q</t>
    </r>
    <r>
      <rPr>
        <vertAlign val="subscript"/>
        <sz val="10"/>
        <rFont val="Arial Cyr"/>
        <charset val="204"/>
      </rPr>
      <t>max</t>
    </r>
  </si>
  <si>
    <t>ЭЦН строка</t>
  </si>
  <si>
    <r>
      <t>K</t>
    </r>
    <r>
      <rPr>
        <vertAlign val="subscript"/>
        <sz val="10"/>
        <rFont val="Arial Cyr"/>
        <charset val="204"/>
      </rPr>
      <t>sep гс</t>
    </r>
  </si>
  <si>
    <r>
      <t>P</t>
    </r>
    <r>
      <rPr>
        <vertAlign val="subscript"/>
        <sz val="10"/>
        <rFont val="Arial Cyr"/>
        <charset val="204"/>
      </rPr>
      <t>sep</t>
    </r>
  </si>
  <si>
    <r>
      <t>T</t>
    </r>
    <r>
      <rPr>
        <vertAlign val="subscript"/>
        <sz val="10"/>
        <rFont val="Arial Cyr"/>
        <charset val="204"/>
      </rPr>
      <t>sep</t>
    </r>
  </si>
  <si>
    <r>
      <t>P</t>
    </r>
    <r>
      <rPr>
        <vertAlign val="subscript"/>
        <sz val="10"/>
        <rFont val="Arial Cyr"/>
        <charset val="204"/>
      </rPr>
      <t>res</t>
    </r>
  </si>
  <si>
    <t>PI</t>
  </si>
  <si>
    <t>dT/dL</t>
  </si>
  <si>
    <t>Muob cal</t>
  </si>
  <si>
    <t>сПуаз</t>
  </si>
  <si>
    <t>θ</t>
  </si>
  <si>
    <t>°</t>
  </si>
  <si>
    <r>
      <t>Q</t>
    </r>
    <r>
      <rPr>
        <vertAlign val="subscript"/>
        <sz val="10"/>
        <rFont val="Arial Cyr"/>
        <charset val="204"/>
      </rPr>
      <t>liq annular</t>
    </r>
  </si>
  <si>
    <t>d_annular</t>
  </si>
  <si>
    <t>Давление в затрубе сверху вниз</t>
  </si>
  <si>
    <t>Давление в затрубе снизу вверх</t>
  </si>
  <si>
    <t>Давление в НКТ снизу вверх</t>
  </si>
  <si>
    <t>dP ESP по потоку</t>
  </si>
  <si>
    <t>dP ESP по напорной характеристике</t>
  </si>
  <si>
    <t>Qtotal</t>
  </si>
  <si>
    <t>Коэффициент деления жидкости - доля в НКТ</t>
  </si>
  <si>
    <r>
      <t>H</t>
    </r>
    <r>
      <rPr>
        <vertAlign val="subscript"/>
        <sz val="10"/>
        <rFont val="Arial Cyr"/>
        <charset val="204"/>
      </rPr>
      <t>mes</t>
    </r>
    <r>
      <rPr>
        <sz val="10"/>
        <rFont val="Arial Cyr"/>
        <charset val="204"/>
      </rPr>
      <t>-Hpump</t>
    </r>
  </si>
  <si>
    <t>Pannular</t>
  </si>
  <si>
    <t>Доля газа в НКТ</t>
  </si>
  <si>
    <t>Доля газа в затрубе</t>
  </si>
  <si>
    <t>Доля газа до приема</t>
  </si>
  <si>
    <t>PVT строка НКТ</t>
  </si>
  <si>
    <t>P снизу вверх в ОК</t>
  </si>
  <si>
    <t>Ошибка Pбуф</t>
  </si>
  <si>
    <t>Ошибка Pзатр</t>
  </si>
  <si>
    <t>Работа насоса в режиме фонтанирования через затруб при работающем насосе</t>
  </si>
  <si>
    <t>Pwf</t>
  </si>
  <si>
    <t>Qmax</t>
  </si>
  <si>
    <t>PVT строка затруб</t>
  </si>
  <si>
    <t>Дебит в затрубе прогнозный</t>
  </si>
  <si>
    <t>Дебит в затрубе по IPR</t>
  </si>
  <si>
    <t>Ошибка</t>
  </si>
  <si>
    <t>Диаметр НКТ</t>
  </si>
  <si>
    <t>Дебит в НКТ прогнозный</t>
  </si>
  <si>
    <t>Дебит в НКТ по IPR</t>
  </si>
  <si>
    <t>Давление в ОК сверху вниз</t>
  </si>
  <si>
    <t>Фонтан через затруб при закрытой НКТ</t>
  </si>
  <si>
    <t>Фонтан через НКТ при закрытом затрубе</t>
  </si>
  <si>
    <t>Результаты крд</t>
  </si>
  <si>
    <t>P</t>
  </si>
  <si>
    <t>All annulus</t>
  </si>
  <si>
    <t>All tube</t>
  </si>
  <si>
    <t>Анализ работы скважины, оснащенной ЭЦН, фонтанирующей через затруб</t>
  </si>
  <si>
    <t>Индикаторная диаграмма данной скважины</t>
  </si>
  <si>
    <t>Текущий режим работы (НКТ)</t>
  </si>
  <si>
    <t>Текущий режим работы (ОК)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</si>
</sst>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0"/>
      <name val="Arial Cyr"/>
      <charset val="204"/>
    </font>
    <font>
      <sz val="11"/>
      <color theme="1"/>
      <name val="Calibri"/>
      <family val="2"/>
      <charset val="204"/>
      <scheme val="minor"/>
    </font>
    <font>
      <sz val="11"/>
      <color theme="1"/>
      <name val="Calibri"/>
      <family val="2"/>
      <charset val="204"/>
      <scheme val="minor"/>
    </font>
    <font>
      <sz val="10"/>
      <name val="Times New Roman Cyr"/>
      <charset val="204"/>
    </font>
    <font>
      <sz val="11"/>
      <color theme="1"/>
      <name val="Calibri"/>
      <family val="2"/>
      <scheme val="minor"/>
    </font>
    <font>
      <b/>
      <sz val="10"/>
      <name val="Arial Cyr"/>
      <charset val="204"/>
    </font>
    <font>
      <sz val="10"/>
      <name val="Arial Cyr"/>
      <charset val="204"/>
    </font>
    <font>
      <sz val="10"/>
      <color rgb="FFFF0000"/>
      <name val="Arial Cyr"/>
      <charset val="204"/>
    </font>
    <font>
      <sz val="11"/>
      <color theme="1"/>
      <name val="Calibri"/>
      <family val="2"/>
      <charset val="204"/>
    </font>
    <font>
      <vertAlign val="subscript"/>
      <sz val="11"/>
      <color theme="1"/>
      <name val="Calibri"/>
      <family val="2"/>
      <charset val="204"/>
    </font>
    <font>
      <vertAlign val="superscript"/>
      <sz val="11"/>
      <name val="Calibri"/>
      <family val="2"/>
      <charset val="204"/>
      <scheme val="minor"/>
    </font>
    <font>
      <vertAlign val="subscript"/>
      <sz val="11"/>
      <color theme="1"/>
      <name val="Calibri"/>
      <family val="2"/>
      <charset val="204"/>
      <scheme val="minor"/>
    </font>
    <font>
      <vertAlign val="superscript"/>
      <sz val="11"/>
      <color theme="1"/>
      <name val="Calibri"/>
      <family val="2"/>
      <charset val="204"/>
      <scheme val="minor"/>
    </font>
    <font>
      <vertAlign val="subscript"/>
      <sz val="10"/>
      <name val="Arial Cyr"/>
      <charset val="204"/>
    </font>
    <font>
      <b/>
      <sz val="12"/>
      <name val="Arial Cyr"/>
      <charset val="204"/>
    </font>
  </fonts>
  <fills count="10">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rgb="FFFFFF00"/>
        <bgColor indexed="64"/>
      </patternFill>
    </fill>
    <fill>
      <patternFill patternType="solid">
        <fgColor rgb="FF92D050"/>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3" fillId="0" borderId="1"/>
    <xf numFmtId="0" fontId="4" fillId="0" borderId="0"/>
    <xf numFmtId="0" fontId="2" fillId="0" borderId="0"/>
    <xf numFmtId="0" fontId="1" fillId="0" borderId="0"/>
    <xf numFmtId="9" fontId="6" fillId="0" borderId="0" applyFont="0" applyFill="0" applyBorder="0" applyAlignment="0" applyProtection="0"/>
  </cellStyleXfs>
  <cellXfs count="71">
    <xf numFmtId="0" fontId="0" fillId="0" borderId="0" xfId="0"/>
    <xf numFmtId="0" fontId="5" fillId="0" borderId="0" xfId="0" applyFont="1"/>
    <xf numFmtId="0" fontId="0" fillId="2" borderId="2" xfId="0" applyFill="1" applyBorder="1" applyAlignment="1">
      <alignment horizontal="center"/>
    </xf>
    <xf numFmtId="0" fontId="0" fillId="0" borderId="0" xfId="0" applyAlignment="1">
      <alignment wrapText="1"/>
    </xf>
    <xf numFmtId="0" fontId="0" fillId="0" borderId="0" xfId="0" applyAlignment="1">
      <alignment horizontal="center"/>
    </xf>
    <xf numFmtId="9" fontId="0" fillId="2" borderId="2" xfId="0" applyNumberFormat="1" applyFill="1" applyBorder="1" applyAlignment="1">
      <alignment horizontal="center"/>
    </xf>
    <xf numFmtId="2" fontId="0" fillId="0" borderId="0" xfId="0" applyNumberFormat="1" applyAlignment="1">
      <alignment horizontal="center"/>
    </xf>
    <xf numFmtId="0" fontId="0" fillId="0" borderId="0" xfId="0" quotePrefix="1"/>
    <xf numFmtId="2" fontId="0" fillId="2" borderId="2" xfId="0" applyNumberFormat="1" applyFill="1" applyBorder="1" applyAlignment="1">
      <alignment horizontal="center"/>
    </xf>
    <xf numFmtId="0" fontId="5" fillId="0" borderId="0" xfId="0" applyFont="1" applyAlignment="1">
      <alignment horizontal="center"/>
    </xf>
    <xf numFmtId="0" fontId="5" fillId="0" borderId="0" xfId="0" applyFont="1" applyAlignment="1">
      <alignment horizontal="center" wrapText="1"/>
    </xf>
    <xf numFmtId="0" fontId="8" fillId="3" borderId="2" xfId="0" applyFont="1" applyFill="1" applyBorder="1" applyAlignment="1">
      <alignment horizontal="center"/>
    </xf>
    <xf numFmtId="0" fontId="0" fillId="5" borderId="2" xfId="0" applyFill="1" applyBorder="1" applyAlignment="1">
      <alignment horizontal="center"/>
    </xf>
    <xf numFmtId="0" fontId="0" fillId="4" borderId="2" xfId="0" applyFill="1" applyBorder="1" applyAlignment="1">
      <alignment horizontal="center"/>
    </xf>
    <xf numFmtId="0" fontId="0" fillId="3" borderId="2" xfId="0" applyFill="1" applyBorder="1" applyAlignment="1">
      <alignment horizontal="center"/>
    </xf>
    <xf numFmtId="0" fontId="0" fillId="3" borderId="2" xfId="0" applyFill="1" applyBorder="1" applyAlignment="1">
      <alignment horizontal="center" wrapText="1"/>
    </xf>
    <xf numFmtId="1" fontId="0" fillId="4" borderId="2" xfId="0" applyNumberFormat="1" applyFill="1" applyBorder="1" applyAlignment="1">
      <alignment horizontal="center"/>
    </xf>
    <xf numFmtId="0" fontId="0" fillId="6" borderId="2" xfId="0" applyFill="1" applyBorder="1" applyAlignment="1">
      <alignment horizontal="center" wrapText="1"/>
    </xf>
    <xf numFmtId="0" fontId="0" fillId="6" borderId="2" xfId="0" applyFill="1" applyBorder="1" applyAlignment="1">
      <alignment horizontal="center"/>
    </xf>
    <xf numFmtId="0" fontId="0" fillId="6" borderId="2" xfId="0" applyFill="1" applyBorder="1"/>
    <xf numFmtId="0" fontId="0" fillId="4" borderId="2" xfId="0" applyFill="1" applyBorder="1"/>
    <xf numFmtId="2" fontId="0" fillId="4" borderId="2" xfId="0" applyNumberFormat="1" applyFill="1" applyBorder="1" applyAlignment="1">
      <alignment horizontal="center"/>
    </xf>
    <xf numFmtId="0" fontId="11" fillId="3" borderId="2" xfId="0" applyFont="1" applyFill="1" applyBorder="1" applyAlignment="1">
      <alignment horizontal="center" wrapText="1"/>
    </xf>
    <xf numFmtId="0" fontId="0" fillId="0" borderId="0" xfId="0" applyFill="1" applyBorder="1" applyAlignment="1">
      <alignment horizontal="center"/>
    </xf>
    <xf numFmtId="0" fontId="8" fillId="3" borderId="2" xfId="0" applyFont="1" applyFill="1" applyBorder="1" applyAlignment="1">
      <alignment horizontal="center" wrapText="1"/>
    </xf>
    <xf numFmtId="0" fontId="5" fillId="7" borderId="2" xfId="0" applyFont="1" applyFill="1" applyBorder="1" applyAlignment="1">
      <alignment horizontal="center" vertical="center" wrapText="1"/>
    </xf>
    <xf numFmtId="0" fontId="5" fillId="6" borderId="2" xfId="0" applyFont="1" applyFill="1" applyBorder="1" applyAlignment="1">
      <alignment horizontal="center" vertical="center"/>
    </xf>
    <xf numFmtId="0" fontId="0" fillId="6" borderId="2" xfId="0" applyFill="1" applyBorder="1" applyAlignment="1">
      <alignment horizontal="center" vertical="center"/>
    </xf>
    <xf numFmtId="0" fontId="0" fillId="8" borderId="2" xfId="0" applyFill="1" applyBorder="1" applyAlignment="1">
      <alignment horizontal="center"/>
    </xf>
    <xf numFmtId="2" fontId="0" fillId="4" borderId="3" xfId="0" applyNumberFormat="1" applyFill="1" applyBorder="1" applyAlignment="1">
      <alignment horizontal="center"/>
    </xf>
    <xf numFmtId="0" fontId="5" fillId="7" borderId="4" xfId="0" applyFont="1" applyFill="1" applyBorder="1" applyAlignment="1">
      <alignment horizontal="center" vertical="center" wrapText="1"/>
    </xf>
    <xf numFmtId="9" fontId="0" fillId="4" borderId="4" xfId="5" applyFont="1" applyFill="1" applyBorder="1" applyAlignment="1">
      <alignment horizontal="center"/>
    </xf>
    <xf numFmtId="0" fontId="5" fillId="7" borderId="5" xfId="0" applyFont="1" applyFill="1" applyBorder="1" applyAlignment="1">
      <alignment horizontal="center" vertical="center" wrapText="1"/>
    </xf>
    <xf numFmtId="2" fontId="0" fillId="8" borderId="2" xfId="0" applyNumberFormat="1" applyFont="1" applyFill="1" applyBorder="1" applyAlignment="1">
      <alignment horizontal="center"/>
    </xf>
    <xf numFmtId="2" fontId="0" fillId="8" borderId="2" xfId="0" applyNumberFormat="1" applyFill="1" applyBorder="1" applyAlignment="1">
      <alignment horizontal="center"/>
    </xf>
    <xf numFmtId="164" fontId="0" fillId="2" borderId="2" xfId="0" applyNumberFormat="1" applyFill="1" applyBorder="1" applyAlignment="1">
      <alignment horizontal="center"/>
    </xf>
    <xf numFmtId="2" fontId="7" fillId="2" borderId="2" xfId="0" applyNumberFormat="1" applyFont="1" applyFill="1" applyBorder="1" applyAlignment="1">
      <alignment horizontal="center"/>
    </xf>
    <xf numFmtId="0" fontId="7" fillId="0" borderId="0" xfId="0" applyFont="1" applyFill="1" applyBorder="1" applyAlignment="1">
      <alignment horizontal="center"/>
    </xf>
    <xf numFmtId="9" fontId="0" fillId="0" borderId="0" xfId="5" applyFont="1"/>
    <xf numFmtId="9" fontId="0" fillId="4" borderId="4" xfId="5" applyFont="1" applyFill="1" applyBorder="1"/>
    <xf numFmtId="9" fontId="0" fillId="0" borderId="0" xfId="5" applyFont="1" applyFill="1" applyBorder="1" applyAlignment="1">
      <alignment horizontal="center"/>
    </xf>
    <xf numFmtId="9" fontId="0" fillId="4" borderId="2" xfId="5" applyFont="1" applyFill="1" applyBorder="1"/>
    <xf numFmtId="9" fontId="0" fillId="4" borderId="2" xfId="5" applyFont="1" applyFill="1" applyBorder="1" applyAlignment="1">
      <alignment horizontal="center"/>
    </xf>
    <xf numFmtId="2" fontId="0" fillId="4" borderId="2" xfId="0" applyNumberFormat="1" applyFill="1" applyBorder="1"/>
    <xf numFmtId="2" fontId="0" fillId="4" borderId="4" xfId="0" applyNumberFormat="1" applyFill="1" applyBorder="1"/>
    <xf numFmtId="0" fontId="5" fillId="5" borderId="2" xfId="0" applyFont="1" applyFill="1" applyBorder="1"/>
    <xf numFmtId="0" fontId="5" fillId="5" borderId="2" xfId="0" applyFont="1" applyFill="1" applyBorder="1" applyAlignment="1">
      <alignment horizontal="center" vertical="center" wrapText="1"/>
    </xf>
    <xf numFmtId="0" fontId="0" fillId="8" borderId="3" xfId="0" applyFill="1" applyBorder="1"/>
    <xf numFmtId="0" fontId="5" fillId="5" borderId="3" xfId="0" applyFont="1" applyFill="1" applyBorder="1"/>
    <xf numFmtId="9" fontId="0" fillId="4" borderId="3" xfId="5" applyFont="1" applyFill="1" applyBorder="1" applyAlignment="1">
      <alignment horizontal="center"/>
    </xf>
    <xf numFmtId="0" fontId="5" fillId="7" borderId="2" xfId="0" applyFont="1" applyFill="1" applyBorder="1" applyAlignment="1">
      <alignment horizontal="center"/>
    </xf>
    <xf numFmtId="0" fontId="0" fillId="3" borderId="2" xfId="0" applyFill="1" applyBorder="1"/>
    <xf numFmtId="1" fontId="0" fillId="2" borderId="2" xfId="0" applyNumberFormat="1" applyFill="1" applyBorder="1" applyAlignment="1">
      <alignment horizontal="center" vertical="center"/>
    </xf>
    <xf numFmtId="0" fontId="0" fillId="0" borderId="0" xfId="0" applyFill="1" applyBorder="1"/>
    <xf numFmtId="0" fontId="5" fillId="0" borderId="0" xfId="0" applyFont="1" applyFill="1" applyBorder="1" applyAlignment="1">
      <alignment horizontal="center" wrapText="1"/>
    </xf>
    <xf numFmtId="2" fontId="0" fillId="0" borderId="0" xfId="0" applyNumberFormat="1" applyFill="1" applyBorder="1" applyAlignment="1">
      <alignment horizontal="center"/>
    </xf>
    <xf numFmtId="2" fontId="0" fillId="0" borderId="0" xfId="0" applyNumberFormat="1" applyFill="1" applyBorder="1" applyAlignment="1">
      <alignment horizontal="center" vertical="center"/>
    </xf>
    <xf numFmtId="0" fontId="0" fillId="7" borderId="2" xfId="0" applyFill="1" applyBorder="1"/>
    <xf numFmtId="2" fontId="0" fillId="0" borderId="0" xfId="0" applyNumberFormat="1"/>
    <xf numFmtId="2" fontId="0" fillId="4" borderId="4" xfId="0" applyNumberFormat="1" applyFill="1" applyBorder="1" applyAlignment="1">
      <alignment horizontal="center"/>
    </xf>
    <xf numFmtId="164" fontId="0" fillId="4" borderId="2" xfId="0" applyNumberFormat="1" applyFill="1" applyBorder="1"/>
    <xf numFmtId="0" fontId="0" fillId="8" borderId="2" xfId="0" applyFill="1" applyBorder="1"/>
    <xf numFmtId="9" fontId="0" fillId="9" borderId="2" xfId="5" applyFont="1" applyFill="1" applyBorder="1"/>
    <xf numFmtId="0" fontId="5" fillId="0" borderId="0" xfId="0" applyFont="1" applyFill="1" applyBorder="1" applyAlignment="1"/>
    <xf numFmtId="0" fontId="0" fillId="0" borderId="0" xfId="0" applyFill="1"/>
    <xf numFmtId="0" fontId="14" fillId="0" borderId="0" xfId="0" applyFont="1"/>
    <xf numFmtId="0" fontId="0" fillId="4" borderId="2" xfId="0" applyFill="1" applyBorder="1" applyAlignment="1">
      <alignment horizontal="center"/>
    </xf>
    <xf numFmtId="0" fontId="0" fillId="6" borderId="2" xfId="0" applyFill="1" applyBorder="1" applyAlignment="1">
      <alignment horizontal="center"/>
    </xf>
    <xf numFmtId="0" fontId="0" fillId="7" borderId="2" xfId="0" applyFill="1" applyBorder="1" applyAlignment="1">
      <alignment horizontal="center"/>
    </xf>
    <xf numFmtId="0" fontId="0" fillId="7" borderId="2" xfId="0" applyFill="1" applyBorder="1" applyAlignment="1">
      <alignment horizontal="center"/>
    </xf>
    <xf numFmtId="2" fontId="0" fillId="7" borderId="2" xfId="0" applyNumberFormat="1" applyFill="1" applyBorder="1"/>
  </cellXfs>
  <cellStyles count="6">
    <cellStyle name="Iau?iue_AA_1" xfId="1" xr:uid="{00000000-0005-0000-0000-000000000000}"/>
    <cellStyle name="Обычный" xfId="0" builtinId="0"/>
    <cellStyle name="Обычный 2" xfId="2" xr:uid="{00000000-0005-0000-0000-000003000000}"/>
    <cellStyle name="Обычный 3" xfId="3" xr:uid="{00000000-0005-0000-0000-000004000000}"/>
    <cellStyle name="Обычный 3 2" xfId="4" xr:uid="{00000000-0005-0000-0000-000005000000}"/>
    <cellStyle name="Процентный" xfId="5" builtinId="5"/>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Распределение</a:t>
            </a:r>
            <a:r>
              <a:rPr lang="ru-RU" baseline="0"/>
              <a:t> давления в скважине</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1"/>
          <c:order val="0"/>
          <c:tx>
            <c:strRef>
              <c:f>well!$F$68</c:f>
              <c:strCache>
                <c:ptCount val="1"/>
                <c:pt idx="0">
                  <c:v>P снизу вверх в ОК</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well!$F$69:$F$94</c:f>
              <c:numCache>
                <c:formatCode>0.00</c:formatCode>
                <c:ptCount val="26"/>
                <c:pt idx="0">
                  <c:v>5.3393064593970516</c:v>
                </c:pt>
                <c:pt idx="1">
                  <c:v>6.7392983362957732</c:v>
                </c:pt>
                <c:pt idx="2">
                  <c:v>8.2967272134675056</c:v>
                </c:pt>
                <c:pt idx="3">
                  <c:v>10.000688670184021</c:v>
                </c:pt>
                <c:pt idx="4">
                  <c:v>11.858509525145102</c:v>
                </c:pt>
                <c:pt idx="5">
                  <c:v>13.874767871831436</c:v>
                </c:pt>
                <c:pt idx="6">
                  <c:v>16.054334115455038</c:v>
                </c:pt>
                <c:pt idx="7">
                  <c:v>18.470435847449501</c:v>
                </c:pt>
                <c:pt idx="8">
                  <c:v>21.161528069203303</c:v>
                </c:pt>
                <c:pt idx="9">
                  <c:v>24.135391640418938</c:v>
                </c:pt>
                <c:pt idx="10">
                  <c:v>27.362480283859647</c:v>
                </c:pt>
                <c:pt idx="11">
                  <c:v>30.858093804742449</c:v>
                </c:pt>
                <c:pt idx="12">
                  <c:v>34.619582448018207</c:v>
                </c:pt>
                <c:pt idx="13">
                  <c:v>38.642739291082137</c:v>
                </c:pt>
                <c:pt idx="14">
                  <c:v>42.921807164085216</c:v>
                </c:pt>
                <c:pt idx="15">
                  <c:v>47.449619934817932</c:v>
                </c:pt>
                <c:pt idx="16">
                  <c:v>52.217777228711363</c:v>
                </c:pt>
                <c:pt idx="17">
                  <c:v>57.216790638228431</c:v>
                </c:pt>
                <c:pt idx="18">
                  <c:v>62.426743948314126</c:v>
                </c:pt>
                <c:pt idx="19">
                  <c:v>67.765000365817315</c:v>
                </c:pt>
                <c:pt idx="20">
                  <c:v>73.203339539897954</c:v>
                </c:pt>
                <c:pt idx="21">
                  <c:v>78.730374698994282</c:v>
                </c:pt>
                <c:pt idx="22">
                  <c:v>84.336365735828949</c:v>
                </c:pt>
                <c:pt idx="23">
                  <c:v>90.012947835693382</c:v>
                </c:pt>
                <c:pt idx="24">
                  <c:v>95.752907921750307</c:v>
                </c:pt>
                <c:pt idx="25" formatCode="General">
                  <c:v>101.55</c:v>
                </c:pt>
              </c:numCache>
            </c:numRef>
          </c:xVal>
          <c:yVal>
            <c:numRef>
              <c:f>well!$C$69:$C$94</c:f>
              <c:numCache>
                <c:formatCode>General</c:formatCode>
                <c:ptCount val="26"/>
                <c:pt idx="0">
                  <c:v>0</c:v>
                </c:pt>
                <c:pt idx="1">
                  <c:v>75.52</c:v>
                </c:pt>
                <c:pt idx="2">
                  <c:v>151.04</c:v>
                </c:pt>
                <c:pt idx="3">
                  <c:v>226.56</c:v>
                </c:pt>
                <c:pt idx="4">
                  <c:v>302.08</c:v>
                </c:pt>
                <c:pt idx="5">
                  <c:v>377.59999999999997</c:v>
                </c:pt>
                <c:pt idx="6">
                  <c:v>453.11999999999995</c:v>
                </c:pt>
                <c:pt idx="7">
                  <c:v>528.64</c:v>
                </c:pt>
                <c:pt idx="8">
                  <c:v>604.16</c:v>
                </c:pt>
                <c:pt idx="9">
                  <c:v>679.68</c:v>
                </c:pt>
                <c:pt idx="10">
                  <c:v>755.19999999999993</c:v>
                </c:pt>
                <c:pt idx="11">
                  <c:v>830.71999999999991</c:v>
                </c:pt>
                <c:pt idx="12">
                  <c:v>906.2399999999999</c:v>
                </c:pt>
                <c:pt idx="13">
                  <c:v>981.75999999999988</c:v>
                </c:pt>
                <c:pt idx="14">
                  <c:v>1057.28</c:v>
                </c:pt>
                <c:pt idx="15">
                  <c:v>1132.8</c:v>
                </c:pt>
                <c:pt idx="16">
                  <c:v>1208.32</c:v>
                </c:pt>
                <c:pt idx="17">
                  <c:v>1283.8399999999999</c:v>
                </c:pt>
                <c:pt idx="18">
                  <c:v>1359.36</c:v>
                </c:pt>
                <c:pt idx="19">
                  <c:v>1434.8799999999999</c:v>
                </c:pt>
                <c:pt idx="20">
                  <c:v>1510.3999999999999</c:v>
                </c:pt>
                <c:pt idx="21">
                  <c:v>1585.9199999999998</c:v>
                </c:pt>
                <c:pt idx="22">
                  <c:v>1661.4399999999998</c:v>
                </c:pt>
                <c:pt idx="23">
                  <c:v>1736.9599999999998</c:v>
                </c:pt>
                <c:pt idx="24">
                  <c:v>1812.4799999999998</c:v>
                </c:pt>
                <c:pt idx="25">
                  <c:v>1887.9999999999998</c:v>
                </c:pt>
              </c:numCache>
            </c:numRef>
          </c:yVal>
          <c:smooth val="0"/>
          <c:extLst>
            <c:ext xmlns:c16="http://schemas.microsoft.com/office/drawing/2014/chart" uri="{C3380CC4-5D6E-409C-BE32-E72D297353CC}">
              <c16:uniqueId val="{00000000-40B3-4480-B619-5B823188098A}"/>
            </c:ext>
          </c:extLst>
        </c:ser>
        <c:ser>
          <c:idx val="0"/>
          <c:order val="1"/>
          <c:tx>
            <c:strRef>
              <c:f>well!$Q$68</c:f>
              <c:strCache>
                <c:ptCount val="1"/>
                <c:pt idx="0">
                  <c:v>Давление в затрубе снизу вверх</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well!$Q$69:$Q$92</c:f>
              <c:numCache>
                <c:formatCode>0.00</c:formatCode>
                <c:ptCount val="24"/>
                <c:pt idx="0">
                  <c:v>52.65737430622481</c:v>
                </c:pt>
                <c:pt idx="1">
                  <c:v>54.114873109414077</c:v>
                </c:pt>
                <c:pt idx="2">
                  <c:v>55.585072142926819</c:v>
                </c:pt>
                <c:pt idx="3">
                  <c:v>57.06933968016191</c:v>
                </c:pt>
                <c:pt idx="4">
                  <c:v>58.568492791918572</c:v>
                </c:pt>
                <c:pt idx="5">
                  <c:v>60.083028961936847</c:v>
                </c:pt>
                <c:pt idx="6">
                  <c:v>61.613248042741503</c:v>
                </c:pt>
                <c:pt idx="7">
                  <c:v>63.159321140728018</c:v>
                </c:pt>
                <c:pt idx="8">
                  <c:v>64.721331755278115</c:v>
                </c:pt>
                <c:pt idx="9">
                  <c:v>66.299301487217193</c:v>
                </c:pt>
                <c:pt idx="10">
                  <c:v>67.893206721573932</c:v>
                </c:pt>
                <c:pt idx="11">
                  <c:v>69.502989805401981</c:v>
                </c:pt>
                <c:pt idx="12">
                  <c:v>71.128566747846563</c:v>
                </c:pt>
                <c:pt idx="13">
                  <c:v>72.769832656480276</c:v>
                </c:pt>
                <c:pt idx="14">
                  <c:v>74.426665661882907</c:v>
                </c:pt>
                <c:pt idx="15">
                  <c:v>76.098929810020806</c:v>
                </c:pt>
                <c:pt idx="16">
                  <c:v>77.786477236111153</c:v>
                </c:pt>
                <c:pt idx="17">
                  <c:v>79.489149829761843</c:v>
                </c:pt>
                <c:pt idx="18">
                  <c:v>81.206780534443908</c:v>
                </c:pt>
                <c:pt idx="19">
                  <c:v>82.939194380522281</c:v>
                </c:pt>
                <c:pt idx="20">
                  <c:v>84.686209321695443</c:v>
                </c:pt>
                <c:pt idx="21">
                  <c:v>86.447636924654788</c:v>
                </c:pt>
                <c:pt idx="22">
                  <c:v>88.223282947877337</c:v>
                </c:pt>
                <c:pt idx="23">
                  <c:v>90.012947835693382</c:v>
                </c:pt>
              </c:numCache>
            </c:numRef>
          </c:xVal>
          <c:yVal>
            <c:numRef>
              <c:f>well!$C$69:$C$94</c:f>
              <c:numCache>
                <c:formatCode>General</c:formatCode>
                <c:ptCount val="26"/>
                <c:pt idx="0">
                  <c:v>0</c:v>
                </c:pt>
                <c:pt idx="1">
                  <c:v>75.52</c:v>
                </c:pt>
                <c:pt idx="2">
                  <c:v>151.04</c:v>
                </c:pt>
                <c:pt idx="3">
                  <c:v>226.56</c:v>
                </c:pt>
                <c:pt idx="4">
                  <c:v>302.08</c:v>
                </c:pt>
                <c:pt idx="5">
                  <c:v>377.59999999999997</c:v>
                </c:pt>
                <c:pt idx="6">
                  <c:v>453.11999999999995</c:v>
                </c:pt>
                <c:pt idx="7">
                  <c:v>528.64</c:v>
                </c:pt>
                <c:pt idx="8">
                  <c:v>604.16</c:v>
                </c:pt>
                <c:pt idx="9">
                  <c:v>679.68</c:v>
                </c:pt>
                <c:pt idx="10">
                  <c:v>755.19999999999993</c:v>
                </c:pt>
                <c:pt idx="11">
                  <c:v>830.71999999999991</c:v>
                </c:pt>
                <c:pt idx="12">
                  <c:v>906.2399999999999</c:v>
                </c:pt>
                <c:pt idx="13">
                  <c:v>981.75999999999988</c:v>
                </c:pt>
                <c:pt idx="14">
                  <c:v>1057.28</c:v>
                </c:pt>
                <c:pt idx="15">
                  <c:v>1132.8</c:v>
                </c:pt>
                <c:pt idx="16">
                  <c:v>1208.32</c:v>
                </c:pt>
                <c:pt idx="17">
                  <c:v>1283.8399999999999</c:v>
                </c:pt>
                <c:pt idx="18">
                  <c:v>1359.36</c:v>
                </c:pt>
                <c:pt idx="19">
                  <c:v>1434.8799999999999</c:v>
                </c:pt>
                <c:pt idx="20">
                  <c:v>1510.3999999999999</c:v>
                </c:pt>
                <c:pt idx="21">
                  <c:v>1585.9199999999998</c:v>
                </c:pt>
                <c:pt idx="22">
                  <c:v>1661.4399999999998</c:v>
                </c:pt>
                <c:pt idx="23">
                  <c:v>1736.9599999999998</c:v>
                </c:pt>
                <c:pt idx="24">
                  <c:v>1812.4799999999998</c:v>
                </c:pt>
                <c:pt idx="25">
                  <c:v>1887.9999999999998</c:v>
                </c:pt>
              </c:numCache>
            </c:numRef>
          </c:yVal>
          <c:smooth val="0"/>
          <c:extLst>
            <c:ext xmlns:c16="http://schemas.microsoft.com/office/drawing/2014/chart" uri="{C3380CC4-5D6E-409C-BE32-E72D297353CC}">
              <c16:uniqueId val="{00000001-40B3-4480-B619-5B823188098A}"/>
            </c:ext>
          </c:extLst>
        </c:ser>
        <c:ser>
          <c:idx val="4"/>
          <c:order val="2"/>
          <c:tx>
            <c:strRef>
              <c:f>well!$M$68</c:f>
              <c:strCache>
                <c:ptCount val="1"/>
                <c:pt idx="0">
                  <c:v>Давление в НКТ снизу вверх</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well!$M$69:$M$92</c:f>
              <c:numCache>
                <c:formatCode>0.00</c:formatCode>
                <c:ptCount val="24"/>
                <c:pt idx="0">
                  <c:v>36.577710077539486</c:v>
                </c:pt>
                <c:pt idx="1">
                  <c:v>40.579388524205001</c:v>
                </c:pt>
                <c:pt idx="2">
                  <c:v>44.789374102308528</c:v>
                </c:pt>
                <c:pt idx="3">
                  <c:v>49.198812704115035</c:v>
                </c:pt>
                <c:pt idx="4">
                  <c:v>53.799132021723409</c:v>
                </c:pt>
                <c:pt idx="5">
                  <c:v>58.581220391191245</c:v>
                </c:pt>
                <c:pt idx="6">
                  <c:v>63.535710943398179</c:v>
                </c:pt>
                <c:pt idx="7">
                  <c:v>68.652254359901335</c:v>
                </c:pt>
                <c:pt idx="8">
                  <c:v>73.911073063387562</c:v>
                </c:pt>
                <c:pt idx="9">
                  <c:v>79.317520938934564</c:v>
                </c:pt>
                <c:pt idx="10">
                  <c:v>84.859317218567682</c:v>
                </c:pt>
                <c:pt idx="11">
                  <c:v>90.528442166674054</c:v>
                </c:pt>
                <c:pt idx="12">
                  <c:v>96.317504847455112</c:v>
                </c:pt>
                <c:pt idx="13">
                  <c:v>102.21961922187499</c:v>
                </c:pt>
                <c:pt idx="14">
                  <c:v>108.22842982902787</c:v>
                </c:pt>
                <c:pt idx="15">
                  <c:v>114.33812624613876</c:v>
                </c:pt>
                <c:pt idx="16">
                  <c:v>120.54344884428109</c:v>
                </c:pt>
                <c:pt idx="17">
                  <c:v>126.83969010382674</c:v>
                </c:pt>
                <c:pt idx="18">
                  <c:v>133.22270969560535</c:v>
                </c:pt>
                <c:pt idx="19">
                  <c:v>139.66722286524171</c:v>
                </c:pt>
                <c:pt idx="20">
                  <c:v>146.11645422890436</c:v>
                </c:pt>
                <c:pt idx="21">
                  <c:v>152.56799823476953</c:v>
                </c:pt>
                <c:pt idx="22">
                  <c:v>159.02155168569101</c:v>
                </c:pt>
                <c:pt idx="23">
                  <c:v>165.47684551001419</c:v>
                </c:pt>
              </c:numCache>
            </c:numRef>
          </c:xVal>
          <c:yVal>
            <c:numRef>
              <c:f>well!$C$69:$C$94</c:f>
              <c:numCache>
                <c:formatCode>General</c:formatCode>
                <c:ptCount val="26"/>
                <c:pt idx="0">
                  <c:v>0</c:v>
                </c:pt>
                <c:pt idx="1">
                  <c:v>75.52</c:v>
                </c:pt>
                <c:pt idx="2">
                  <c:v>151.04</c:v>
                </c:pt>
                <c:pt idx="3">
                  <c:v>226.56</c:v>
                </c:pt>
                <c:pt idx="4">
                  <c:v>302.08</c:v>
                </c:pt>
                <c:pt idx="5">
                  <c:v>377.59999999999997</c:v>
                </c:pt>
                <c:pt idx="6">
                  <c:v>453.11999999999995</c:v>
                </c:pt>
                <c:pt idx="7">
                  <c:v>528.64</c:v>
                </c:pt>
                <c:pt idx="8">
                  <c:v>604.16</c:v>
                </c:pt>
                <c:pt idx="9">
                  <c:v>679.68</c:v>
                </c:pt>
                <c:pt idx="10">
                  <c:v>755.19999999999993</c:v>
                </c:pt>
                <c:pt idx="11">
                  <c:v>830.71999999999991</c:v>
                </c:pt>
                <c:pt idx="12">
                  <c:v>906.2399999999999</c:v>
                </c:pt>
                <c:pt idx="13">
                  <c:v>981.75999999999988</c:v>
                </c:pt>
                <c:pt idx="14">
                  <c:v>1057.28</c:v>
                </c:pt>
                <c:pt idx="15">
                  <c:v>1132.8</c:v>
                </c:pt>
                <c:pt idx="16">
                  <c:v>1208.32</c:v>
                </c:pt>
                <c:pt idx="17">
                  <c:v>1283.8399999999999</c:v>
                </c:pt>
                <c:pt idx="18">
                  <c:v>1359.36</c:v>
                </c:pt>
                <c:pt idx="19">
                  <c:v>1434.8799999999999</c:v>
                </c:pt>
                <c:pt idx="20">
                  <c:v>1510.3999999999999</c:v>
                </c:pt>
                <c:pt idx="21">
                  <c:v>1585.9199999999998</c:v>
                </c:pt>
                <c:pt idx="22">
                  <c:v>1661.4399999999998</c:v>
                </c:pt>
                <c:pt idx="23">
                  <c:v>1736.9599999999998</c:v>
                </c:pt>
                <c:pt idx="24">
                  <c:v>1812.4799999999998</c:v>
                </c:pt>
                <c:pt idx="25">
                  <c:v>1887.9999999999998</c:v>
                </c:pt>
              </c:numCache>
            </c:numRef>
          </c:yVal>
          <c:smooth val="0"/>
          <c:extLst>
            <c:ext xmlns:c16="http://schemas.microsoft.com/office/drawing/2014/chart" uri="{C3380CC4-5D6E-409C-BE32-E72D297353CC}">
              <c16:uniqueId val="{00000000-5176-42C9-8C6E-9835A19AC806}"/>
            </c:ext>
          </c:extLst>
        </c:ser>
        <c:dLbls>
          <c:showLegendKey val="0"/>
          <c:showVal val="0"/>
          <c:showCatName val="0"/>
          <c:showSerName val="0"/>
          <c:showPercent val="0"/>
          <c:showBubbleSize val="0"/>
        </c:dLbls>
        <c:axId val="304304640"/>
        <c:axId val="304305216"/>
      </c:scatterChart>
      <c:valAx>
        <c:axId val="304304640"/>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Давление,</a:t>
                </a:r>
                <a:r>
                  <a:rPr lang="ru-RU" baseline="0"/>
                  <a:t> атм</a:t>
                </a:r>
                <a:endParaRPr lang="ru-R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305216"/>
        <c:crosses val="autoZero"/>
        <c:crossBetween val="midCat"/>
      </c:valAx>
      <c:valAx>
        <c:axId val="304305216"/>
        <c:scaling>
          <c:orientation val="maxMin"/>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Глубина,</a:t>
                </a:r>
                <a:r>
                  <a:rPr lang="ru-RU" baseline="0"/>
                  <a:t> м</a:t>
                </a:r>
                <a:endParaRPr lang="ru-R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3046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Доля газа в</a:t>
            </a:r>
            <a:r>
              <a:rPr lang="ru-RU" baseline="0"/>
              <a:t> различных участках системы</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1"/>
          <c:order val="0"/>
          <c:tx>
            <c:strRef>
              <c:f>well!$I$68</c:f>
              <c:strCache>
                <c:ptCount val="1"/>
                <c:pt idx="0">
                  <c:v>Доля газа до приема</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well!$I$69:$I$94</c:f>
              <c:numCache>
                <c:formatCode>General</c:formatCode>
                <c:ptCount val="26"/>
                <c:pt idx="23" formatCode="0%">
                  <c:v>0.33110172730417675</c:v>
                </c:pt>
                <c:pt idx="24" formatCode="0%">
                  <c:v>0.29802166629876653</c:v>
                </c:pt>
                <c:pt idx="25" formatCode="0%">
                  <c:v>0.26546889937497586</c:v>
                </c:pt>
              </c:numCache>
            </c:numRef>
          </c:xVal>
          <c:yVal>
            <c:numRef>
              <c:f>well!$C$69:$C$94</c:f>
              <c:numCache>
                <c:formatCode>General</c:formatCode>
                <c:ptCount val="26"/>
                <c:pt idx="0">
                  <c:v>0</c:v>
                </c:pt>
                <c:pt idx="1">
                  <c:v>75.52</c:v>
                </c:pt>
                <c:pt idx="2">
                  <c:v>151.04</c:v>
                </c:pt>
                <c:pt idx="3">
                  <c:v>226.56</c:v>
                </c:pt>
                <c:pt idx="4">
                  <c:v>302.08</c:v>
                </c:pt>
                <c:pt idx="5">
                  <c:v>377.59999999999997</c:v>
                </c:pt>
                <c:pt idx="6">
                  <c:v>453.11999999999995</c:v>
                </c:pt>
                <c:pt idx="7">
                  <c:v>528.64</c:v>
                </c:pt>
                <c:pt idx="8">
                  <c:v>604.16</c:v>
                </c:pt>
                <c:pt idx="9">
                  <c:v>679.68</c:v>
                </c:pt>
                <c:pt idx="10">
                  <c:v>755.19999999999993</c:v>
                </c:pt>
                <c:pt idx="11">
                  <c:v>830.71999999999991</c:v>
                </c:pt>
                <c:pt idx="12">
                  <c:v>906.2399999999999</c:v>
                </c:pt>
                <c:pt idx="13">
                  <c:v>981.75999999999988</c:v>
                </c:pt>
                <c:pt idx="14">
                  <c:v>1057.28</c:v>
                </c:pt>
                <c:pt idx="15">
                  <c:v>1132.8</c:v>
                </c:pt>
                <c:pt idx="16">
                  <c:v>1208.32</c:v>
                </c:pt>
                <c:pt idx="17">
                  <c:v>1283.8399999999999</c:v>
                </c:pt>
                <c:pt idx="18">
                  <c:v>1359.36</c:v>
                </c:pt>
                <c:pt idx="19">
                  <c:v>1434.8799999999999</c:v>
                </c:pt>
                <c:pt idx="20">
                  <c:v>1510.3999999999999</c:v>
                </c:pt>
                <c:pt idx="21">
                  <c:v>1585.9199999999998</c:v>
                </c:pt>
                <c:pt idx="22">
                  <c:v>1661.4399999999998</c:v>
                </c:pt>
                <c:pt idx="23">
                  <c:v>1736.9599999999998</c:v>
                </c:pt>
                <c:pt idx="24">
                  <c:v>1812.4799999999998</c:v>
                </c:pt>
                <c:pt idx="25">
                  <c:v>1887.9999999999998</c:v>
                </c:pt>
              </c:numCache>
            </c:numRef>
          </c:yVal>
          <c:smooth val="0"/>
          <c:extLst>
            <c:ext xmlns:c16="http://schemas.microsoft.com/office/drawing/2014/chart" uri="{C3380CC4-5D6E-409C-BE32-E72D297353CC}">
              <c16:uniqueId val="{00000000-FB3D-476F-BAAB-8BC4045DDA94}"/>
            </c:ext>
          </c:extLst>
        </c:ser>
        <c:ser>
          <c:idx val="0"/>
          <c:order val="1"/>
          <c:tx>
            <c:strRef>
              <c:f>well!$J$68</c:f>
              <c:strCache>
                <c:ptCount val="1"/>
                <c:pt idx="0">
                  <c:v>Доля газа в затрубе</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well!$J$69:$J$92</c:f>
              <c:numCache>
                <c:formatCode>0%</c:formatCode>
                <c:ptCount val="24"/>
                <c:pt idx="0">
                  <c:v>0.92015271286730826</c:v>
                </c:pt>
                <c:pt idx="1">
                  <c:v>0.91873980465304317</c:v>
                </c:pt>
                <c:pt idx="2">
                  <c:v>0.9173410026336507</c:v>
                </c:pt>
                <c:pt idx="3">
                  <c:v>0.91595358111919012</c:v>
                </c:pt>
                <c:pt idx="4">
                  <c:v>0.91457590114523357</c:v>
                </c:pt>
                <c:pt idx="5">
                  <c:v>0.91320695678594999</c:v>
                </c:pt>
                <c:pt idx="6">
                  <c:v>0.91184613587156615</c:v>
                </c:pt>
                <c:pt idx="7">
                  <c:v>0.91049308452883115</c:v>
                </c:pt>
                <c:pt idx="8">
                  <c:v>0.90914762597562448</c:v>
                </c:pt>
                <c:pt idx="9">
                  <c:v>0.9078097094403984</c:v>
                </c:pt>
                <c:pt idx="10">
                  <c:v>0.90647937665642953</c:v>
                </c:pt>
                <c:pt idx="11">
                  <c:v>0.90515673904059391</c:v>
                </c:pt>
                <c:pt idx="12">
                  <c:v>0.90384196160066221</c:v>
                </c:pt>
                <c:pt idx="13">
                  <c:v>0.90253525121336853</c:v>
                </c:pt>
                <c:pt idx="14">
                  <c:v>0.9012368478231445</c:v>
                </c:pt>
                <c:pt idx="15">
                  <c:v>0.89994701764546969</c:v>
                </c:pt>
                <c:pt idx="16">
                  <c:v>0.89866604778269643</c:v>
                </c:pt>
                <c:pt idx="17">
                  <c:v>0.89739424186179462</c:v>
                </c:pt>
                <c:pt idx="18">
                  <c:v>0.89613191643171164</c:v>
                </c:pt>
                <c:pt idx="19">
                  <c:v>0.89487939794116089</c:v>
                </c:pt>
                <c:pt idx="20">
                  <c:v>0.89363702017237079</c:v>
                </c:pt>
                <c:pt idx="21">
                  <c:v>0.8924051220428072</c:v>
                </c:pt>
                <c:pt idx="22">
                  <c:v>0.89118404571146481</c:v>
                </c:pt>
                <c:pt idx="23">
                  <c:v>0.88997413494303046</c:v>
                </c:pt>
              </c:numCache>
            </c:numRef>
          </c:xVal>
          <c:yVal>
            <c:numRef>
              <c:f>well!$C$69:$C$94</c:f>
              <c:numCache>
                <c:formatCode>General</c:formatCode>
                <c:ptCount val="26"/>
                <c:pt idx="0">
                  <c:v>0</c:v>
                </c:pt>
                <c:pt idx="1">
                  <c:v>75.52</c:v>
                </c:pt>
                <c:pt idx="2">
                  <c:v>151.04</c:v>
                </c:pt>
                <c:pt idx="3">
                  <c:v>226.56</c:v>
                </c:pt>
                <c:pt idx="4">
                  <c:v>302.08</c:v>
                </c:pt>
                <c:pt idx="5">
                  <c:v>377.59999999999997</c:v>
                </c:pt>
                <c:pt idx="6">
                  <c:v>453.11999999999995</c:v>
                </c:pt>
                <c:pt idx="7">
                  <c:v>528.64</c:v>
                </c:pt>
                <c:pt idx="8">
                  <c:v>604.16</c:v>
                </c:pt>
                <c:pt idx="9">
                  <c:v>679.68</c:v>
                </c:pt>
                <c:pt idx="10">
                  <c:v>755.19999999999993</c:v>
                </c:pt>
                <c:pt idx="11">
                  <c:v>830.71999999999991</c:v>
                </c:pt>
                <c:pt idx="12">
                  <c:v>906.2399999999999</c:v>
                </c:pt>
                <c:pt idx="13">
                  <c:v>981.75999999999988</c:v>
                </c:pt>
                <c:pt idx="14">
                  <c:v>1057.28</c:v>
                </c:pt>
                <c:pt idx="15">
                  <c:v>1132.8</c:v>
                </c:pt>
                <c:pt idx="16">
                  <c:v>1208.32</c:v>
                </c:pt>
                <c:pt idx="17">
                  <c:v>1283.8399999999999</c:v>
                </c:pt>
                <c:pt idx="18">
                  <c:v>1359.36</c:v>
                </c:pt>
                <c:pt idx="19">
                  <c:v>1434.8799999999999</c:v>
                </c:pt>
                <c:pt idx="20">
                  <c:v>1510.3999999999999</c:v>
                </c:pt>
                <c:pt idx="21">
                  <c:v>1585.9199999999998</c:v>
                </c:pt>
                <c:pt idx="22">
                  <c:v>1661.4399999999998</c:v>
                </c:pt>
                <c:pt idx="23">
                  <c:v>1736.9599999999998</c:v>
                </c:pt>
                <c:pt idx="24">
                  <c:v>1812.4799999999998</c:v>
                </c:pt>
                <c:pt idx="25">
                  <c:v>1887.9999999999998</c:v>
                </c:pt>
              </c:numCache>
            </c:numRef>
          </c:yVal>
          <c:smooth val="0"/>
          <c:extLst>
            <c:ext xmlns:c16="http://schemas.microsoft.com/office/drawing/2014/chart" uri="{C3380CC4-5D6E-409C-BE32-E72D297353CC}">
              <c16:uniqueId val="{00000001-FB3D-476F-BAAB-8BC4045DDA94}"/>
            </c:ext>
          </c:extLst>
        </c:ser>
        <c:ser>
          <c:idx val="4"/>
          <c:order val="2"/>
          <c:tx>
            <c:strRef>
              <c:f>well!$K$68</c:f>
              <c:strCache>
                <c:ptCount val="1"/>
                <c:pt idx="0">
                  <c:v>Доля газа в НКТ</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well!$K$69:$K$92</c:f>
              <c:numCache>
                <c:formatCode>0%</c:formatCode>
                <c:ptCount val="24"/>
                <c:pt idx="0">
                  <c:v>0.65283310406969208</c:v>
                </c:pt>
                <c:pt idx="1">
                  <c:v>0.61897642314752732</c:v>
                </c:pt>
                <c:pt idx="2">
                  <c:v>0.58413823753104355</c:v>
                </c:pt>
                <c:pt idx="3">
                  <c:v>0.54849595222159797</c:v>
                </c:pt>
                <c:pt idx="4">
                  <c:v>0.51221737150466795</c:v>
                </c:pt>
                <c:pt idx="5">
                  <c:v>0.47546722047595708</c:v>
                </c:pt>
                <c:pt idx="6">
                  <c:v>0.43840361562539271</c:v>
                </c:pt>
                <c:pt idx="7">
                  <c:v>0.40118309637495242</c:v>
                </c:pt>
                <c:pt idx="8">
                  <c:v>0.36402742003202399</c:v>
                </c:pt>
                <c:pt idx="9">
                  <c:v>0.32693867028879164</c:v>
                </c:pt>
                <c:pt idx="10">
                  <c:v>0.29005251006184557</c:v>
                </c:pt>
                <c:pt idx="11">
                  <c:v>0.25345436082246559</c:v>
                </c:pt>
                <c:pt idx="12">
                  <c:v>0.21720849824465949</c:v>
                </c:pt>
                <c:pt idx="13">
                  <c:v>0.18135826503330091</c:v>
                </c:pt>
                <c:pt idx="14">
                  <c:v>0.14592567773476281</c:v>
                </c:pt>
                <c:pt idx="15">
                  <c:v>0.11091181474991453</c:v>
                </c:pt>
                <c:pt idx="16">
                  <c:v>7.6297939676525997E-2</c:v>
                </c:pt>
                <c:pt idx="17">
                  <c:v>4.204721036881405E-2</c:v>
                </c:pt>
                <c:pt idx="18">
                  <c:v>8.1066731378731348E-3</c:v>
                </c:pt>
                <c:pt idx="19">
                  <c:v>0</c:v>
                </c:pt>
                <c:pt idx="20">
                  <c:v>0</c:v>
                </c:pt>
                <c:pt idx="21">
                  <c:v>0</c:v>
                </c:pt>
                <c:pt idx="22">
                  <c:v>0</c:v>
                </c:pt>
                <c:pt idx="23">
                  <c:v>0</c:v>
                </c:pt>
              </c:numCache>
            </c:numRef>
          </c:xVal>
          <c:yVal>
            <c:numRef>
              <c:f>well!$C$69:$C$94</c:f>
              <c:numCache>
                <c:formatCode>General</c:formatCode>
                <c:ptCount val="26"/>
                <c:pt idx="0">
                  <c:v>0</c:v>
                </c:pt>
                <c:pt idx="1">
                  <c:v>75.52</c:v>
                </c:pt>
                <c:pt idx="2">
                  <c:v>151.04</c:v>
                </c:pt>
                <c:pt idx="3">
                  <c:v>226.56</c:v>
                </c:pt>
                <c:pt idx="4">
                  <c:v>302.08</c:v>
                </c:pt>
                <c:pt idx="5">
                  <c:v>377.59999999999997</c:v>
                </c:pt>
                <c:pt idx="6">
                  <c:v>453.11999999999995</c:v>
                </c:pt>
                <c:pt idx="7">
                  <c:v>528.64</c:v>
                </c:pt>
                <c:pt idx="8">
                  <c:v>604.16</c:v>
                </c:pt>
                <c:pt idx="9">
                  <c:v>679.68</c:v>
                </c:pt>
                <c:pt idx="10">
                  <c:v>755.19999999999993</c:v>
                </c:pt>
                <c:pt idx="11">
                  <c:v>830.71999999999991</c:v>
                </c:pt>
                <c:pt idx="12">
                  <c:v>906.2399999999999</c:v>
                </c:pt>
                <c:pt idx="13">
                  <c:v>981.75999999999988</c:v>
                </c:pt>
                <c:pt idx="14">
                  <c:v>1057.28</c:v>
                </c:pt>
                <c:pt idx="15">
                  <c:v>1132.8</c:v>
                </c:pt>
                <c:pt idx="16">
                  <c:v>1208.32</c:v>
                </c:pt>
                <c:pt idx="17">
                  <c:v>1283.8399999999999</c:v>
                </c:pt>
                <c:pt idx="18">
                  <c:v>1359.36</c:v>
                </c:pt>
                <c:pt idx="19">
                  <c:v>1434.8799999999999</c:v>
                </c:pt>
                <c:pt idx="20">
                  <c:v>1510.3999999999999</c:v>
                </c:pt>
                <c:pt idx="21">
                  <c:v>1585.9199999999998</c:v>
                </c:pt>
                <c:pt idx="22">
                  <c:v>1661.4399999999998</c:v>
                </c:pt>
                <c:pt idx="23">
                  <c:v>1736.9599999999998</c:v>
                </c:pt>
                <c:pt idx="24">
                  <c:v>1812.4799999999998</c:v>
                </c:pt>
                <c:pt idx="25">
                  <c:v>1887.9999999999998</c:v>
                </c:pt>
              </c:numCache>
            </c:numRef>
          </c:yVal>
          <c:smooth val="0"/>
          <c:extLst>
            <c:ext xmlns:c16="http://schemas.microsoft.com/office/drawing/2014/chart" uri="{C3380CC4-5D6E-409C-BE32-E72D297353CC}">
              <c16:uniqueId val="{00000002-FB3D-476F-BAAB-8BC4045DDA94}"/>
            </c:ext>
          </c:extLst>
        </c:ser>
        <c:dLbls>
          <c:showLegendKey val="0"/>
          <c:showVal val="0"/>
          <c:showCatName val="0"/>
          <c:showSerName val="0"/>
          <c:showPercent val="0"/>
          <c:showBubbleSize val="0"/>
        </c:dLbls>
        <c:axId val="304304640"/>
        <c:axId val="304305216"/>
      </c:scatterChart>
      <c:valAx>
        <c:axId val="304304640"/>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Давление,</a:t>
                </a:r>
                <a:r>
                  <a:rPr lang="ru-RU" baseline="0"/>
                  <a:t> атм</a:t>
                </a:r>
                <a:endParaRPr lang="ru-R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305216"/>
        <c:crosses val="autoZero"/>
        <c:crossBetween val="midCat"/>
      </c:valAx>
      <c:valAx>
        <c:axId val="304305216"/>
        <c:scaling>
          <c:orientation val="maxMin"/>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Глубина,</a:t>
                </a:r>
                <a:r>
                  <a:rPr lang="ru-RU" baseline="0"/>
                  <a:t> м</a:t>
                </a:r>
                <a:endParaRPr lang="ru-R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3046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Индикаторная</a:t>
            </a:r>
            <a:r>
              <a:rPr lang="ru-RU" baseline="0"/>
              <a:t> кривая</a:t>
            </a:r>
            <a:endParaRPr lang="ru-RU"/>
          </a:p>
        </c:rich>
      </c:tx>
      <c:overlay val="0"/>
      <c:spPr>
        <a:noFill/>
        <a:ln>
          <a:noFill/>
        </a:ln>
        <a:effectLst/>
      </c:spPr>
    </c:title>
    <c:autoTitleDeleted val="0"/>
    <c:plotArea>
      <c:layout>
        <c:manualLayout>
          <c:layoutTarget val="inner"/>
          <c:xMode val="edge"/>
          <c:yMode val="edge"/>
          <c:x val="8.4282688271518871E-2"/>
          <c:y val="0.10465538417239591"/>
          <c:w val="0.79459995901803337"/>
          <c:h val="0.70531459280289899"/>
        </c:manualLayout>
      </c:layout>
      <c:scatterChart>
        <c:scatterStyle val="lineMarker"/>
        <c:varyColors val="0"/>
        <c:ser>
          <c:idx val="1"/>
          <c:order val="0"/>
          <c:tx>
            <c:strRef>
              <c:f>well!$D$104</c:f>
              <c:strCache>
                <c:ptCount val="1"/>
                <c:pt idx="0">
                  <c:v>Pwf</c:v>
                </c:pt>
              </c:strCache>
            </c:strRef>
          </c:tx>
          <c:xVal>
            <c:numRef>
              <c:f>well!$C$105:$C$130</c:f>
              <c:numCache>
                <c:formatCode>0</c:formatCode>
                <c:ptCount val="26"/>
                <c:pt idx="0">
                  <c:v>0</c:v>
                </c:pt>
                <c:pt idx="1">
                  <c:v>7.9721872986300664</c:v>
                </c:pt>
                <c:pt idx="2">
                  <c:v>15.944374597260133</c:v>
                </c:pt>
                <c:pt idx="3">
                  <c:v>23.916561895890197</c:v>
                </c:pt>
                <c:pt idx="4">
                  <c:v>31.888749194520265</c:v>
                </c:pt>
                <c:pt idx="5">
                  <c:v>39.860936493150334</c:v>
                </c:pt>
                <c:pt idx="6">
                  <c:v>47.833123791780402</c:v>
                </c:pt>
                <c:pt idx="7">
                  <c:v>55.80531109041047</c:v>
                </c:pt>
                <c:pt idx="8">
                  <c:v>63.777498389040538</c:v>
                </c:pt>
                <c:pt idx="9">
                  <c:v>71.749685687670606</c:v>
                </c:pt>
                <c:pt idx="10">
                  <c:v>79.721872986300667</c:v>
                </c:pt>
                <c:pt idx="11">
                  <c:v>87.694060284930728</c:v>
                </c:pt>
                <c:pt idx="12">
                  <c:v>95.666247583560789</c:v>
                </c:pt>
                <c:pt idx="13">
                  <c:v>103.63843488219085</c:v>
                </c:pt>
                <c:pt idx="14">
                  <c:v>111.61062218082091</c:v>
                </c:pt>
                <c:pt idx="15">
                  <c:v>119.58280947945097</c:v>
                </c:pt>
                <c:pt idx="16">
                  <c:v>127.55499677808103</c:v>
                </c:pt>
                <c:pt idx="17">
                  <c:v>135.52718407671111</c:v>
                </c:pt>
                <c:pt idx="18">
                  <c:v>143.49937137534118</c:v>
                </c:pt>
                <c:pt idx="19">
                  <c:v>151.47155867397126</c:v>
                </c:pt>
                <c:pt idx="20">
                  <c:v>159.44374597260133</c:v>
                </c:pt>
                <c:pt idx="21">
                  <c:v>167.41593327123141</c:v>
                </c:pt>
                <c:pt idx="22">
                  <c:v>175.38812056986148</c:v>
                </c:pt>
                <c:pt idx="23">
                  <c:v>183.36030786849156</c:v>
                </c:pt>
                <c:pt idx="24">
                  <c:v>191.33249516712164</c:v>
                </c:pt>
                <c:pt idx="25">
                  <c:v>199.30468246575171</c:v>
                </c:pt>
              </c:numCache>
            </c:numRef>
          </c:xVal>
          <c:yVal>
            <c:numRef>
              <c:f>well!$D$105:$D$130</c:f>
              <c:numCache>
                <c:formatCode>0</c:formatCode>
                <c:ptCount val="26"/>
                <c:pt idx="0">
                  <c:v>178</c:v>
                </c:pt>
                <c:pt idx="1">
                  <c:v>173.98745853724779</c:v>
                </c:pt>
                <c:pt idx="2">
                  <c:v>169.89524754200974</c:v>
                </c:pt>
                <c:pt idx="3">
                  <c:v>165.71815527585028</c:v>
                </c:pt>
                <c:pt idx="4">
                  <c:v>161.45037570800866</c:v>
                </c:pt>
                <c:pt idx="5">
                  <c:v>157.08540907920187</c:v>
                </c:pt>
                <c:pt idx="6">
                  <c:v>152.61593999330049</c:v>
                </c:pt>
                <c:pt idx="7">
                  <c:v>148.03368649920665</c:v>
                </c:pt>
                <c:pt idx="8">
                  <c:v>143.32921125103562</c:v>
                </c:pt>
                <c:pt idx="9">
                  <c:v>138.49168240625781</c:v>
                </c:pt>
                <c:pt idx="10">
                  <c:v>133.50856687463528</c:v>
                </c:pt>
                <c:pt idx="11">
                  <c:v>128.36523094110316</c:v>
                </c:pt>
                <c:pt idx="12">
                  <c:v>123.04441159557162</c:v>
                </c:pt>
                <c:pt idx="13">
                  <c:v>117.52550340427216</c:v>
                </c:pt>
                <c:pt idx="14">
                  <c:v>111.78357557453319</c:v>
                </c:pt>
                <c:pt idx="15">
                  <c:v>105.78798285456902</c:v>
                </c:pt>
                <c:pt idx="16">
                  <c:v>99.500344110601063</c:v>
                </c:pt>
                <c:pt idx="17">
                  <c:v>92.871496577300789</c:v>
                </c:pt>
                <c:pt idx="18">
                  <c:v>85.836709443450957</c:v>
                </c:pt>
                <c:pt idx="19">
                  <c:v>78.307760388935193</c:v>
                </c:pt>
                <c:pt idx="20">
                  <c:v>70.158923227481381</c:v>
                </c:pt>
                <c:pt idx="21">
                  <c:v>61.199934212999409</c:v>
                </c:pt>
                <c:pt idx="22">
                  <c:v>51.11714503152136</c:v>
                </c:pt>
                <c:pt idx="23">
                  <c:v>39.319962454073703</c:v>
                </c:pt>
                <c:pt idx="24">
                  <c:v>24.391676146544469</c:v>
                </c:pt>
                <c:pt idx="25">
                  <c:v>0</c:v>
                </c:pt>
              </c:numCache>
            </c:numRef>
          </c:yVal>
          <c:smooth val="0"/>
          <c:extLst>
            <c:ext xmlns:c16="http://schemas.microsoft.com/office/drawing/2014/chart" uri="{C3380CC4-5D6E-409C-BE32-E72D297353CC}">
              <c16:uniqueId val="{00000001-B4EC-4D43-AA3B-855FE5CCD591}"/>
            </c:ext>
          </c:extLst>
        </c:ser>
        <c:ser>
          <c:idx val="0"/>
          <c:order val="1"/>
          <c:tx>
            <c:v>Измеренные значения дебита и давления</c:v>
          </c:tx>
          <c:marker>
            <c:symbol val="diamond"/>
            <c:size val="16"/>
          </c:marker>
          <c:xVal>
            <c:numRef>
              <c:f>well!$C$32</c:f>
              <c:numCache>
                <c:formatCode>General</c:formatCode>
                <c:ptCount val="1"/>
                <c:pt idx="0">
                  <c:v>125</c:v>
                </c:pt>
              </c:numCache>
            </c:numRef>
          </c:xVal>
          <c:yVal>
            <c:numRef>
              <c:f>well!$C$33</c:f>
              <c:numCache>
                <c:formatCode>General</c:formatCode>
                <c:ptCount val="1"/>
                <c:pt idx="0">
                  <c:v>101.55</c:v>
                </c:pt>
              </c:numCache>
            </c:numRef>
          </c:yVal>
          <c:smooth val="0"/>
          <c:extLst>
            <c:ext xmlns:c16="http://schemas.microsoft.com/office/drawing/2014/chart" uri="{C3380CC4-5D6E-409C-BE32-E72D297353CC}">
              <c16:uniqueId val="{00000003-B4EC-4D43-AA3B-855FE5CCD591}"/>
            </c:ext>
          </c:extLst>
        </c:ser>
        <c:ser>
          <c:idx val="2"/>
          <c:order val="2"/>
          <c:tx>
            <c:strRef>
              <c:f>well!$S$67</c:f>
              <c:strCache>
                <c:ptCount val="1"/>
                <c:pt idx="0">
                  <c:v>Дебит в затрубе прогнозный</c:v>
                </c:pt>
              </c:strCache>
            </c:strRef>
          </c:tx>
          <c:marker>
            <c:symbol val="triangle"/>
            <c:size val="15"/>
          </c:marker>
          <c:xVal>
            <c:numRef>
              <c:f>well!$T$67</c:f>
              <c:numCache>
                <c:formatCode>0.0</c:formatCode>
                <c:ptCount val="1"/>
                <c:pt idx="0">
                  <c:v>160.561814722165</c:v>
                </c:pt>
              </c:numCache>
            </c:numRef>
          </c:xVal>
          <c:yVal>
            <c:numRef>
              <c:f>well!$T$94</c:f>
              <c:numCache>
                <c:formatCode>0.00</c:formatCode>
                <c:ptCount val="1"/>
                <c:pt idx="0">
                  <c:v>68.956782768131518</c:v>
                </c:pt>
              </c:numCache>
            </c:numRef>
          </c:yVal>
          <c:smooth val="0"/>
          <c:extLst>
            <c:ext xmlns:c16="http://schemas.microsoft.com/office/drawing/2014/chart" uri="{C3380CC4-5D6E-409C-BE32-E72D297353CC}">
              <c16:uniqueId val="{00000004-B4EC-4D43-AA3B-855FE5CCD591}"/>
            </c:ext>
          </c:extLst>
        </c:ser>
        <c:ser>
          <c:idx val="3"/>
          <c:order val="3"/>
          <c:tx>
            <c:strRef>
              <c:f>well!$U$67</c:f>
              <c:strCache>
                <c:ptCount val="1"/>
                <c:pt idx="0">
                  <c:v>Дебит в НКТ прогнозный</c:v>
                </c:pt>
              </c:strCache>
            </c:strRef>
          </c:tx>
          <c:marker>
            <c:symbol val="square"/>
            <c:size val="20"/>
            <c:spPr>
              <a:scene3d>
                <a:camera prst="orthographicFront"/>
                <a:lightRig rig="threePt" dir="t"/>
              </a:scene3d>
              <a:sp3d>
                <a:bevelT w="38100"/>
              </a:sp3d>
            </c:spPr>
          </c:marker>
          <c:dPt>
            <c:idx val="0"/>
            <c:marker>
              <c:spPr>
                <a:ln w="6350">
                  <a:solidFill>
                    <a:schemeClr val="accent4">
                      <a:alpha val="96000"/>
                    </a:schemeClr>
                  </a:solidFill>
                </a:ln>
                <a:scene3d>
                  <a:camera prst="orthographicFront"/>
                  <a:lightRig rig="threePt" dir="t"/>
                </a:scene3d>
                <a:sp3d>
                  <a:bevelT w="38100"/>
                </a:sp3d>
              </c:spPr>
            </c:marker>
            <c:bubble3D val="0"/>
            <c:extLst>
              <c:ext xmlns:c16="http://schemas.microsoft.com/office/drawing/2014/chart" uri="{C3380CC4-5D6E-409C-BE32-E72D297353CC}">
                <c16:uniqueId val="{00000006-B4EC-4D43-AA3B-855FE5CCD591}"/>
              </c:ext>
            </c:extLst>
          </c:dPt>
          <c:xVal>
            <c:numRef>
              <c:f>well!$V$67</c:f>
              <c:numCache>
                <c:formatCode>0.0</c:formatCode>
                <c:ptCount val="1"/>
                <c:pt idx="0">
                  <c:v>150.47536053462488</c:v>
                </c:pt>
              </c:numCache>
            </c:numRef>
          </c:xVal>
          <c:yVal>
            <c:numRef>
              <c:f>well!$V$94</c:f>
              <c:numCache>
                <c:formatCode>0.00</c:formatCode>
                <c:ptCount val="1"/>
                <c:pt idx="0">
                  <c:v>79.279412720342748</c:v>
                </c:pt>
              </c:numCache>
            </c:numRef>
          </c:yVal>
          <c:smooth val="0"/>
          <c:extLst>
            <c:ext xmlns:c16="http://schemas.microsoft.com/office/drawing/2014/chart" uri="{C3380CC4-5D6E-409C-BE32-E72D297353CC}">
              <c16:uniqueId val="{00000005-B4EC-4D43-AA3B-855FE5CCD591}"/>
            </c:ext>
          </c:extLst>
        </c:ser>
        <c:dLbls>
          <c:showLegendKey val="0"/>
          <c:showVal val="0"/>
          <c:showCatName val="0"/>
          <c:showSerName val="0"/>
          <c:showPercent val="0"/>
          <c:showBubbleSize val="0"/>
        </c:dLbls>
        <c:axId val="228804864"/>
        <c:axId val="228805440"/>
      </c:scatterChart>
      <c:valAx>
        <c:axId val="2288048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Дебит  </a:t>
                </a:r>
                <a:r>
                  <a:rPr lang="ru-RU" baseline="0"/>
                  <a:t>м3/сут</a:t>
                </a:r>
                <a:endParaRPr lang="ru-RU"/>
              </a:p>
            </c:rich>
          </c:tx>
          <c:layout>
            <c:manualLayout>
              <c:xMode val="edge"/>
              <c:yMode val="edge"/>
              <c:x val="0.39625196877125629"/>
              <c:y val="0.86477093200508615"/>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28805440"/>
        <c:crosses val="autoZero"/>
        <c:crossBetween val="midCat"/>
      </c:valAx>
      <c:valAx>
        <c:axId val="22880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baseline="0"/>
                  <a:t>Давление на забое, атм</a:t>
                </a:r>
                <a:endParaRPr lang="ru-RU"/>
              </a:p>
            </c:rich>
          </c:tx>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28804864"/>
        <c:crosses val="autoZero"/>
        <c:crossBetween val="midCat"/>
      </c:valAx>
      <c:spPr>
        <a:noFill/>
        <a:ln>
          <a:noFill/>
        </a:ln>
        <a:effectLst/>
      </c:spPr>
    </c:plotArea>
    <c:legend>
      <c:legendPos val="r"/>
      <c:legendEntry>
        <c:idx val="0"/>
        <c:delete val="1"/>
      </c:legendEntry>
      <c:layout>
        <c:manualLayout>
          <c:xMode val="edge"/>
          <c:yMode val="edge"/>
          <c:x val="0.27809283506698373"/>
          <c:y val="0.91188603978379823"/>
          <c:w val="0.44481086818313098"/>
          <c:h val="8.811427279763015E-2"/>
        </c:manualLayout>
      </c:layout>
      <c:overlay val="0"/>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Распределение</a:t>
            </a:r>
            <a:r>
              <a:rPr lang="ru-RU" baseline="0"/>
              <a:t> давления в скважине</a:t>
            </a:r>
            <a:endParaRPr lang="ru-RU"/>
          </a:p>
        </c:rich>
      </c:tx>
      <c:overlay val="0"/>
      <c:spPr>
        <a:noFill/>
        <a:ln>
          <a:noFill/>
        </a:ln>
        <a:effectLst/>
      </c:spPr>
    </c:title>
    <c:autoTitleDeleted val="0"/>
    <c:plotArea>
      <c:layout/>
      <c:scatterChart>
        <c:scatterStyle val="lineMarker"/>
        <c:varyColors val="0"/>
        <c:ser>
          <c:idx val="2"/>
          <c:order val="0"/>
          <c:tx>
            <c:strRef>
              <c:f>well!$D$134</c:f>
              <c:strCache>
                <c:ptCount val="1"/>
                <c:pt idx="0">
                  <c:v>Текущий режим работы (НКТ)</c:v>
                </c:pt>
              </c:strCache>
            </c:strRef>
          </c:tx>
          <c:xVal>
            <c:numRef>
              <c:f>well!$D$137:$D$162</c:f>
              <c:numCache>
                <c:formatCode>0.00</c:formatCode>
                <c:ptCount val="26"/>
                <c:pt idx="0">
                  <c:v>36.577710077539486</c:v>
                </c:pt>
                <c:pt idx="1">
                  <c:v>40.579388524205001</c:v>
                </c:pt>
                <c:pt idx="2">
                  <c:v>44.789374102308528</c:v>
                </c:pt>
                <c:pt idx="3">
                  <c:v>49.198812704115035</c:v>
                </c:pt>
                <c:pt idx="4">
                  <c:v>53.799132021723409</c:v>
                </c:pt>
                <c:pt idx="5">
                  <c:v>58.581220391191245</c:v>
                </c:pt>
                <c:pt idx="6">
                  <c:v>63.535710943398179</c:v>
                </c:pt>
                <c:pt idx="7">
                  <c:v>68.652254359901335</c:v>
                </c:pt>
                <c:pt idx="8">
                  <c:v>73.911073063387562</c:v>
                </c:pt>
                <c:pt idx="9">
                  <c:v>79.317520938934564</c:v>
                </c:pt>
                <c:pt idx="10">
                  <c:v>84.859317218567682</c:v>
                </c:pt>
                <c:pt idx="11">
                  <c:v>90.528442166674054</c:v>
                </c:pt>
                <c:pt idx="12">
                  <c:v>96.317504847455112</c:v>
                </c:pt>
                <c:pt idx="13">
                  <c:v>102.21961922187499</c:v>
                </c:pt>
                <c:pt idx="14">
                  <c:v>108.22842982902787</c:v>
                </c:pt>
                <c:pt idx="15">
                  <c:v>114.33812624613876</c:v>
                </c:pt>
                <c:pt idx="16">
                  <c:v>120.54344884428109</c:v>
                </c:pt>
                <c:pt idx="17">
                  <c:v>126.83969010382674</c:v>
                </c:pt>
                <c:pt idx="18">
                  <c:v>133.22270969560535</c:v>
                </c:pt>
                <c:pt idx="19">
                  <c:v>139.66722286524171</c:v>
                </c:pt>
                <c:pt idx="20">
                  <c:v>146.11645422890436</c:v>
                </c:pt>
                <c:pt idx="21">
                  <c:v>152.56799823476953</c:v>
                </c:pt>
                <c:pt idx="22">
                  <c:v>159.02155168569101</c:v>
                </c:pt>
                <c:pt idx="23">
                  <c:v>165.47684551001419</c:v>
                </c:pt>
              </c:numCache>
            </c:numRef>
          </c:xVal>
          <c:yVal>
            <c:numRef>
              <c:f>well!$C$69:$C$94</c:f>
              <c:numCache>
                <c:formatCode>General</c:formatCode>
                <c:ptCount val="26"/>
                <c:pt idx="0">
                  <c:v>0</c:v>
                </c:pt>
                <c:pt idx="1">
                  <c:v>75.52</c:v>
                </c:pt>
                <c:pt idx="2">
                  <c:v>151.04</c:v>
                </c:pt>
                <c:pt idx="3">
                  <c:v>226.56</c:v>
                </c:pt>
                <c:pt idx="4">
                  <c:v>302.08</c:v>
                </c:pt>
                <c:pt idx="5">
                  <c:v>377.59999999999997</c:v>
                </c:pt>
                <c:pt idx="6">
                  <c:v>453.11999999999995</c:v>
                </c:pt>
                <c:pt idx="7">
                  <c:v>528.64</c:v>
                </c:pt>
                <c:pt idx="8">
                  <c:v>604.16</c:v>
                </c:pt>
                <c:pt idx="9">
                  <c:v>679.68</c:v>
                </c:pt>
                <c:pt idx="10">
                  <c:v>755.19999999999993</c:v>
                </c:pt>
                <c:pt idx="11">
                  <c:v>830.71999999999991</c:v>
                </c:pt>
                <c:pt idx="12">
                  <c:v>906.2399999999999</c:v>
                </c:pt>
                <c:pt idx="13">
                  <c:v>981.75999999999988</c:v>
                </c:pt>
                <c:pt idx="14">
                  <c:v>1057.28</c:v>
                </c:pt>
                <c:pt idx="15">
                  <c:v>1132.8</c:v>
                </c:pt>
                <c:pt idx="16">
                  <c:v>1208.32</c:v>
                </c:pt>
                <c:pt idx="17">
                  <c:v>1283.8399999999999</c:v>
                </c:pt>
                <c:pt idx="18">
                  <c:v>1359.36</c:v>
                </c:pt>
                <c:pt idx="19">
                  <c:v>1434.8799999999999</c:v>
                </c:pt>
                <c:pt idx="20">
                  <c:v>1510.3999999999999</c:v>
                </c:pt>
                <c:pt idx="21">
                  <c:v>1585.9199999999998</c:v>
                </c:pt>
                <c:pt idx="22">
                  <c:v>1661.4399999999998</c:v>
                </c:pt>
                <c:pt idx="23">
                  <c:v>1736.9599999999998</c:v>
                </c:pt>
                <c:pt idx="24">
                  <c:v>1812.4799999999998</c:v>
                </c:pt>
                <c:pt idx="25">
                  <c:v>1887.9999999999998</c:v>
                </c:pt>
              </c:numCache>
            </c:numRef>
          </c:yVal>
          <c:smooth val="0"/>
          <c:extLst>
            <c:ext xmlns:c16="http://schemas.microsoft.com/office/drawing/2014/chart" uri="{C3380CC4-5D6E-409C-BE32-E72D297353CC}">
              <c16:uniqueId val="{00000010-EA9A-46F9-86B8-0830EC5B6167}"/>
            </c:ext>
          </c:extLst>
        </c:ser>
        <c:ser>
          <c:idx val="3"/>
          <c:order val="1"/>
          <c:tx>
            <c:strRef>
              <c:f>well!$E$134</c:f>
              <c:strCache>
                <c:ptCount val="1"/>
                <c:pt idx="0">
                  <c:v>Текущий режим работы (ОК)</c:v>
                </c:pt>
              </c:strCache>
            </c:strRef>
          </c:tx>
          <c:xVal>
            <c:numRef>
              <c:f>well!$E$137:$E$162</c:f>
              <c:numCache>
                <c:formatCode>0.00</c:formatCode>
                <c:ptCount val="26"/>
                <c:pt idx="0">
                  <c:v>52.65737430622481</c:v>
                </c:pt>
                <c:pt idx="1">
                  <c:v>54.114873109414077</c:v>
                </c:pt>
                <c:pt idx="2">
                  <c:v>55.585072142926819</c:v>
                </c:pt>
                <c:pt idx="3">
                  <c:v>57.06933968016191</c:v>
                </c:pt>
                <c:pt idx="4">
                  <c:v>58.568492791918572</c:v>
                </c:pt>
                <c:pt idx="5">
                  <c:v>60.083028961936847</c:v>
                </c:pt>
                <c:pt idx="6">
                  <c:v>61.613248042741503</c:v>
                </c:pt>
                <c:pt idx="7">
                  <c:v>63.159321140728018</c:v>
                </c:pt>
                <c:pt idx="8">
                  <c:v>64.721331755278115</c:v>
                </c:pt>
                <c:pt idx="9">
                  <c:v>66.299301487217193</c:v>
                </c:pt>
                <c:pt idx="10">
                  <c:v>67.893206721573932</c:v>
                </c:pt>
                <c:pt idx="11">
                  <c:v>69.502989805401981</c:v>
                </c:pt>
                <c:pt idx="12">
                  <c:v>71.128566747846563</c:v>
                </c:pt>
                <c:pt idx="13">
                  <c:v>72.769832656480276</c:v>
                </c:pt>
                <c:pt idx="14">
                  <c:v>74.426665661882907</c:v>
                </c:pt>
                <c:pt idx="15">
                  <c:v>76.098929810020806</c:v>
                </c:pt>
                <c:pt idx="16">
                  <c:v>77.786477236111153</c:v>
                </c:pt>
                <c:pt idx="17">
                  <c:v>79.489149829761843</c:v>
                </c:pt>
                <c:pt idx="18">
                  <c:v>81.206780534443908</c:v>
                </c:pt>
                <c:pt idx="19">
                  <c:v>82.939194380522281</c:v>
                </c:pt>
                <c:pt idx="20">
                  <c:v>84.686209321695443</c:v>
                </c:pt>
                <c:pt idx="21">
                  <c:v>86.447636924654788</c:v>
                </c:pt>
                <c:pt idx="22">
                  <c:v>88.223282947877337</c:v>
                </c:pt>
                <c:pt idx="23">
                  <c:v>90.012947835693382</c:v>
                </c:pt>
                <c:pt idx="24">
                  <c:v>95.752907921750307</c:v>
                </c:pt>
                <c:pt idx="25">
                  <c:v>101.55</c:v>
                </c:pt>
              </c:numCache>
            </c:numRef>
          </c:xVal>
          <c:yVal>
            <c:numRef>
              <c:f>well!$C$69:$C$94</c:f>
              <c:numCache>
                <c:formatCode>General</c:formatCode>
                <c:ptCount val="26"/>
                <c:pt idx="0">
                  <c:v>0</c:v>
                </c:pt>
                <c:pt idx="1">
                  <c:v>75.52</c:v>
                </c:pt>
                <c:pt idx="2">
                  <c:v>151.04</c:v>
                </c:pt>
                <c:pt idx="3">
                  <c:v>226.56</c:v>
                </c:pt>
                <c:pt idx="4">
                  <c:v>302.08</c:v>
                </c:pt>
                <c:pt idx="5">
                  <c:v>377.59999999999997</c:v>
                </c:pt>
                <c:pt idx="6">
                  <c:v>453.11999999999995</c:v>
                </c:pt>
                <c:pt idx="7">
                  <c:v>528.64</c:v>
                </c:pt>
                <c:pt idx="8">
                  <c:v>604.16</c:v>
                </c:pt>
                <c:pt idx="9">
                  <c:v>679.68</c:v>
                </c:pt>
                <c:pt idx="10">
                  <c:v>755.19999999999993</c:v>
                </c:pt>
                <c:pt idx="11">
                  <c:v>830.71999999999991</c:v>
                </c:pt>
                <c:pt idx="12">
                  <c:v>906.2399999999999</c:v>
                </c:pt>
                <c:pt idx="13">
                  <c:v>981.75999999999988</c:v>
                </c:pt>
                <c:pt idx="14">
                  <c:v>1057.28</c:v>
                </c:pt>
                <c:pt idx="15">
                  <c:v>1132.8</c:v>
                </c:pt>
                <c:pt idx="16">
                  <c:v>1208.32</c:v>
                </c:pt>
                <c:pt idx="17">
                  <c:v>1283.8399999999999</c:v>
                </c:pt>
                <c:pt idx="18">
                  <c:v>1359.36</c:v>
                </c:pt>
                <c:pt idx="19">
                  <c:v>1434.8799999999999</c:v>
                </c:pt>
                <c:pt idx="20">
                  <c:v>1510.3999999999999</c:v>
                </c:pt>
                <c:pt idx="21">
                  <c:v>1585.9199999999998</c:v>
                </c:pt>
                <c:pt idx="22">
                  <c:v>1661.4399999999998</c:v>
                </c:pt>
                <c:pt idx="23">
                  <c:v>1736.9599999999998</c:v>
                </c:pt>
                <c:pt idx="24">
                  <c:v>1812.4799999999998</c:v>
                </c:pt>
                <c:pt idx="25">
                  <c:v>1887.9999999999998</c:v>
                </c:pt>
              </c:numCache>
            </c:numRef>
          </c:yVal>
          <c:smooth val="0"/>
          <c:extLst>
            <c:ext xmlns:c16="http://schemas.microsoft.com/office/drawing/2014/chart" uri="{C3380CC4-5D6E-409C-BE32-E72D297353CC}">
              <c16:uniqueId val="{00000011-EA9A-46F9-86B8-0830EC5B6167}"/>
            </c:ext>
          </c:extLst>
        </c:ser>
        <c:ser>
          <c:idx val="0"/>
          <c:order val="2"/>
          <c:tx>
            <c:strRef>
              <c:f>well!$G$134</c:f>
              <c:strCache>
                <c:ptCount val="1"/>
                <c:pt idx="0">
                  <c:v>All tube</c:v>
                </c:pt>
              </c:strCache>
            </c:strRef>
          </c:tx>
          <c:xVal>
            <c:numRef>
              <c:f>well!$G$137:$G$162</c:f>
              <c:numCache>
                <c:formatCode>0.00</c:formatCode>
                <c:ptCount val="26"/>
                <c:pt idx="0">
                  <c:v>35</c:v>
                </c:pt>
                <c:pt idx="1">
                  <c:v>36.886835479293495</c:v>
                </c:pt>
                <c:pt idx="2">
                  <c:v>38.679980482938056</c:v>
                </c:pt>
                <c:pt idx="3">
                  <c:v>40.411714892395302</c:v>
                </c:pt>
                <c:pt idx="4">
                  <c:v>42.101691540237574</c:v>
                </c:pt>
                <c:pt idx="5">
                  <c:v>43.762696313942598</c:v>
                </c:pt>
                <c:pt idx="6">
                  <c:v>45.40347778715013</c:v>
                </c:pt>
                <c:pt idx="7">
                  <c:v>47.030263623864791</c:v>
                </c:pt>
                <c:pt idx="8">
                  <c:v>48.647629967673112</c:v>
                </c:pt>
                <c:pt idx="9">
                  <c:v>50.259027559124085</c:v>
                </c:pt>
                <c:pt idx="10">
                  <c:v>51.867114560742706</c:v>
                </c:pt>
                <c:pt idx="11">
                  <c:v>53.473975075683562</c:v>
                </c:pt>
                <c:pt idx="12">
                  <c:v>55.081267232781876</c:v>
                </c:pt>
                <c:pt idx="13">
                  <c:v>56.69032632335243</c:v>
                </c:pt>
                <c:pt idx="14">
                  <c:v>58.302238371136788</c:v>
                </c:pt>
                <c:pt idx="15">
                  <c:v>59.917893730980829</c:v>
                </c:pt>
                <c:pt idx="16">
                  <c:v>61.538026878242285</c:v>
                </c:pt>
                <c:pt idx="17">
                  <c:v>63.163246448546751</c:v>
                </c:pt>
                <c:pt idx="18">
                  <c:v>64.794058264135444</c:v>
                </c:pt>
                <c:pt idx="19">
                  <c:v>66.430883229236727</c:v>
                </c:pt>
                <c:pt idx="20">
                  <c:v>68.074071413697624</c:v>
                </c:pt>
                <c:pt idx="21">
                  <c:v>69.723913265095263</c:v>
                </c:pt>
                <c:pt idx="22">
                  <c:v>71.380648629789661</c:v>
                </c:pt>
                <c:pt idx="23">
                  <c:v>73.044474082363507</c:v>
                </c:pt>
                <c:pt idx="24">
                  <c:v>76.163566484058208</c:v>
                </c:pt>
                <c:pt idx="25">
                  <c:v>79.279412720342748</c:v>
                </c:pt>
              </c:numCache>
            </c:numRef>
          </c:xVal>
          <c:yVal>
            <c:numRef>
              <c:f>well!$C$69:$C$94</c:f>
              <c:numCache>
                <c:formatCode>General</c:formatCode>
                <c:ptCount val="26"/>
                <c:pt idx="0">
                  <c:v>0</c:v>
                </c:pt>
                <c:pt idx="1">
                  <c:v>75.52</c:v>
                </c:pt>
                <c:pt idx="2">
                  <c:v>151.04</c:v>
                </c:pt>
                <c:pt idx="3">
                  <c:v>226.56</c:v>
                </c:pt>
                <c:pt idx="4">
                  <c:v>302.08</c:v>
                </c:pt>
                <c:pt idx="5">
                  <c:v>377.59999999999997</c:v>
                </c:pt>
                <c:pt idx="6">
                  <c:v>453.11999999999995</c:v>
                </c:pt>
                <c:pt idx="7">
                  <c:v>528.64</c:v>
                </c:pt>
                <c:pt idx="8">
                  <c:v>604.16</c:v>
                </c:pt>
                <c:pt idx="9">
                  <c:v>679.68</c:v>
                </c:pt>
                <c:pt idx="10">
                  <c:v>755.19999999999993</c:v>
                </c:pt>
                <c:pt idx="11">
                  <c:v>830.71999999999991</c:v>
                </c:pt>
                <c:pt idx="12">
                  <c:v>906.2399999999999</c:v>
                </c:pt>
                <c:pt idx="13">
                  <c:v>981.75999999999988</c:v>
                </c:pt>
                <c:pt idx="14">
                  <c:v>1057.28</c:v>
                </c:pt>
                <c:pt idx="15">
                  <c:v>1132.8</c:v>
                </c:pt>
                <c:pt idx="16">
                  <c:v>1208.32</c:v>
                </c:pt>
                <c:pt idx="17">
                  <c:v>1283.8399999999999</c:v>
                </c:pt>
                <c:pt idx="18">
                  <c:v>1359.36</c:v>
                </c:pt>
                <c:pt idx="19">
                  <c:v>1434.8799999999999</c:v>
                </c:pt>
                <c:pt idx="20">
                  <c:v>1510.3999999999999</c:v>
                </c:pt>
                <c:pt idx="21">
                  <c:v>1585.9199999999998</c:v>
                </c:pt>
                <c:pt idx="22">
                  <c:v>1661.4399999999998</c:v>
                </c:pt>
                <c:pt idx="23">
                  <c:v>1736.9599999999998</c:v>
                </c:pt>
                <c:pt idx="24">
                  <c:v>1812.4799999999998</c:v>
                </c:pt>
                <c:pt idx="25">
                  <c:v>1887.9999999999998</c:v>
                </c:pt>
              </c:numCache>
            </c:numRef>
          </c:yVal>
          <c:smooth val="0"/>
          <c:extLst>
            <c:ext xmlns:c16="http://schemas.microsoft.com/office/drawing/2014/chart" uri="{C3380CC4-5D6E-409C-BE32-E72D297353CC}">
              <c16:uniqueId val="{0000000D-EA9A-46F9-86B8-0830EC5B6167}"/>
            </c:ext>
          </c:extLst>
        </c:ser>
        <c:ser>
          <c:idx val="1"/>
          <c:order val="3"/>
          <c:tx>
            <c:strRef>
              <c:f>well!$F$134</c:f>
              <c:strCache>
                <c:ptCount val="1"/>
                <c:pt idx="0">
                  <c:v>All annulus</c:v>
                </c:pt>
              </c:strCache>
            </c:strRef>
          </c:tx>
          <c:xVal>
            <c:numRef>
              <c:f>well!$F$137:$F$162</c:f>
              <c:numCache>
                <c:formatCode>0.00</c:formatCode>
                <c:ptCount val="26"/>
                <c:pt idx="0">
                  <c:v>35</c:v>
                </c:pt>
                <c:pt idx="1">
                  <c:v>36.160146867682002</c:v>
                </c:pt>
                <c:pt idx="2">
                  <c:v>37.303800171146939</c:v>
                </c:pt>
                <c:pt idx="3">
                  <c:v>38.439214226147868</c:v>
                </c:pt>
                <c:pt idx="4">
                  <c:v>39.571508418698741</c:v>
                </c:pt>
                <c:pt idx="5">
                  <c:v>40.704048719298328</c:v>
                </c:pt>
                <c:pt idx="6">
                  <c:v>41.839149092173834</c:v>
                </c:pt>
                <c:pt idx="7">
                  <c:v>42.978456656015922</c:v>
                </c:pt>
                <c:pt idx="8">
                  <c:v>44.12317662805156</c:v>
                </c:pt>
                <c:pt idx="9">
                  <c:v>45.274210398614208</c:v>
                </c:pt>
                <c:pt idx="10">
                  <c:v>46.432243837935104</c:v>
                </c:pt>
                <c:pt idx="11">
                  <c:v>47.59780576069582</c:v>
                </c:pt>
                <c:pt idx="12">
                  <c:v>48.77130779588655</c:v>
                </c:pt>
                <c:pt idx="13">
                  <c:v>49.953072283811515</c:v>
                </c:pt>
                <c:pt idx="14">
                  <c:v>51.143352241771431</c:v>
                </c:pt>
                <c:pt idx="15">
                  <c:v>52.342345943322428</c:v>
                </c:pt>
                <c:pt idx="16">
                  <c:v>53.550207758020562</c:v>
                </c:pt>
                <c:pt idx="17">
                  <c:v>54.76705634351444</c:v>
                </c:pt>
                <c:pt idx="18">
                  <c:v>55.992980929638492</c:v>
                </c:pt>
                <c:pt idx="19">
                  <c:v>57.22804620536094</c:v>
                </c:pt>
                <c:pt idx="20">
                  <c:v>58.472296167647976</c:v>
                </c:pt>
                <c:pt idx="21">
                  <c:v>59.725757188664886</c:v>
                </c:pt>
                <c:pt idx="22">
                  <c:v>60.988440487117522</c:v>
                </c:pt>
                <c:pt idx="23">
                  <c:v>62.260344140177573</c:v>
                </c:pt>
                <c:pt idx="24">
                  <c:v>65.622035052583101</c:v>
                </c:pt>
                <c:pt idx="25">
                  <c:v>68.956782768131518</c:v>
                </c:pt>
              </c:numCache>
            </c:numRef>
          </c:xVal>
          <c:yVal>
            <c:numRef>
              <c:f>well!$C$69:$C$94</c:f>
              <c:numCache>
                <c:formatCode>General</c:formatCode>
                <c:ptCount val="26"/>
                <c:pt idx="0">
                  <c:v>0</c:v>
                </c:pt>
                <c:pt idx="1">
                  <c:v>75.52</c:v>
                </c:pt>
                <c:pt idx="2">
                  <c:v>151.04</c:v>
                </c:pt>
                <c:pt idx="3">
                  <c:v>226.56</c:v>
                </c:pt>
                <c:pt idx="4">
                  <c:v>302.08</c:v>
                </c:pt>
                <c:pt idx="5">
                  <c:v>377.59999999999997</c:v>
                </c:pt>
                <c:pt idx="6">
                  <c:v>453.11999999999995</c:v>
                </c:pt>
                <c:pt idx="7">
                  <c:v>528.64</c:v>
                </c:pt>
                <c:pt idx="8">
                  <c:v>604.16</c:v>
                </c:pt>
                <c:pt idx="9">
                  <c:v>679.68</c:v>
                </c:pt>
                <c:pt idx="10">
                  <c:v>755.19999999999993</c:v>
                </c:pt>
                <c:pt idx="11">
                  <c:v>830.71999999999991</c:v>
                </c:pt>
                <c:pt idx="12">
                  <c:v>906.2399999999999</c:v>
                </c:pt>
                <c:pt idx="13">
                  <c:v>981.75999999999988</c:v>
                </c:pt>
                <c:pt idx="14">
                  <c:v>1057.28</c:v>
                </c:pt>
                <c:pt idx="15">
                  <c:v>1132.8</c:v>
                </c:pt>
                <c:pt idx="16">
                  <c:v>1208.32</c:v>
                </c:pt>
                <c:pt idx="17">
                  <c:v>1283.8399999999999</c:v>
                </c:pt>
                <c:pt idx="18">
                  <c:v>1359.36</c:v>
                </c:pt>
                <c:pt idx="19">
                  <c:v>1434.8799999999999</c:v>
                </c:pt>
                <c:pt idx="20">
                  <c:v>1510.3999999999999</c:v>
                </c:pt>
                <c:pt idx="21">
                  <c:v>1585.9199999999998</c:v>
                </c:pt>
                <c:pt idx="22">
                  <c:v>1661.4399999999998</c:v>
                </c:pt>
                <c:pt idx="23">
                  <c:v>1736.9599999999998</c:v>
                </c:pt>
                <c:pt idx="24">
                  <c:v>1812.4799999999998</c:v>
                </c:pt>
                <c:pt idx="25">
                  <c:v>1887.9999999999998</c:v>
                </c:pt>
              </c:numCache>
            </c:numRef>
          </c:yVal>
          <c:smooth val="0"/>
          <c:extLst>
            <c:ext xmlns:c16="http://schemas.microsoft.com/office/drawing/2014/chart" uri="{C3380CC4-5D6E-409C-BE32-E72D297353CC}">
              <c16:uniqueId val="{0000000F-EA9A-46F9-86B8-0830EC5B6167}"/>
            </c:ext>
          </c:extLst>
        </c:ser>
        <c:dLbls>
          <c:showLegendKey val="0"/>
          <c:showVal val="0"/>
          <c:showCatName val="0"/>
          <c:showSerName val="0"/>
          <c:showPercent val="0"/>
          <c:showBubbleSize val="0"/>
        </c:dLbls>
        <c:axId val="304304640"/>
        <c:axId val="304305216"/>
      </c:scatterChart>
      <c:valAx>
        <c:axId val="304304640"/>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Давление,</a:t>
                </a:r>
                <a:r>
                  <a:rPr lang="ru-RU" baseline="0"/>
                  <a:t> атм</a:t>
                </a:r>
                <a:endParaRPr lang="ru-RU"/>
              </a:p>
            </c:rich>
          </c:tx>
          <c:overlay val="0"/>
          <c:spPr>
            <a:noFill/>
            <a:ln>
              <a:noFill/>
            </a:ln>
            <a:effectLst/>
          </c:sp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305216"/>
        <c:crosses val="autoZero"/>
        <c:crossBetween val="midCat"/>
      </c:valAx>
      <c:valAx>
        <c:axId val="304305216"/>
        <c:scaling>
          <c:orientation val="maxMin"/>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Глубина,</a:t>
                </a:r>
                <a:r>
                  <a:rPr lang="ru-RU" baseline="0"/>
                  <a:t> м</a:t>
                </a:r>
                <a:endParaRPr lang="ru-RU"/>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304640"/>
        <c:crosses val="autoZero"/>
        <c:crossBetween val="midCat"/>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22</xdr:col>
      <xdr:colOff>137872</xdr:colOff>
      <xdr:row>66</xdr:row>
      <xdr:rowOff>70637</xdr:rowOff>
    </xdr:from>
    <xdr:to>
      <xdr:col>34</xdr:col>
      <xdr:colOff>43021</xdr:colOff>
      <xdr:row>104</xdr:row>
      <xdr:rowOff>12406</xdr:rowOff>
    </xdr:to>
    <xdr:graphicFrame macro="">
      <xdr:nvGraphicFramePr>
        <xdr:cNvPr id="11" name="Диаграмма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76640</xdr:colOff>
      <xdr:row>66</xdr:row>
      <xdr:rowOff>57433</xdr:rowOff>
    </xdr:from>
    <xdr:to>
      <xdr:col>45</xdr:col>
      <xdr:colOff>532081</xdr:colOff>
      <xdr:row>103</xdr:row>
      <xdr:rowOff>152683</xdr:rowOff>
    </xdr:to>
    <xdr:graphicFrame macro="">
      <xdr:nvGraphicFramePr>
        <xdr:cNvPr id="4" name="Диаграмма 3">
          <a:extLst>
            <a:ext uri="{FF2B5EF4-FFF2-40B4-BE49-F238E27FC236}">
              <a16:creationId xmlns:a16="http://schemas.microsoft.com/office/drawing/2014/main" id="{E15A341C-034A-4821-9250-305E0F3C9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187297</xdr:colOff>
      <xdr:row>102</xdr:row>
      <xdr:rowOff>108857</xdr:rowOff>
    </xdr:from>
    <xdr:to>
      <xdr:col>17</xdr:col>
      <xdr:colOff>299357</xdr:colOff>
      <xdr:row>130</xdr:row>
      <xdr:rowOff>136071</xdr:rowOff>
    </xdr:to>
    <xdr:graphicFrame macro="">
      <xdr:nvGraphicFramePr>
        <xdr:cNvPr id="5" name="Диаграмма 4">
          <a:extLst>
            <a:ext uri="{FF2B5EF4-FFF2-40B4-BE49-F238E27FC236}">
              <a16:creationId xmlns:a16="http://schemas.microsoft.com/office/drawing/2014/main" id="{7A5F08BE-BD6C-4214-B895-E2347C493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302760</xdr:colOff>
      <xdr:row>131</xdr:row>
      <xdr:rowOff>149677</xdr:rowOff>
    </xdr:from>
    <xdr:to>
      <xdr:col>16</xdr:col>
      <xdr:colOff>802822</xdr:colOff>
      <xdr:row>173</xdr:row>
      <xdr:rowOff>104053</xdr:rowOff>
    </xdr:to>
    <xdr:graphicFrame macro="">
      <xdr:nvGraphicFramePr>
        <xdr:cNvPr id="6" name="Диаграмма 5">
          <a:extLst>
            <a:ext uri="{FF2B5EF4-FFF2-40B4-BE49-F238E27FC236}">
              <a16:creationId xmlns:a16="http://schemas.microsoft.com/office/drawing/2014/main" id="{9FFFA529-20E7-4F65-98E3-0C3547CF4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435429</xdr:colOff>
      <xdr:row>7</xdr:row>
      <xdr:rowOff>204106</xdr:rowOff>
    </xdr:from>
    <xdr:to>
      <xdr:col>14</xdr:col>
      <xdr:colOff>653144</xdr:colOff>
      <xdr:row>29</xdr:row>
      <xdr:rowOff>40819</xdr:rowOff>
    </xdr:to>
    <xdr:sp macro="" textlink="">
      <xdr:nvSpPr>
        <xdr:cNvPr id="7" name="TextBox 6">
          <a:extLst>
            <a:ext uri="{FF2B5EF4-FFF2-40B4-BE49-F238E27FC236}">
              <a16:creationId xmlns:a16="http://schemas.microsoft.com/office/drawing/2014/main" id="{9088F2F4-91F9-41A5-9AC0-0AF9B596A91E}"/>
            </a:ext>
          </a:extLst>
        </xdr:cNvPr>
        <xdr:cNvSpPr txBox="1"/>
      </xdr:nvSpPr>
      <xdr:spPr>
        <a:xfrm>
          <a:off x="5510893" y="1428749"/>
          <a:ext cx="6327322" cy="447674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ru-RU" sz="1100"/>
            <a:t>Общая теория</a:t>
          </a:r>
          <a:endParaRPr lang="en-US" sz="1100"/>
        </a:p>
        <a:p>
          <a:r>
            <a:rPr lang="ru-RU" sz="1100"/>
            <a:t>При спуске погружного оборудования</a:t>
          </a:r>
          <a:r>
            <a:rPr lang="ru-RU" sz="1100" baseline="0"/>
            <a:t> в фонтанирующую скважину газожидкостный поток у приема разделяется на 2 составляющие: поток с низким газосодержанием после сепарации естесственной и искусственной в НКТ и поток с большой долей свободного газа в затрубное пространство. </a:t>
          </a:r>
        </a:p>
        <a:p>
          <a:r>
            <a:rPr lang="ru-RU" sz="1100" baseline="0"/>
            <a:t>При этом ЭЦН за счет энергии движения ГЖС работает на холостом ходу, развивая обычный перепад давления по напорной характеристике. Также при дебите большем, чем максимально возможный перепад давления  насоса, может происходить турбинное вращение, насос будет работать как гидравлическое сопротивление.</a:t>
          </a:r>
        </a:p>
        <a:p>
          <a:r>
            <a:rPr lang="ru-RU" sz="1100" baseline="0"/>
            <a:t>В затрубном пространстве за счет большого количество газа будет проихсодить фонтанирование. Далвение в затрбном пространстве будет большим, чем буферное, потому как обратный клапан в затрубе, предназначеныый для сброса газа, будет функционировать как штуцер, дросселируя давления.</a:t>
          </a:r>
        </a:p>
        <a:p>
          <a:r>
            <a:rPr lang="ru-RU" sz="1100" baseline="0"/>
            <a:t>Отсюда возникает вопрос, рационально ли устанавливать ЭЦН в фонтанирующую скважину?</a:t>
          </a:r>
        </a:p>
        <a:p>
          <a:endParaRPr lang="ru-RU" sz="1100" baseline="0"/>
        </a:p>
        <a:p>
          <a:r>
            <a:rPr lang="ru-RU" sz="1100" baseline="0"/>
            <a:t>1. Постройте КРД на путях движения жидкости.</a:t>
          </a:r>
        </a:p>
        <a:p>
          <a:r>
            <a:rPr lang="ru-RU" sz="1100" baseline="0"/>
            <a:t>2. ОЦените долю газа в разных точках системы.</a:t>
          </a:r>
        </a:p>
        <a:p>
          <a:r>
            <a:rPr lang="ru-RU" sz="1100" baseline="0"/>
            <a:t>3. Проверьте варианты без разделения потока - чисто фонтанный способ по НКТ или затрубу?</a:t>
          </a:r>
        </a:p>
        <a:p>
          <a:endParaRPr lang="ru-RU" sz="1100" baseline="0"/>
        </a:p>
      </xdr:txBody>
    </xdr:sp>
    <xdr:clientData/>
  </xdr:twoCellAnchor>
  <xdr:twoCellAnchor>
    <xdr:from>
      <xdr:col>18</xdr:col>
      <xdr:colOff>163284</xdr:colOff>
      <xdr:row>51</xdr:row>
      <xdr:rowOff>27215</xdr:rowOff>
    </xdr:from>
    <xdr:to>
      <xdr:col>36</xdr:col>
      <xdr:colOff>217715</xdr:colOff>
      <xdr:row>59</xdr:row>
      <xdr:rowOff>122464</xdr:rowOff>
    </xdr:to>
    <xdr:sp macro="" textlink="">
      <xdr:nvSpPr>
        <xdr:cNvPr id="8" name="TextBox 7">
          <a:extLst>
            <a:ext uri="{FF2B5EF4-FFF2-40B4-BE49-F238E27FC236}">
              <a16:creationId xmlns:a16="http://schemas.microsoft.com/office/drawing/2014/main" id="{A2555037-D101-4F78-A393-4B25A2944BF8}"/>
            </a:ext>
          </a:extLst>
        </xdr:cNvPr>
        <xdr:cNvSpPr txBox="1"/>
      </xdr:nvSpPr>
      <xdr:spPr>
        <a:xfrm>
          <a:off x="14314713" y="9974036"/>
          <a:ext cx="13852073" cy="144235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ru-RU" sz="1100" baseline="0"/>
            <a:t>Оценка других вариантов эксплуатации скважины</a:t>
          </a:r>
        </a:p>
        <a:p>
          <a:r>
            <a:rPr lang="ru-RU" sz="1100" baseline="0"/>
            <a:t>Предлагается использовать метод узлового анализа для решения данной задачи. Узловая точка - забойное давление - позволяет совместить две системы - модель подъемника при расчете сверху вних от устьевого давления и модель пласта по индикаторной кривой Вогеля, полученной при условиях эксплуатации.</a:t>
          </a:r>
        </a:p>
        <a:p>
          <a:r>
            <a:rPr lang="ru-RU" sz="1100" baseline="0"/>
            <a:t>Чтобы оценить другие варианты эксплуатации: фонтанным способом через НКТ или затруб, необходимо знать производительность скважины. </a:t>
          </a:r>
        </a:p>
        <a:p>
          <a:r>
            <a:rPr lang="ru-RU" sz="1100" baseline="0"/>
            <a:t>Построим кривую притока данной скважины по Вогелю и получим модель производительности скважины.</a:t>
          </a:r>
        </a:p>
        <a:p>
          <a:r>
            <a:rPr lang="ru-RU" sz="1100" baseline="0"/>
            <a:t>Далее зафиксируем устьевое давление,  предположим определенное значение нового дебита и произведем расчет сверху вниз для нахождения забойноного давления.  При этом по забойному давлению и модели притока можно получить дебит скважины. Проверим, совпадают ли дебиты, полученные с помощью расчета двух систем. Если нет, заменяем значение нового дебита до полного согласования. </a:t>
          </a:r>
        </a:p>
        <a:p>
          <a:r>
            <a:rPr lang="ru-RU" sz="1100" baseline="0"/>
            <a:t>Согласования двух моделей можно осуществить с помощью встроенного оптимизатора </a:t>
          </a:r>
          <a:r>
            <a:rPr lang="en-US" sz="1100" baseline="0"/>
            <a:t>Excel </a:t>
          </a:r>
          <a:r>
            <a:rPr lang="ru-RU" sz="1100" baseline="0"/>
            <a:t>"Поиск решения", который позволяет минимизировать квадрат разности дебитов, изменяя значение нового дебита.</a:t>
          </a:r>
        </a:p>
      </xdr:txBody>
    </xdr:sp>
    <xdr:clientData/>
  </xdr:twoCellAnchor>
  <xdr:twoCellAnchor>
    <xdr:from>
      <xdr:col>6</xdr:col>
      <xdr:colOff>231322</xdr:colOff>
      <xdr:row>37</xdr:row>
      <xdr:rowOff>81643</xdr:rowOff>
    </xdr:from>
    <xdr:to>
      <xdr:col>20</xdr:col>
      <xdr:colOff>1524000</xdr:colOff>
      <xdr:row>41</xdr:row>
      <xdr:rowOff>13606</xdr:rowOff>
    </xdr:to>
    <xdr:sp macro="" textlink="">
      <xdr:nvSpPr>
        <xdr:cNvPr id="9" name="TextBox 8">
          <a:extLst>
            <a:ext uri="{FF2B5EF4-FFF2-40B4-BE49-F238E27FC236}">
              <a16:creationId xmlns:a16="http://schemas.microsoft.com/office/drawing/2014/main" id="{FE43DCB8-16D2-4D4E-B85F-95A5DAB0AC55}"/>
            </a:ext>
          </a:extLst>
        </xdr:cNvPr>
        <xdr:cNvSpPr txBox="1"/>
      </xdr:nvSpPr>
      <xdr:spPr>
        <a:xfrm>
          <a:off x="5306786" y="7497536"/>
          <a:ext cx="12981214" cy="66674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ru-RU" sz="1100" baseline="0"/>
            <a:t>Моделирование двух потоков, разных свойств</a:t>
          </a:r>
        </a:p>
        <a:p>
          <a:r>
            <a:rPr lang="en-US" sz="1100" baseline="0"/>
            <a:t>PVT </a:t>
          </a:r>
          <a:r>
            <a:rPr lang="ru-RU" sz="1100" baseline="0"/>
            <a:t>свойства потока, прошедшего сепарацию и движущегося в НКТ, следует задавать с учетом естесственной и искусственной сепарации на приеме погружного оборудования.</a:t>
          </a:r>
        </a:p>
        <a:p>
          <a:r>
            <a:rPr lang="en-US" sz="1100" baseline="0"/>
            <a:t>PVT </a:t>
          </a:r>
          <a:r>
            <a:rPr lang="ru-RU" sz="1100" baseline="0"/>
            <a:t>свойства потока, идущего в ззтрубное пространство, предлагается моделировать отдельной строкой, в которой не будет задана сепарация - весь газ остается при потоке в его естесственном состоянии</a:t>
          </a:r>
        </a:p>
      </xdr:txBody>
    </xdr:sp>
    <xdr:clientData/>
  </xdr:twoCellAnchor>
  <xdr:twoCellAnchor>
    <xdr:from>
      <xdr:col>6</xdr:col>
      <xdr:colOff>13607</xdr:colOff>
      <xdr:row>51</xdr:row>
      <xdr:rowOff>95251</xdr:rowOff>
    </xdr:from>
    <xdr:to>
      <xdr:col>17</xdr:col>
      <xdr:colOff>381000</xdr:colOff>
      <xdr:row>61</xdr:row>
      <xdr:rowOff>13607</xdr:rowOff>
    </xdr:to>
    <xdr:sp macro="" textlink="">
      <xdr:nvSpPr>
        <xdr:cNvPr id="10" name="TextBox 9">
          <a:extLst>
            <a:ext uri="{FF2B5EF4-FFF2-40B4-BE49-F238E27FC236}">
              <a16:creationId xmlns:a16="http://schemas.microsoft.com/office/drawing/2014/main" id="{349379D5-1C15-4C23-8420-8AF5F6DFB679}"/>
            </a:ext>
          </a:extLst>
        </xdr:cNvPr>
        <xdr:cNvSpPr txBox="1"/>
      </xdr:nvSpPr>
      <xdr:spPr>
        <a:xfrm>
          <a:off x="5089071" y="10042072"/>
          <a:ext cx="8831036" cy="159203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ru-RU" sz="1100" baseline="0"/>
            <a:t>Адаптация модели скважины и оценка текущей работы</a:t>
          </a:r>
        </a:p>
        <a:p>
          <a:r>
            <a:rPr lang="ru-RU" sz="1100" baseline="0"/>
            <a:t>Модель скважины рассчитывается стандартным образом, за исключением того, что через насос и НКТ движется модифицированный флюид (</a:t>
          </a:r>
          <a:r>
            <a:rPr lang="en-US" sz="1100" baseline="0"/>
            <a:t>PVT </a:t>
          </a:r>
          <a:r>
            <a:rPr lang="ru-RU" sz="1100" baseline="0"/>
            <a:t>строка НКТ</a:t>
          </a:r>
          <a:r>
            <a:rPr lang="en-US" sz="1100" baseline="0"/>
            <a:t>)</a:t>
          </a:r>
          <a:r>
            <a:rPr lang="ru-RU" sz="1100" baseline="0"/>
            <a:t> после сепарации. А в затрубе движется свой - </a:t>
          </a:r>
          <a:r>
            <a:rPr lang="en-US" sz="1100" baseline="0"/>
            <a:t>PVT </a:t>
          </a:r>
          <a:r>
            <a:rPr lang="ru-RU" sz="1100" baseline="0"/>
            <a:t>строка затруб. Далее, т.к. на АГЗУ замеряется общий дебит, не учитавающий его пути подъема, с помощью коэффициента деления жидкости (показывающего, какая доля жидкости идет через насос в НКТ) предлагается настроить данную модель для согласования устьевых параметров - затрубного и буферного давлений. Варьирование прочих параметров системы не отличается от случаев адаптации обычной работы скважины, оснащенной УЭЦН. </a:t>
          </a:r>
        </a:p>
        <a:p>
          <a:r>
            <a:rPr lang="ru-RU" sz="1100" baseline="0"/>
            <a:t>Кроме того, помощь в проверке адекватности модели может оказать графики доли газа в многофазном потоке в различных участках системы. Логично, что в затрубном пространстве он будет значительно больше, чем в НКТ (газлифтный эффект объясняет превышение давления затрубного над буферным)</a:t>
          </a:r>
        </a:p>
      </xdr:txBody>
    </xdr:sp>
    <xdr:clientData/>
  </xdr:twoCellAnchor>
  <xdr:twoCellAnchor>
    <xdr:from>
      <xdr:col>17</xdr:col>
      <xdr:colOff>353786</xdr:colOff>
      <xdr:row>111</xdr:row>
      <xdr:rowOff>0</xdr:rowOff>
    </xdr:from>
    <xdr:to>
      <xdr:col>22</xdr:col>
      <xdr:colOff>462644</xdr:colOff>
      <xdr:row>116</xdr:row>
      <xdr:rowOff>122464</xdr:rowOff>
    </xdr:to>
    <xdr:sp macro="" textlink="">
      <xdr:nvSpPr>
        <xdr:cNvPr id="13" name="TextBox 12">
          <a:extLst>
            <a:ext uri="{FF2B5EF4-FFF2-40B4-BE49-F238E27FC236}">
              <a16:creationId xmlns:a16="http://schemas.microsoft.com/office/drawing/2014/main" id="{2B8005F5-14D0-46A7-B93B-FBEF3A558906}"/>
            </a:ext>
          </a:extLst>
        </xdr:cNvPr>
        <xdr:cNvSpPr txBox="1"/>
      </xdr:nvSpPr>
      <xdr:spPr>
        <a:xfrm>
          <a:off x="13892893" y="20519571"/>
          <a:ext cx="5946322" cy="93889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ru-RU" sz="1100"/>
            <a:t>После адаптации</a:t>
          </a:r>
          <a:r>
            <a:rPr lang="ru-RU" sz="1100" baseline="0"/>
            <a:t> модели скважины на индикаторной кривой обазначены режимы работы: текущий, чистое фонтанирование через затруб и НКТ. </a:t>
          </a:r>
        </a:p>
        <a:p>
          <a:pPr marL="171450" indent="-171450">
            <a:buFont typeface="Arial" panose="020B0604020202020204" pitchFamily="34" charset="0"/>
            <a:buChar char="•"/>
          </a:pPr>
          <a:r>
            <a:rPr lang="ru-RU" sz="1100" baseline="0"/>
            <a:t>Внизу на одном графике можно увидеть распределения давления в скважине на разных режимах работы</a:t>
          </a:r>
        </a:p>
        <a:p>
          <a:endParaRPr lang="ru-RU" sz="1100" baseline="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egk/Documents/unifloc_vba/UniflocVBA_7.xla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IP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Pbase"/>
      <sheetName val="Info"/>
    </sheetNames>
    <definedNames>
      <definedName name="ESP_dP_atm"/>
      <definedName name="ESP_Encode_string"/>
      <definedName name="ESP_head_m"/>
      <definedName name="ESP_id_by_rate"/>
      <definedName name="esp_max_rate_m3day"/>
      <definedName name="ESP_name"/>
      <definedName name="getUFVersion"/>
      <definedName name="IPR_PI_sm3dayatm"/>
      <definedName name="IPR_Pwf_atma"/>
      <definedName name="IPR_Qliq_sm3Day"/>
      <definedName name="MF_gas_fraction_d"/>
      <definedName name="MF_ksep_natural_d"/>
      <definedName name="MF_ksep_total_d"/>
      <definedName name="MF_p_pipe_atma"/>
      <definedName name="PVT_encode_string"/>
    </defined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R"/>
    </sheetNames>
    <sheetDataSet>
      <sheetData sheetId="0">
        <row r="20">
          <cell r="C20">
            <v>100</v>
          </cell>
        </row>
        <row r="21">
          <cell r="C21">
            <v>150</v>
          </cell>
        </row>
        <row r="40">
          <cell r="C40">
            <v>0</v>
          </cell>
          <cell r="D40">
            <v>250</v>
          </cell>
          <cell r="E40">
            <v>0</v>
          </cell>
        </row>
        <row r="41">
          <cell r="C41">
            <v>9.9187474546011547</v>
          </cell>
          <cell r="D41">
            <v>240.08125254539885</v>
          </cell>
          <cell r="E41">
            <v>9.9187474546011458</v>
          </cell>
        </row>
        <row r="42">
          <cell r="C42">
            <v>19.837494909202309</v>
          </cell>
          <cell r="D42">
            <v>230.16250509079768</v>
          </cell>
          <cell r="E42">
            <v>19.83749490920232</v>
          </cell>
        </row>
        <row r="43">
          <cell r="C43">
            <v>29.756242363803466</v>
          </cell>
          <cell r="D43">
            <v>220.24375763619653</v>
          </cell>
          <cell r="E43">
            <v>29.756242363803466</v>
          </cell>
        </row>
        <row r="44">
          <cell r="C44">
            <v>39.674989818404619</v>
          </cell>
          <cell r="D44">
            <v>210.32501018159539</v>
          </cell>
          <cell r="E44">
            <v>39.674989818404612</v>
          </cell>
        </row>
        <row r="45">
          <cell r="C45">
            <v>49.593737273005772</v>
          </cell>
          <cell r="D45">
            <v>200.40626272699421</v>
          </cell>
          <cell r="E45">
            <v>49.593737273005786</v>
          </cell>
        </row>
        <row r="46">
          <cell r="C46">
            <v>59.512484727606925</v>
          </cell>
          <cell r="D46">
            <v>190.48751527239307</v>
          </cell>
          <cell r="E46">
            <v>59.512484727606932</v>
          </cell>
        </row>
        <row r="47">
          <cell r="C47">
            <v>69.431232182208078</v>
          </cell>
          <cell r="D47">
            <v>180.56876781779192</v>
          </cell>
          <cell r="E47">
            <v>69.431232182208078</v>
          </cell>
        </row>
        <row r="48">
          <cell r="C48">
            <v>79.349979636809238</v>
          </cell>
          <cell r="D48">
            <v>170.65002036319078</v>
          </cell>
          <cell r="E48">
            <v>79.349979636809223</v>
          </cell>
        </row>
        <row r="49">
          <cell r="C49">
            <v>89.268727091410398</v>
          </cell>
          <cell r="D49">
            <v>160.7312729085896</v>
          </cell>
          <cell r="E49">
            <v>89.268727091410398</v>
          </cell>
        </row>
        <row r="50">
          <cell r="C50">
            <v>99.187474546011558</v>
          </cell>
          <cell r="D50">
            <v>150.81252545398843</v>
          </cell>
          <cell r="E50">
            <v>99.187474546011572</v>
          </cell>
        </row>
        <row r="51">
          <cell r="C51">
            <v>109.10622200061272</v>
          </cell>
          <cell r="D51">
            <v>140.89377799938728</v>
          </cell>
          <cell r="E51">
            <v>109.10622200061272</v>
          </cell>
        </row>
        <row r="52">
          <cell r="C52">
            <v>119.02496945521388</v>
          </cell>
          <cell r="D52">
            <v>130.97503054478614</v>
          </cell>
          <cell r="E52">
            <v>119.02496945521386</v>
          </cell>
        </row>
        <row r="53">
          <cell r="C53">
            <v>128.94371690981504</v>
          </cell>
          <cell r="D53">
            <v>121.05628309018496</v>
          </cell>
          <cell r="E53">
            <v>128.94371690981504</v>
          </cell>
        </row>
        <row r="54">
          <cell r="C54">
            <v>138.86246436441618</v>
          </cell>
          <cell r="D54">
            <v>110.89439013405214</v>
          </cell>
          <cell r="E54">
            <v>138.86246436441624</v>
          </cell>
        </row>
        <row r="55">
          <cell r="C55">
            <v>148.78121181901733</v>
          </cell>
          <cell r="D55">
            <v>100.02727433529388</v>
          </cell>
          <cell r="E55">
            <v>148.78121181901744</v>
          </cell>
        </row>
        <row r="56">
          <cell r="C56">
            <v>158.69995927361848</v>
          </cell>
          <cell r="D56">
            <v>88.220870330268156</v>
          </cell>
          <cell r="E56">
            <v>158.69995927361836</v>
          </cell>
        </row>
        <row r="57">
          <cell r="C57">
            <v>168.61870672821962</v>
          </cell>
          <cell r="D57">
            <v>75.082562520816197</v>
          </cell>
          <cell r="E57">
            <v>168.61870672821959</v>
          </cell>
        </row>
        <row r="58">
          <cell r="C58">
            <v>178.53745418282077</v>
          </cell>
          <cell r="D58">
            <v>59.833402917957898</v>
          </cell>
          <cell r="E58">
            <v>178.53745418282082</v>
          </cell>
        </row>
        <row r="59">
          <cell r="C59">
            <v>188.45620163742191</v>
          </cell>
          <cell r="D59">
            <v>40.383204097085397</v>
          </cell>
          <cell r="E59">
            <v>188.45620163742174</v>
          </cell>
        </row>
        <row r="60">
          <cell r="C60">
            <v>198.37494909202306</v>
          </cell>
          <cell r="D60">
            <v>2.8181536965155018E-13</v>
          </cell>
          <cell r="E60">
            <v>198.37494909202306</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well">
    <outlinePr summaryBelow="0"/>
  </sheetPr>
  <dimension ref="A1:AF197"/>
  <sheetViews>
    <sheetView tabSelected="1" topLeftCell="A64" zoomScale="70" zoomScaleNormal="70" workbookViewId="0">
      <selection activeCell="E18" sqref="E18"/>
    </sheetView>
  </sheetViews>
  <sheetFormatPr defaultRowHeight="12.75" outlineLevelRow="1" x14ac:dyDescent="0.2"/>
  <cols>
    <col min="2" max="2" width="26.28515625" customWidth="1"/>
    <col min="3" max="4" width="9.85546875" customWidth="1"/>
    <col min="5" max="5" width="11.28515625" customWidth="1"/>
    <col min="6" max="6" width="9.85546875" customWidth="1"/>
    <col min="7" max="7" width="10.28515625" customWidth="1"/>
    <col min="8" max="10" width="12.28515625" customWidth="1"/>
    <col min="12" max="12" width="14.140625" bestFit="1" customWidth="1"/>
    <col min="13" max="13" width="11.28515625" customWidth="1"/>
    <col min="14" max="14" width="10.140625" customWidth="1"/>
    <col min="15" max="15" width="11.5703125" bestFit="1" customWidth="1"/>
    <col min="17" max="17" width="14.42578125" bestFit="1" customWidth="1"/>
    <col min="19" max="19" width="26.7109375" bestFit="1" customWidth="1"/>
    <col min="20" max="20" width="12.42578125" bestFit="1" customWidth="1"/>
    <col min="21" max="21" width="26.7109375" bestFit="1" customWidth="1"/>
    <col min="22" max="22" width="12.42578125" bestFit="1" customWidth="1"/>
  </cols>
  <sheetData>
    <row r="1" spans="1:7" x14ac:dyDescent="0.2">
      <c r="A1" s="1" t="s">
        <v>28</v>
      </c>
      <c r="F1" t="s">
        <v>29</v>
      </c>
      <c r="G1" t="str">
        <f>[1]!getUFVersion()</f>
        <v>7.7</v>
      </c>
    </row>
    <row r="2" spans="1:7" x14ac:dyDescent="0.2">
      <c r="A2" t="s">
        <v>110</v>
      </c>
    </row>
    <row r="6" spans="1:7" x14ac:dyDescent="0.2">
      <c r="A6" s="1" t="s">
        <v>16</v>
      </c>
    </row>
    <row r="7" spans="1:7" ht="18.75" outlineLevel="1" x14ac:dyDescent="0.35">
      <c r="B7" s="11" t="s">
        <v>30</v>
      </c>
      <c r="C7" s="2">
        <v>0.84099999999999997</v>
      </c>
      <c r="D7" s="12"/>
      <c r="E7" s="13">
        <f>gamma_oil_*1000</f>
        <v>841</v>
      </c>
      <c r="F7" s="14" t="s">
        <v>31</v>
      </c>
    </row>
    <row r="8" spans="1:7" ht="18.75" outlineLevel="1" x14ac:dyDescent="0.35">
      <c r="B8" s="14" t="s">
        <v>32</v>
      </c>
      <c r="C8" s="2">
        <v>1.0049999999999999</v>
      </c>
      <c r="D8" s="12"/>
      <c r="E8" s="13">
        <f>gamma_wat_*1000</f>
        <v>1004.9999999999999</v>
      </c>
      <c r="F8" s="14" t="s">
        <v>31</v>
      </c>
    </row>
    <row r="9" spans="1:7" ht="18.75" outlineLevel="1" x14ac:dyDescent="0.35">
      <c r="B9" s="14" t="s">
        <v>33</v>
      </c>
      <c r="C9" s="2">
        <v>0.8</v>
      </c>
      <c r="D9" s="12"/>
      <c r="E9" s="13">
        <f>gamma_gas_*1.22</f>
        <v>0.97599999999999998</v>
      </c>
      <c r="F9" s="14" t="s">
        <v>31</v>
      </c>
    </row>
    <row r="10" spans="1:7" ht="18.75" outlineLevel="1" x14ac:dyDescent="0.35">
      <c r="B10" s="15" t="s">
        <v>34</v>
      </c>
      <c r="C10" s="2">
        <v>200</v>
      </c>
      <c r="D10" s="14" t="s">
        <v>35</v>
      </c>
      <c r="E10" s="16">
        <f>Rsb_/gamma_oil_</f>
        <v>237.81212841854935</v>
      </c>
      <c r="F10" s="14" t="s">
        <v>36</v>
      </c>
    </row>
    <row r="11" spans="1:7" ht="18.75" outlineLevel="1" x14ac:dyDescent="0.35">
      <c r="B11" s="15" t="s">
        <v>37</v>
      </c>
      <c r="C11" s="2">
        <v>862</v>
      </c>
      <c r="D11" s="14" t="s">
        <v>35</v>
      </c>
      <c r="E11" s="16">
        <f>Rsb_/gamma_oil_</f>
        <v>237.81212841854935</v>
      </c>
      <c r="F11" s="14" t="s">
        <v>36</v>
      </c>
    </row>
    <row r="12" spans="1:7" ht="18" outlineLevel="1" x14ac:dyDescent="0.35">
      <c r="B12" s="14" t="s">
        <v>38</v>
      </c>
      <c r="C12" s="2">
        <v>178</v>
      </c>
      <c r="D12" s="12" t="s">
        <v>39</v>
      </c>
      <c r="E12" s="16">
        <f>Pb_*1.01325</f>
        <v>180.35849999999999</v>
      </c>
      <c r="F12" s="12" t="s">
        <v>40</v>
      </c>
    </row>
    <row r="13" spans="1:7" ht="18" outlineLevel="1" x14ac:dyDescent="0.35">
      <c r="B13" s="14" t="s">
        <v>41</v>
      </c>
      <c r="C13" s="2">
        <v>60</v>
      </c>
      <c r="D13" s="12" t="s">
        <v>2</v>
      </c>
      <c r="E13" s="16">
        <f>Tres_*9/5+32</f>
        <v>140</v>
      </c>
      <c r="F13" s="12" t="s">
        <v>42</v>
      </c>
    </row>
    <row r="14" spans="1:7" ht="18.75" outlineLevel="1" x14ac:dyDescent="0.35">
      <c r="B14" s="15" t="s">
        <v>43</v>
      </c>
      <c r="C14" s="2">
        <v>1.149</v>
      </c>
      <c r="D14" s="14" t="s">
        <v>35</v>
      </c>
    </row>
    <row r="15" spans="1:7" ht="18" x14ac:dyDescent="0.35">
      <c r="B15" s="22" t="s">
        <v>71</v>
      </c>
      <c r="C15" s="2">
        <v>1.5</v>
      </c>
      <c r="D15" s="14" t="s">
        <v>72</v>
      </c>
    </row>
    <row r="16" spans="1:7" x14ac:dyDescent="0.2">
      <c r="B16" s="3"/>
      <c r="C16" s="4"/>
    </row>
    <row r="17" spans="1:5" outlineLevel="1" x14ac:dyDescent="0.2">
      <c r="A17" s="1" t="s">
        <v>17</v>
      </c>
      <c r="B17" s="3"/>
      <c r="C17" s="4"/>
    </row>
    <row r="18" spans="1:5" ht="15.75" outlineLevel="1" x14ac:dyDescent="0.3">
      <c r="B18" s="17" t="s">
        <v>44</v>
      </c>
      <c r="C18" s="2">
        <f>E18-E20</f>
        <v>1888</v>
      </c>
      <c r="D18" s="18" t="s">
        <v>4</v>
      </c>
      <c r="E18" s="2">
        <v>3361</v>
      </c>
    </row>
    <row r="19" spans="1:5" ht="15.75" outlineLevel="1" x14ac:dyDescent="0.3">
      <c r="B19" s="17" t="s">
        <v>84</v>
      </c>
      <c r="C19" s="2">
        <v>234</v>
      </c>
      <c r="D19" s="18" t="s">
        <v>4</v>
      </c>
      <c r="E19" s="2">
        <v>234</v>
      </c>
    </row>
    <row r="20" spans="1:5" ht="15.75" outlineLevel="1" x14ac:dyDescent="0.3">
      <c r="B20" s="17" t="s">
        <v>45</v>
      </c>
      <c r="C20" s="2">
        <v>1473</v>
      </c>
      <c r="D20" s="18" t="s">
        <v>4</v>
      </c>
      <c r="E20" s="2">
        <v>1473</v>
      </c>
    </row>
    <row r="21" spans="1:5" ht="15.75" outlineLevel="1" x14ac:dyDescent="0.3">
      <c r="B21" s="17" t="s">
        <v>46</v>
      </c>
      <c r="C21" s="2">
        <f>E21-C19</f>
        <v>1766</v>
      </c>
      <c r="D21" s="18" t="s">
        <v>4</v>
      </c>
      <c r="E21" s="2">
        <v>2000</v>
      </c>
    </row>
    <row r="22" spans="1:5" ht="15.75" outlineLevel="1" x14ac:dyDescent="0.3">
      <c r="B22" s="17" t="s">
        <v>47</v>
      </c>
      <c r="C22" s="2">
        <v>157</v>
      </c>
      <c r="D22" s="18" t="s">
        <v>5</v>
      </c>
    </row>
    <row r="23" spans="1:5" ht="15.75" outlineLevel="1" x14ac:dyDescent="0.3">
      <c r="B23" s="17" t="s">
        <v>48</v>
      </c>
      <c r="C23" s="2">
        <v>73</v>
      </c>
      <c r="D23" s="18" t="s">
        <v>5</v>
      </c>
    </row>
    <row r="24" spans="1:5" ht="15" outlineLevel="1" x14ac:dyDescent="0.25">
      <c r="B24" s="24" t="s">
        <v>73</v>
      </c>
      <c r="C24" s="2">
        <v>90</v>
      </c>
      <c r="D24" s="14" t="s">
        <v>74</v>
      </c>
    </row>
    <row r="25" spans="1:5" ht="15.75" outlineLevel="1" x14ac:dyDescent="0.3">
      <c r="B25" s="17" t="s">
        <v>49</v>
      </c>
      <c r="C25" s="2">
        <f>Dtub_out_-11</f>
        <v>62</v>
      </c>
      <c r="D25" s="18" t="s">
        <v>5</v>
      </c>
    </row>
    <row r="26" spans="1:5" ht="15.75" outlineLevel="1" x14ac:dyDescent="0.3">
      <c r="B26" s="17" t="s">
        <v>50</v>
      </c>
      <c r="C26" s="2">
        <v>100</v>
      </c>
      <c r="D26" s="18" t="s">
        <v>5</v>
      </c>
    </row>
    <row r="27" spans="1:5" outlineLevel="1" x14ac:dyDescent="0.2">
      <c r="B27" s="17" t="s">
        <v>85</v>
      </c>
      <c r="C27" s="2">
        <v>56</v>
      </c>
      <c r="D27" s="18" t="s">
        <v>1</v>
      </c>
    </row>
    <row r="28" spans="1:5" ht="15.75" outlineLevel="1" x14ac:dyDescent="0.3">
      <c r="B28" s="17" t="s">
        <v>51</v>
      </c>
      <c r="C28" s="2">
        <v>35</v>
      </c>
      <c r="D28" s="18" t="s">
        <v>1</v>
      </c>
    </row>
    <row r="29" spans="1:5" ht="15.75" outlineLevel="1" x14ac:dyDescent="0.3">
      <c r="B29" s="17" t="s">
        <v>52</v>
      </c>
      <c r="C29" s="2">
        <f>PKsep</f>
        <v>93</v>
      </c>
      <c r="D29" s="18" t="s">
        <v>1</v>
      </c>
      <c r="E29" s="23"/>
    </row>
    <row r="30" spans="1:5" ht="15.75" outlineLevel="1" x14ac:dyDescent="0.3">
      <c r="B30" s="17" t="s">
        <v>53</v>
      </c>
      <c r="C30" s="2">
        <f>TKsep</f>
        <v>33.984000000000002</v>
      </c>
      <c r="D30" s="18" t="s">
        <v>2</v>
      </c>
    </row>
    <row r="31" spans="1:5" ht="15.75" outlineLevel="1" x14ac:dyDescent="0.3">
      <c r="B31" s="17" t="s">
        <v>54</v>
      </c>
      <c r="C31" s="2">
        <v>150</v>
      </c>
      <c r="D31" s="18" t="s">
        <v>1</v>
      </c>
    </row>
    <row r="32" spans="1:5" outlineLevel="1" x14ac:dyDescent="0.2">
      <c r="B32" s="17" t="s">
        <v>82</v>
      </c>
      <c r="C32" s="2">
        <v>125</v>
      </c>
      <c r="D32" s="18" t="s">
        <v>6</v>
      </c>
    </row>
    <row r="33" spans="1:21" ht="15.75" outlineLevel="1" x14ac:dyDescent="0.3">
      <c r="B33" s="17" t="s">
        <v>55</v>
      </c>
      <c r="C33" s="2">
        <v>101.55</v>
      </c>
      <c r="D33" s="18" t="s">
        <v>1</v>
      </c>
    </row>
    <row r="34" spans="1:21" ht="15.75" x14ac:dyDescent="0.3">
      <c r="B34" s="17" t="s">
        <v>56</v>
      </c>
      <c r="C34" s="2">
        <f>Q_total_*k_split_liquid</f>
        <v>37.5</v>
      </c>
      <c r="D34" s="18" t="s">
        <v>6</v>
      </c>
    </row>
    <row r="35" spans="1:21" ht="15.75" x14ac:dyDescent="0.3">
      <c r="B35" s="17" t="s">
        <v>57</v>
      </c>
      <c r="C35" s="2">
        <v>5</v>
      </c>
      <c r="D35" s="18" t="s">
        <v>3</v>
      </c>
    </row>
    <row r="36" spans="1:21" ht="15.75" x14ac:dyDescent="0.3">
      <c r="B36" s="17" t="s">
        <v>75</v>
      </c>
      <c r="C36" s="2">
        <f>Q_total_*(1-k_split_liquid)</f>
        <v>87.5</v>
      </c>
      <c r="D36" s="18" t="s">
        <v>6</v>
      </c>
    </row>
    <row r="37" spans="1:21" x14ac:dyDescent="0.2">
      <c r="B37" s="17" t="s">
        <v>76</v>
      </c>
      <c r="C37" s="35">
        <f>Dcas_-Dtub_out_</f>
        <v>84</v>
      </c>
      <c r="D37" s="18"/>
    </row>
    <row r="38" spans="1:21" outlineLevel="1" x14ac:dyDescent="0.2"/>
    <row r="39" spans="1:21" outlineLevel="1" x14ac:dyDescent="0.2">
      <c r="A39" s="1" t="s">
        <v>18</v>
      </c>
    </row>
    <row r="40" spans="1:21" ht="15.75" outlineLevel="1" x14ac:dyDescent="0.3">
      <c r="B40" s="18" t="s">
        <v>58</v>
      </c>
      <c r="C40" s="2">
        <v>250</v>
      </c>
      <c r="D40" s="18" t="s">
        <v>6</v>
      </c>
    </row>
    <row r="41" spans="1:21" ht="15.75" outlineLevel="1" x14ac:dyDescent="0.3">
      <c r="B41" s="18" t="s">
        <v>59</v>
      </c>
      <c r="C41" s="2">
        <v>2147</v>
      </c>
      <c r="D41" s="18" t="s">
        <v>7</v>
      </c>
    </row>
    <row r="42" spans="1:21" outlineLevel="1" x14ac:dyDescent="0.2">
      <c r="B42" s="18" t="s">
        <v>60</v>
      </c>
      <c r="C42" s="2">
        <v>36</v>
      </c>
      <c r="D42" s="18" t="s">
        <v>8</v>
      </c>
    </row>
    <row r="43" spans="1:21" outlineLevel="1" x14ac:dyDescent="0.2">
      <c r="B43" s="18" t="s">
        <v>61</v>
      </c>
      <c r="C43" s="13">
        <f>[1]!ESP_id_by_rate(Q_ESP_)</f>
        <v>1033</v>
      </c>
      <c r="D43" s="18"/>
      <c r="G43" s="67" t="s">
        <v>89</v>
      </c>
      <c r="H43" s="67"/>
      <c r="I43" s="67"/>
      <c r="J43" s="67"/>
      <c r="K43" s="67"/>
      <c r="L43" s="67"/>
      <c r="M43" s="67"/>
      <c r="N43" s="67"/>
      <c r="O43" s="67"/>
      <c r="P43" s="67"/>
      <c r="Q43" s="67"/>
      <c r="R43" s="67"/>
      <c r="S43" s="67"/>
      <c r="T43" s="67"/>
      <c r="U43" s="67"/>
    </row>
    <row r="44" spans="1:21" outlineLevel="1" x14ac:dyDescent="0.2">
      <c r="B44" s="18" t="s">
        <v>62</v>
      </c>
      <c r="C44" s="13" t="str">
        <f>[1]!ESP_name(C43)</f>
        <v>ЭЦН5А-320Э</v>
      </c>
      <c r="D44" s="18"/>
      <c r="G44" s="66" t="str">
        <f>[1]!PVT_encode_string(gamma_gas_,gamma_oil_,gamma_wat_,Rsb_,Rp_,Pb_,Tres_,Bob_,mu_,,KsepGasSep_,PKsep,TKsep)</f>
        <v>gamma_gas:0,800;gamma_oil:0,841;gamma_wat:1,005;rsb_m3m3:200,000;rp_m3m3:862,000;pb_atma:178,000;tres_C:60,000;bob_m3m3:1,149;muob_cP:1,500;PVTcorr:0;ksep_fr:0,950;pksep_atma:93,000;tksep_C:33,984;</v>
      </c>
      <c r="H44" s="66"/>
      <c r="I44" s="66"/>
      <c r="J44" s="66"/>
      <c r="K44" s="66"/>
      <c r="L44" s="66"/>
      <c r="M44" s="66"/>
      <c r="N44" s="66"/>
      <c r="O44" s="66"/>
      <c r="P44" s="66"/>
      <c r="Q44" s="66"/>
      <c r="R44" s="66"/>
      <c r="S44" s="66"/>
      <c r="T44" s="66"/>
      <c r="U44" s="66"/>
    </row>
    <row r="45" spans="1:21" ht="15.75" outlineLevel="1" x14ac:dyDescent="0.3">
      <c r="B45" s="18" t="s">
        <v>63</v>
      </c>
      <c r="C45" s="13">
        <f>[1]!esp_max_rate_m3day(Freq_,PumpID_)*1</f>
        <v>396</v>
      </c>
      <c r="D45" s="18"/>
    </row>
    <row r="46" spans="1:21" x14ac:dyDescent="0.2">
      <c r="B46" s="18" t="s">
        <v>19</v>
      </c>
      <c r="C46" s="13">
        <f>INT(Head_ESP_/[1]!ESP_head_m(Q_ESP_,1,,PumpID_))</f>
        <v>399</v>
      </c>
      <c r="D46" s="18" t="s">
        <v>9</v>
      </c>
      <c r="G46" s="67" t="s">
        <v>64</v>
      </c>
      <c r="H46" s="67"/>
      <c r="I46" s="67"/>
      <c r="J46" s="67"/>
      <c r="K46" s="67"/>
      <c r="L46" s="67"/>
      <c r="M46" s="67"/>
      <c r="N46" s="67"/>
      <c r="O46" s="67"/>
      <c r="P46" s="67"/>
      <c r="Q46" s="67"/>
      <c r="R46" s="67"/>
      <c r="S46" s="67"/>
      <c r="T46" s="67"/>
      <c r="U46" s="67"/>
    </row>
    <row r="47" spans="1:21" ht="15.75" x14ac:dyDescent="0.3">
      <c r="B47" s="18" t="s">
        <v>65</v>
      </c>
      <c r="C47" s="5">
        <v>0.95</v>
      </c>
      <c r="D47" s="18"/>
      <c r="G47" s="66" t="str">
        <f>[1]!ESP_Encode_string(PumpID_,Head_ESP_,Freq_)</f>
        <v>ESP_ID:1033,00000;HeadNom_m:2147,00000;ESPfreq_Hz:36,00000;ESP_U_V:1000,00000;MotorPowerNom_kW:30,00000;Tintake_C:85,00000;Tdis_C:85,00000;KsepGS_fr:0,00000;ESP_energy_fact_Whday:0,00000;ESP_cable_type:0;ESP_Hmes_m:0,00000;GasDegtType:0;Kdegr:0,00000;PKV_work_min:-1,00000;PKV_stop_min:-1,00000;</v>
      </c>
      <c r="H47" s="66"/>
      <c r="I47" s="66"/>
      <c r="J47" s="66"/>
      <c r="K47" s="66"/>
      <c r="L47" s="66"/>
      <c r="M47" s="66"/>
      <c r="N47" s="66"/>
      <c r="O47" s="66"/>
      <c r="P47" s="66"/>
      <c r="Q47" s="66"/>
      <c r="R47" s="66"/>
      <c r="S47" s="66"/>
      <c r="T47" s="66"/>
      <c r="U47" s="66"/>
    </row>
    <row r="48" spans="1:21" ht="15.75" x14ac:dyDescent="0.3">
      <c r="B48" s="18" t="s">
        <v>66</v>
      </c>
      <c r="C48" s="36">
        <v>93</v>
      </c>
      <c r="D48" s="18" t="s">
        <v>1</v>
      </c>
      <c r="E48" s="36">
        <v>93</v>
      </c>
    </row>
    <row r="49" spans="1:22" ht="15.75" x14ac:dyDescent="0.3">
      <c r="B49" s="18" t="s">
        <v>67</v>
      </c>
      <c r="C49" s="8">
        <f>D84</f>
        <v>33.984000000000002</v>
      </c>
      <c r="D49" s="18" t="s">
        <v>2</v>
      </c>
      <c r="G49" s="67" t="s">
        <v>96</v>
      </c>
      <c r="H49" s="67"/>
      <c r="I49" s="67"/>
      <c r="J49" s="67"/>
      <c r="K49" s="67"/>
      <c r="L49" s="67"/>
      <c r="M49" s="67"/>
      <c r="N49" s="67"/>
      <c r="O49" s="67"/>
      <c r="P49" s="67"/>
      <c r="Q49" s="67"/>
      <c r="R49" s="67"/>
      <c r="S49" s="67"/>
      <c r="T49" s="67"/>
      <c r="U49" s="67"/>
    </row>
    <row r="50" spans="1:22" x14ac:dyDescent="0.2">
      <c r="G50" s="66" t="str">
        <f>[1]!PVT_encode_string(gamma_gas_,gamma_oil_,gamma_wat_,Rsb_,Rp_,Pb_,Tres_,Bob_,mu_)</f>
        <v>gamma_gas:0,800;gamma_oil:0,841;gamma_wat:1,005;rsb_m3m3:200,000;rp_m3m3:862,000;pb_atma:178,000;tres_C:60,000;bob_m3m3:1,149;muob_cP:1,500;PVTcorr:0;ksep_fr:0,000;pksep_atma:-1,000;tksep_C:-1,000;</v>
      </c>
      <c r="H50" s="66"/>
      <c r="I50" s="66"/>
      <c r="J50" s="66"/>
      <c r="K50" s="66"/>
      <c r="L50" s="66"/>
      <c r="M50" s="66"/>
      <c r="N50" s="66"/>
      <c r="O50" s="66"/>
      <c r="P50" s="66"/>
      <c r="Q50" s="66"/>
      <c r="R50" s="66"/>
      <c r="S50" s="66"/>
      <c r="T50" s="66"/>
      <c r="U50" s="66"/>
    </row>
    <row r="51" spans="1:22" x14ac:dyDescent="0.2">
      <c r="A51" s="1" t="s">
        <v>20</v>
      </c>
    </row>
    <row r="52" spans="1:22" ht="15.75" x14ac:dyDescent="0.3">
      <c r="B52" s="18" t="s">
        <v>68</v>
      </c>
      <c r="C52" s="2">
        <v>178</v>
      </c>
      <c r="D52" s="18" t="s">
        <v>1</v>
      </c>
    </row>
    <row r="53" spans="1:22" x14ac:dyDescent="0.2">
      <c r="B53" s="18" t="s">
        <v>69</v>
      </c>
      <c r="C53" s="21">
        <f>[1]!IPR_PI_sm3dayatm(Q_total_,Pwf_,Pres_,fw_,Pb_)</f>
        <v>2.0059287843553832</v>
      </c>
      <c r="D53" s="18" t="s">
        <v>10</v>
      </c>
    </row>
    <row r="54" spans="1:22" x14ac:dyDescent="0.2">
      <c r="B54" s="18" t="s">
        <v>70</v>
      </c>
      <c r="C54" s="2">
        <v>3</v>
      </c>
      <c r="D54" s="18" t="s">
        <v>11</v>
      </c>
    </row>
    <row r="55" spans="1:22" x14ac:dyDescent="0.2">
      <c r="B55" s="18" t="s">
        <v>95</v>
      </c>
      <c r="C55" s="2">
        <f>[1]!IPR_Qliq_sm3Day(PI_,Pres_,0,fw_,Pb_)</f>
        <v>199.30468246575165</v>
      </c>
      <c r="D55" s="18" t="s">
        <v>6</v>
      </c>
    </row>
    <row r="56" spans="1:22" x14ac:dyDescent="0.2">
      <c r="B56" s="23"/>
      <c r="C56" s="23"/>
      <c r="D56" s="23"/>
    </row>
    <row r="58" spans="1:22" x14ac:dyDescent="0.2">
      <c r="B58" s="12" t="s">
        <v>12</v>
      </c>
      <c r="C58" s="2">
        <v>25</v>
      </c>
      <c r="D58" s="12"/>
    </row>
    <row r="62" spans="1:22" outlineLevel="1" x14ac:dyDescent="0.2">
      <c r="U62" s="20" t="s">
        <v>100</v>
      </c>
      <c r="V62" s="61">
        <f>Dtub_</f>
        <v>62</v>
      </c>
    </row>
    <row r="63" spans="1:22" x14ac:dyDescent="0.2">
      <c r="A63" t="s">
        <v>27</v>
      </c>
    </row>
    <row r="64" spans="1:22" ht="15.75" outlineLevel="1" x14ac:dyDescent="0.25">
      <c r="A64" s="65" t="s">
        <v>22</v>
      </c>
      <c r="S64" s="57" t="s">
        <v>99</v>
      </c>
      <c r="T64" s="62">
        <f>(T66-Q_annular_all_in)^2</f>
        <v>3.5285230797782033E-23</v>
      </c>
      <c r="U64" s="57" t="s">
        <v>99</v>
      </c>
      <c r="V64" s="62">
        <f>(V66-Q_tube_all_in)^2</f>
        <v>7.5144996565181054E-23</v>
      </c>
    </row>
    <row r="65" spans="3:32" outlineLevel="1" x14ac:dyDescent="0.2">
      <c r="F65" s="50" t="s">
        <v>93</v>
      </c>
      <c r="G65" s="50"/>
      <c r="H65" s="50"/>
      <c r="I65" s="50"/>
      <c r="J65" s="50"/>
      <c r="K65" s="50"/>
      <c r="L65" s="50"/>
      <c r="M65" s="50"/>
      <c r="N65" s="50"/>
      <c r="O65" s="50"/>
      <c r="P65" s="50"/>
      <c r="Q65" s="50"/>
      <c r="R65" s="50"/>
      <c r="S65" s="50" t="s">
        <v>104</v>
      </c>
      <c r="T65" s="50"/>
      <c r="U65" s="50" t="s">
        <v>105</v>
      </c>
      <c r="V65" s="50"/>
      <c r="W65" s="63"/>
      <c r="X65" s="63"/>
      <c r="Y65" s="63"/>
      <c r="Z65" s="63"/>
      <c r="AA65" s="63"/>
      <c r="AB65" s="63"/>
      <c r="AC65" s="63"/>
      <c r="AD65" s="63"/>
      <c r="AE65" s="63"/>
      <c r="AF65" s="64"/>
    </row>
    <row r="66" spans="3:32" outlineLevel="1" x14ac:dyDescent="0.2">
      <c r="C66" s="57" t="s">
        <v>23</v>
      </c>
      <c r="D66" s="2">
        <v>0.01</v>
      </c>
      <c r="J66" s="50" t="s">
        <v>83</v>
      </c>
      <c r="K66" s="50"/>
      <c r="L66" s="50"/>
      <c r="M66" s="50"/>
      <c r="N66" s="47">
        <v>0.3</v>
      </c>
      <c r="S66" s="57" t="s">
        <v>98</v>
      </c>
      <c r="T66" s="60">
        <f>[1]!IPR_Qliq_sm3Day(PI_,Pres_,T94,fw_,Pb_)</f>
        <v>160.56181472215906</v>
      </c>
      <c r="U66" s="57" t="s">
        <v>102</v>
      </c>
      <c r="V66" s="60">
        <f>[1]!IPR_Qliq_sm3Day(PI_,Pres_,V94,fw_,Pb_)</f>
        <v>150.47536053461621</v>
      </c>
      <c r="W66" s="64"/>
      <c r="X66" s="64"/>
      <c r="Y66" s="64"/>
      <c r="Z66" s="64"/>
      <c r="AA66" s="64"/>
      <c r="AB66" s="64"/>
      <c r="AC66" s="64"/>
      <c r="AD66" s="64"/>
      <c r="AE66" s="64"/>
      <c r="AF66" s="64"/>
    </row>
    <row r="67" spans="3:32" outlineLevel="1" x14ac:dyDescent="0.2">
      <c r="L67" s="48" t="s">
        <v>91</v>
      </c>
      <c r="M67" s="49">
        <f>ABS((L69-M69)/L69)</f>
        <v>4.5077430786842447E-2</v>
      </c>
      <c r="N67" s="38"/>
      <c r="O67" s="38"/>
      <c r="P67" s="38"/>
      <c r="Q67" s="45" t="s">
        <v>92</v>
      </c>
      <c r="R67" s="42">
        <f>ABS((R69-Q69)/R69)</f>
        <v>5.9689744531699826E-2</v>
      </c>
      <c r="S67" s="57" t="s">
        <v>97</v>
      </c>
      <c r="T67" s="60">
        <v>160.561814722165</v>
      </c>
      <c r="U67" s="57" t="s">
        <v>101</v>
      </c>
      <c r="V67" s="60">
        <v>150.47536053462488</v>
      </c>
    </row>
    <row r="68" spans="3:32" ht="63.75" outlineLevel="1" x14ac:dyDescent="0.2">
      <c r="C68" s="26" t="s">
        <v>14</v>
      </c>
      <c r="D68" s="26" t="s">
        <v>13</v>
      </c>
      <c r="E68" s="10"/>
      <c r="F68" s="25" t="s">
        <v>90</v>
      </c>
      <c r="G68" s="25" t="s">
        <v>26</v>
      </c>
      <c r="H68" s="25" t="s">
        <v>21</v>
      </c>
      <c r="I68" s="30" t="s">
        <v>88</v>
      </c>
      <c r="J68" s="30" t="s">
        <v>87</v>
      </c>
      <c r="K68" s="30" t="s">
        <v>86</v>
      </c>
      <c r="L68" s="46" t="s">
        <v>24</v>
      </c>
      <c r="M68" s="46" t="s">
        <v>79</v>
      </c>
      <c r="N68" s="32" t="s">
        <v>23</v>
      </c>
      <c r="O68" s="25" t="s">
        <v>81</v>
      </c>
      <c r="P68" s="30" t="s">
        <v>80</v>
      </c>
      <c r="Q68" s="46" t="s">
        <v>78</v>
      </c>
      <c r="R68" s="46" t="s">
        <v>77</v>
      </c>
      <c r="S68" s="46" t="s">
        <v>77</v>
      </c>
      <c r="T68" s="46" t="s">
        <v>103</v>
      </c>
      <c r="U68" s="46" t="s">
        <v>24</v>
      </c>
      <c r="V68" s="46" t="s">
        <v>103</v>
      </c>
    </row>
    <row r="69" spans="3:32" outlineLevel="1" x14ac:dyDescent="0.2">
      <c r="C69" s="27">
        <v>0</v>
      </c>
      <c r="D69" s="27">
        <f t="shared" ref="D69:D94" si="0">D70-Tgrad*(C70-C69)/100</f>
        <v>5.3290705182007514E-15</v>
      </c>
      <c r="F69" s="21">
        <f>[1]!MF_p_pipe_atma(Q_,fw_,C70,C69,F70,PVT_str_,theta_,Dtub_,,D70,D69)</f>
        <v>5.3393064593970516</v>
      </c>
      <c r="J69" s="41">
        <f>[1]!MF_gas_fraction_d(Q69,D69,fw_,PVT_str_annular_)</f>
        <v>0.92015271286730826</v>
      </c>
      <c r="K69" s="31">
        <f>[1]!MF_gas_fraction_d(M69,D69,fw_,PVT_str_)</f>
        <v>0.65283310406969208</v>
      </c>
      <c r="L69" s="33">
        <f>Pbuf_</f>
        <v>35</v>
      </c>
      <c r="M69" s="21">
        <f>[1]!MF_p_pipe_atma(Q_,fw_,C70,C69,M70,PVT_str_,theta_,Dtub_,1,D70,D69)</f>
        <v>36.577710077539486</v>
      </c>
      <c r="Q69" s="21">
        <f>[1]!MF_p_pipe_atma(Q_annular_,fw_,C70,C69,Q70,PVT_str_annular_,theta_,d_annular_pr,1,D70,D69)</f>
        <v>52.65737430622481</v>
      </c>
      <c r="R69" s="34">
        <f>Pannular_</f>
        <v>56</v>
      </c>
      <c r="S69" s="34">
        <v>35</v>
      </c>
      <c r="T69" s="58"/>
      <c r="U69" s="34">
        <v>35</v>
      </c>
      <c r="V69" s="58"/>
    </row>
    <row r="70" spans="3:32" outlineLevel="1" x14ac:dyDescent="0.2">
      <c r="C70" s="27">
        <f t="shared" ref="C70:C88" si="1">C69+Hmes_/N_</f>
        <v>75.52</v>
      </c>
      <c r="D70" s="27">
        <f t="shared" si="0"/>
        <v>2.2656000000000054</v>
      </c>
      <c r="F70" s="21">
        <f>[1]!MF_p_pipe_atma(Q_,fw_,C71,C70,F71,PVT_str_,theta_,Dtub_,,D71,D70)</f>
        <v>6.7392983362957732</v>
      </c>
      <c r="J70" s="41">
        <f>[1]!MF_gas_fraction_d(Q70,D70,fw_,PVT_str_annular_)</f>
        <v>0.91873980465304317</v>
      </c>
      <c r="K70" s="31">
        <f>[1]!MF_gas_fraction_d(M70,D70,fw_,PVT_str_)</f>
        <v>0.61897642314752732</v>
      </c>
      <c r="L70" s="21">
        <f>[1]!MF_p_pipe_atma(Q_,fw_,C69,C70,L69,PVT_str_,theta_,Dtub_,1,D69,D70)</f>
        <v>38.903344053142149</v>
      </c>
      <c r="M70" s="21">
        <f>[1]!MF_p_pipe_atma(Q_,fw_,C71,C70,M71,PVT_str_,theta_,Dtub_,1,D71,D70)</f>
        <v>40.579388524205001</v>
      </c>
      <c r="Q70" s="21">
        <f>[1]!MF_p_pipe_atma(Q_annular_,fw_,C71,C70,Q71,PVT_str_annular_,theta_,d_annular_pr,1,D71,D70)</f>
        <v>54.114873109414077</v>
      </c>
      <c r="R70" s="21">
        <f>[1]!MF_p_pipe_atma(Q_annular_,fw_,C69,C70,R69,PVT_str_annular_,theta_,d_annular_pr,1,D69,D70)</f>
        <v>57.53850927604509</v>
      </c>
      <c r="S70" s="21">
        <f>[1]!MF_p_pipe_atma(Q_annular_all_in,fw_,C69,C70,S69,PVT_str_annular_,theta_,d_annular_pr,1,D69,D70)</f>
        <v>36.160146867682002</v>
      </c>
      <c r="T70" s="58"/>
      <c r="U70" s="21">
        <f>[1]!MF_p_pipe_atma(Q_tube_all_in,fw_,C69,C70,U69,PVT_str_annular_,theta_,d_tube_all_in,1,D69,D70)</f>
        <v>36.886835479293495</v>
      </c>
      <c r="V70" s="58"/>
    </row>
    <row r="71" spans="3:32" outlineLevel="1" x14ac:dyDescent="0.2">
      <c r="C71" s="27">
        <f t="shared" si="1"/>
        <v>151.04</v>
      </c>
      <c r="D71" s="27">
        <f t="shared" si="0"/>
        <v>4.5312000000000054</v>
      </c>
      <c r="F71" s="21">
        <f>[1]!MF_p_pipe_atma(Q_,fw_,C72,C71,F72,PVT_str_,theta_,Dtub_,,D72,D71)</f>
        <v>8.2967272134675056</v>
      </c>
      <c r="J71" s="41">
        <f>[1]!MF_gas_fraction_d(Q71,D71,fw_,PVT_str_annular_)</f>
        <v>0.9173410026336507</v>
      </c>
      <c r="K71" s="31">
        <f>[1]!MF_gas_fraction_d(M71,D71,fw_,PVT_str_)</f>
        <v>0.58413823753104355</v>
      </c>
      <c r="L71" s="21">
        <f>[1]!MF_p_pipe_atma(Q_,fw_,C70,C71,L70,PVT_str_,theta_,Dtub_,1,D70,D71)</f>
        <v>43.017426383643922</v>
      </c>
      <c r="M71" s="21">
        <f>[1]!MF_p_pipe_atma(Q_,fw_,C72,C71,M72,PVT_str_,theta_,Dtub_,1,D72,D71)</f>
        <v>44.789374102308528</v>
      </c>
      <c r="Q71" s="21">
        <f>[1]!MF_p_pipe_atma(Q_annular_,fw_,C72,C71,Q72,PVT_str_annular_,theta_,d_annular_pr,1,D72,D71)</f>
        <v>55.585072142926819</v>
      </c>
      <c r="R71" s="21">
        <f>[1]!MF_p_pipe_atma(Q_annular_,fw_,C70,C71,R70,PVT_str_annular_,theta_,d_annular_pr,1,D70,D71)</f>
        <v>59.090759053093933</v>
      </c>
      <c r="S71" s="21">
        <f>[1]!MF_p_pipe_atma(Q_annular_all_in,fw_,C70,C71,S70,PVT_str_annular_,theta_,d_annular_pr,1,D70,D71)</f>
        <v>37.303800171146939</v>
      </c>
      <c r="T71" s="58"/>
      <c r="U71" s="21">
        <f>[1]!MF_p_pipe_atma(Q_tube_all_in,fw_,C70,C71,U70,PVT_str_annular_,theta_,d_tube_all_in,1,D70,D71)</f>
        <v>38.679980482938056</v>
      </c>
      <c r="V71" s="58"/>
    </row>
    <row r="72" spans="3:32" outlineLevel="1" x14ac:dyDescent="0.2">
      <c r="C72" s="27">
        <f t="shared" si="1"/>
        <v>226.56</v>
      </c>
      <c r="D72" s="27">
        <f t="shared" si="0"/>
        <v>6.7968000000000064</v>
      </c>
      <c r="F72" s="21">
        <f>[1]!MF_p_pipe_atma(Q_,fw_,C73,C72,F73,PVT_str_,theta_,Dtub_,,D73,D72)</f>
        <v>10.000688670184021</v>
      </c>
      <c r="J72" s="41">
        <f>[1]!MF_gas_fraction_d(Q72,D72,fw_,PVT_str_annular_)</f>
        <v>0.91595358111919012</v>
      </c>
      <c r="K72" s="31">
        <f>[1]!MF_gas_fraction_d(M72,D72,fw_,PVT_str_)</f>
        <v>0.54849595222159797</v>
      </c>
      <c r="L72" s="21">
        <f>[1]!MF_p_pipe_atma(Q_,fw_,C71,C72,L71,PVT_str_,theta_,Dtub_,1,D71,D72)</f>
        <v>47.333531181329711</v>
      </c>
      <c r="M72" s="21">
        <f>[1]!MF_p_pipe_atma(Q_,fw_,C73,C72,M73,PVT_str_,theta_,Dtub_,1,D73,D72)</f>
        <v>49.198812704115035</v>
      </c>
      <c r="Q72" s="21">
        <f>[1]!MF_p_pipe_atma(Q_annular_,fw_,C73,C72,Q73,PVT_str_annular_,theta_,d_annular_pr,1,D73,D72)</f>
        <v>57.06933968016191</v>
      </c>
      <c r="R72" s="21">
        <f>[1]!MF_p_pipe_atma(Q_annular_,fw_,C71,C72,R71,PVT_str_annular_,theta_,d_annular_pr,1,D71,D72)</f>
        <v>60.657873366832156</v>
      </c>
      <c r="S72" s="21">
        <f>[1]!MF_p_pipe_atma(Q_annular_all_in,fw_,C71,C72,S71,PVT_str_annular_,theta_,d_annular_pr,1,D71,D72)</f>
        <v>38.439214226147868</v>
      </c>
      <c r="T72" s="58"/>
      <c r="U72" s="21">
        <f>[1]!MF_p_pipe_atma(Q_tube_all_in,fw_,C71,C72,U71,PVT_str_annular_,theta_,d_tube_all_in,1,D71,D72)</f>
        <v>40.411714892395302</v>
      </c>
      <c r="V72" s="58"/>
    </row>
    <row r="73" spans="3:32" outlineLevel="1" x14ac:dyDescent="0.2">
      <c r="C73" s="27">
        <f t="shared" si="1"/>
        <v>302.08</v>
      </c>
      <c r="D73" s="27">
        <f t="shared" si="0"/>
        <v>9.0624000000000056</v>
      </c>
      <c r="F73" s="21">
        <f>[1]!MF_p_pipe_atma(Q_,fw_,C74,C73,F74,PVT_str_,theta_,Dtub_,,D74,D73)</f>
        <v>11.858509525145102</v>
      </c>
      <c r="J73" s="41">
        <f>[1]!MF_gas_fraction_d(Q73,D73,fw_,PVT_str_annular_)</f>
        <v>0.91457590114523357</v>
      </c>
      <c r="K73" s="31">
        <f>[1]!MF_gas_fraction_d(M73,D73,fw_,PVT_str_)</f>
        <v>0.51221737150466795</v>
      </c>
      <c r="L73" s="21">
        <f>[1]!MF_p_pipe_atma(Q_,fw_,C72,C73,L72,PVT_str_,theta_,Dtub_,1,D72,D73)</f>
        <v>51.843439796531065</v>
      </c>
      <c r="M73" s="21">
        <f>[1]!MF_p_pipe_atma(Q_,fw_,C74,C73,M74,PVT_str_,theta_,Dtub_,1,D74,D73)</f>
        <v>53.799132021723409</v>
      </c>
      <c r="Q73" s="21">
        <f>[1]!MF_p_pipe_atma(Q_annular_,fw_,C74,C73,Q74,PVT_str_annular_,theta_,d_annular_pr,1,D74,D73)</f>
        <v>58.568492791918572</v>
      </c>
      <c r="R73" s="21">
        <f>[1]!MF_p_pipe_atma(Q_annular_,fw_,C72,C73,R72,PVT_str_annular_,theta_,d_annular_pr,1,D72,D73)</f>
        <v>62.240507253950597</v>
      </c>
      <c r="S73" s="21">
        <f>[1]!MF_p_pipe_atma(Q_annular_all_in,fw_,C72,C73,S72,PVT_str_annular_,theta_,d_annular_pr,1,D72,D73)</f>
        <v>39.571508418698741</v>
      </c>
      <c r="T73" s="58"/>
      <c r="U73" s="21">
        <f>[1]!MF_p_pipe_atma(Q_tube_all_in,fw_,C72,C73,U72,PVT_str_annular_,theta_,d_tube_all_in,1,D72,D73)</f>
        <v>42.101691540237574</v>
      </c>
      <c r="V73" s="58"/>
    </row>
    <row r="74" spans="3:32" outlineLevel="1" x14ac:dyDescent="0.2">
      <c r="C74" s="27">
        <f t="shared" si="1"/>
        <v>377.59999999999997</v>
      </c>
      <c r="D74" s="27">
        <f t="shared" si="0"/>
        <v>11.328000000000005</v>
      </c>
      <c r="F74" s="21">
        <f>[1]!MF_p_pipe_atma(Q_,fw_,C75,C74,F75,PVT_str_,theta_,Dtub_,,D75,D74)</f>
        <v>13.874767871831436</v>
      </c>
      <c r="J74" s="41">
        <f>[1]!MF_gas_fraction_d(Q74,D74,fw_,PVT_str_annular_)</f>
        <v>0.91320695678594999</v>
      </c>
      <c r="K74" s="31">
        <f>[1]!MF_gas_fraction_d(M74,D74,fw_,PVT_str_)</f>
        <v>0.47546722047595708</v>
      </c>
      <c r="L74" s="21">
        <f>[1]!MF_p_pipe_atma(Q_,fw_,C73,C74,L73,PVT_str_,theta_,Dtub_,1,D73,D74)</f>
        <v>56.538281363061039</v>
      </c>
      <c r="M74" s="21">
        <f>[1]!MF_p_pipe_atma(Q_,fw_,C75,C74,M75,PVT_str_,theta_,Dtub_,1,D75,D74)</f>
        <v>58.581220391191245</v>
      </c>
      <c r="Q74" s="21">
        <f>[1]!MF_p_pipe_atma(Q_annular_,fw_,C75,C74,Q75,PVT_str_annular_,theta_,d_annular_pr,1,D75,D74)</f>
        <v>60.083028961936847</v>
      </c>
      <c r="R74" s="21">
        <f>[1]!MF_p_pipe_atma(Q_annular_,fw_,C73,C74,R73,PVT_str_annular_,theta_,d_annular_pr,1,D73,D74)</f>
        <v>63.839042943779248</v>
      </c>
      <c r="S74" s="21">
        <f>[1]!MF_p_pipe_atma(Q_annular_all_in,fw_,C73,C74,S73,PVT_str_annular_,theta_,d_annular_pr,1,D73,D74)</f>
        <v>40.704048719298328</v>
      </c>
      <c r="T74" s="58"/>
      <c r="U74" s="21">
        <f>[1]!MF_p_pipe_atma(Q_tube_all_in,fw_,C73,C74,U73,PVT_str_annular_,theta_,d_tube_all_in,1,D73,D74)</f>
        <v>43.762696313942598</v>
      </c>
      <c r="V74" s="58"/>
    </row>
    <row r="75" spans="3:32" outlineLevel="1" x14ac:dyDescent="0.2">
      <c r="C75" s="27">
        <f t="shared" si="1"/>
        <v>453.11999999999995</v>
      </c>
      <c r="D75" s="27">
        <f t="shared" si="0"/>
        <v>13.593600000000004</v>
      </c>
      <c r="F75" s="21">
        <f>[1]!MF_p_pipe_atma(Q_,fw_,C76,C75,F76,PVT_str_,theta_,Dtub_,,D76,D75)</f>
        <v>16.054334115455038</v>
      </c>
      <c r="J75" s="41">
        <f>[1]!MF_gas_fraction_d(Q75,D75,fw_,PVT_str_annular_)</f>
        <v>0.91184613587156615</v>
      </c>
      <c r="K75" s="31">
        <f>[1]!MF_gas_fraction_d(M75,D75,fw_,PVT_str_)</f>
        <v>0.43840361562539271</v>
      </c>
      <c r="L75" s="21">
        <f>[1]!MF_p_pipe_atma(Q_,fw_,C74,C75,L74,PVT_str_,theta_,Dtub_,1,D74,D75)</f>
        <v>61.408840073912209</v>
      </c>
      <c r="M75" s="21">
        <f>[1]!MF_p_pipe_atma(Q_,fw_,C76,C75,M76,PVT_str_,theta_,Dtub_,1,D76,D75)</f>
        <v>63.535710943398179</v>
      </c>
      <c r="Q75" s="21">
        <f>[1]!MF_p_pipe_atma(Q_annular_,fw_,C76,C75,Q76,PVT_str_annular_,theta_,d_annular_pr,1,D76,D75)</f>
        <v>61.613248042741503</v>
      </c>
      <c r="R75" s="21">
        <f>[1]!MF_p_pipe_atma(Q_annular_,fw_,C74,C75,R74,PVT_str_annular_,theta_,d_annular_pr,1,D74,D75)</f>
        <v>65.453693680092002</v>
      </c>
      <c r="S75" s="21">
        <f>[1]!MF_p_pipe_atma(Q_annular_all_in,fw_,C74,C75,S74,PVT_str_annular_,theta_,d_annular_pr,1,D74,D75)</f>
        <v>41.839149092173834</v>
      </c>
      <c r="T75" s="58"/>
      <c r="U75" s="21">
        <f>[1]!MF_p_pipe_atma(Q_tube_all_in,fw_,C74,C75,U74,PVT_str_annular_,theta_,d_tube_all_in,1,D74,D75)</f>
        <v>45.40347778715013</v>
      </c>
      <c r="V75" s="58"/>
    </row>
    <row r="76" spans="3:32" outlineLevel="1" x14ac:dyDescent="0.2">
      <c r="C76" s="27">
        <f t="shared" si="1"/>
        <v>528.64</v>
      </c>
      <c r="D76" s="27">
        <f t="shared" si="0"/>
        <v>15.859200000000005</v>
      </c>
      <c r="F76" s="21">
        <f>[1]!MF_p_pipe_atma(Q_,fw_,C77,C76,F77,PVT_str_,theta_,Dtub_,,D77,D76)</f>
        <v>18.470435847449501</v>
      </c>
      <c r="J76" s="41">
        <f>[1]!MF_gas_fraction_d(Q76,D76,fw_,PVT_str_annular_)</f>
        <v>0.91049308452883115</v>
      </c>
      <c r="K76" s="31">
        <f>[1]!MF_gas_fraction_d(M76,D76,fw_,PVT_str_)</f>
        <v>0.40118309637495242</v>
      </c>
      <c r="L76" s="21">
        <f>[1]!MF_p_pipe_atma(Q_,fw_,C75,C76,L75,PVT_str_,theta_,Dtub_,1,D75,D76)</f>
        <v>66.445784979953501</v>
      </c>
      <c r="M76" s="21">
        <f>[1]!MF_p_pipe_atma(Q_,fw_,C77,C76,M77,PVT_str_,theta_,Dtub_,1,D77,D76)</f>
        <v>68.652254359901335</v>
      </c>
      <c r="Q76" s="21">
        <f>[1]!MF_p_pipe_atma(Q_annular_,fw_,C77,C76,Q77,PVT_str_annular_,theta_,d_annular_pr,1,D77,D76)</f>
        <v>63.159321140728018</v>
      </c>
      <c r="R76" s="21">
        <f>[1]!MF_p_pipe_atma(Q_annular_,fw_,C75,C76,R75,PVT_str_annular_,theta_,d_annular_pr,1,D75,D76)</f>
        <v>67.084562562025411</v>
      </c>
      <c r="S76" s="21">
        <f>[1]!MF_p_pipe_atma(Q_annular_all_in,fw_,C75,C76,S75,PVT_str_annular_,theta_,d_annular_pr,1,D75,D76)</f>
        <v>42.978456656015922</v>
      </c>
      <c r="T76" s="58"/>
      <c r="U76" s="21">
        <f>[1]!MF_p_pipe_atma(Q_tube_all_in,fw_,C75,C76,U75,PVT_str_annular_,theta_,d_tube_all_in,1,D75,D76)</f>
        <v>47.030263623864791</v>
      </c>
      <c r="V76" s="58"/>
    </row>
    <row r="77" spans="3:32" outlineLevel="1" x14ac:dyDescent="0.2">
      <c r="C77" s="27">
        <f t="shared" si="1"/>
        <v>604.16</v>
      </c>
      <c r="D77" s="27">
        <f t="shared" si="0"/>
        <v>18.124800000000004</v>
      </c>
      <c r="F77" s="21">
        <f>[1]!MF_p_pipe_atma(Q_,fw_,C78,C77,F78,PVT_str_,theta_,Dtub_,,D78,D77)</f>
        <v>21.161528069203303</v>
      </c>
      <c r="J77" s="41">
        <f>[1]!MF_gas_fraction_d(Q77,D77,fw_,PVT_str_annular_)</f>
        <v>0.90914762597562448</v>
      </c>
      <c r="K77" s="31">
        <f>[1]!MF_gas_fraction_d(M77,D77,fw_,PVT_str_)</f>
        <v>0.36402742003202399</v>
      </c>
      <c r="L77" s="21">
        <f>[1]!MF_p_pipe_atma(Q_,fw_,C76,C77,L76,PVT_str_,theta_,Dtub_,1,D76,D77)</f>
        <v>71.632059846291753</v>
      </c>
      <c r="M77" s="21">
        <f>[1]!MF_p_pipe_atma(Q_,fw_,C78,C77,M78,PVT_str_,theta_,Dtub_,1,D78,D77)</f>
        <v>73.911073063387562</v>
      </c>
      <c r="Q77" s="21">
        <f>[1]!MF_p_pipe_atma(Q_annular_,fw_,C78,C77,Q78,PVT_str_annular_,theta_,d_annular_pr,1,D78,D77)</f>
        <v>64.721331755278115</v>
      </c>
      <c r="R77" s="21">
        <f>[1]!MF_p_pipe_atma(Q_annular_,fw_,C76,C77,R76,PVT_str_annular_,theta_,d_annular_pr,1,D76,D77)</f>
        <v>68.731677752667693</v>
      </c>
      <c r="S77" s="21">
        <f>[1]!MF_p_pipe_atma(Q_annular_all_in,fw_,C76,C77,S76,PVT_str_annular_,theta_,d_annular_pr,1,D76,D77)</f>
        <v>44.12317662805156</v>
      </c>
      <c r="T77" s="58"/>
      <c r="U77" s="21">
        <f>[1]!MF_p_pipe_atma(Q_tube_all_in,fw_,C76,C77,U76,PVT_str_annular_,theta_,d_tube_all_in,1,D76,D77)</f>
        <v>48.647629967673112</v>
      </c>
      <c r="V77" s="58"/>
    </row>
    <row r="78" spans="3:32" outlineLevel="1" x14ac:dyDescent="0.2">
      <c r="C78" s="27">
        <f t="shared" si="1"/>
        <v>679.68</v>
      </c>
      <c r="D78" s="27">
        <f t="shared" si="0"/>
        <v>20.390400000000003</v>
      </c>
      <c r="F78" s="21">
        <f>[1]!MF_p_pipe_atma(Q_,fw_,C79,C78,F79,PVT_str_,theta_,Dtub_,,D79,D78)</f>
        <v>24.135391640418938</v>
      </c>
      <c r="J78" s="41">
        <f>[1]!MF_gas_fraction_d(Q78,D78,fw_,PVT_str_annular_)</f>
        <v>0.9078097094403984</v>
      </c>
      <c r="K78" s="31">
        <f>[1]!MF_gas_fraction_d(M78,D78,fw_,PVT_str_)</f>
        <v>0.32693867028879164</v>
      </c>
      <c r="L78" s="21">
        <f>[1]!MF_p_pipe_atma(Q_,fw_,C77,C78,L77,PVT_str_,theta_,Dtub_,1,D77,D78)</f>
        <v>76.963438544647985</v>
      </c>
      <c r="M78" s="21">
        <f>[1]!MF_p_pipe_atma(Q_,fw_,C79,C78,M79,PVT_str_,theta_,Dtub_,1,D79,D78)</f>
        <v>79.317520938934564</v>
      </c>
      <c r="Q78" s="21">
        <f>[1]!MF_p_pipe_atma(Q_annular_,fw_,C79,C78,Q79,PVT_str_annular_,theta_,d_annular_pr,1,D79,D78)</f>
        <v>66.299301487217193</v>
      </c>
      <c r="R78" s="21">
        <f>[1]!MF_p_pipe_atma(Q_annular_,fw_,C77,C78,R77,PVT_str_annular_,theta_,d_annular_pr,1,D77,D78)</f>
        <v>70.395014493630129</v>
      </c>
      <c r="S78" s="21">
        <f>[1]!MF_p_pipe_atma(Q_annular_all_in,fw_,C77,C78,S77,PVT_str_annular_,theta_,d_annular_pr,1,D77,D78)</f>
        <v>45.274210398614208</v>
      </c>
      <c r="T78" s="58"/>
      <c r="U78" s="21">
        <f>[1]!MF_p_pipe_atma(Q_tube_all_in,fw_,C77,C78,U77,PVT_str_annular_,theta_,d_tube_all_in,1,D77,D78)</f>
        <v>50.259027559124085</v>
      </c>
      <c r="V78" s="58"/>
    </row>
    <row r="79" spans="3:32" outlineLevel="1" x14ac:dyDescent="0.2">
      <c r="C79" s="27">
        <f t="shared" si="1"/>
        <v>755.19999999999993</v>
      </c>
      <c r="D79" s="27">
        <f t="shared" si="0"/>
        <v>22.656000000000002</v>
      </c>
      <c r="F79" s="21">
        <f>[1]!MF_p_pipe_atma(Q_,fw_,C80,C79,F80,PVT_str_,theta_,Dtub_,,D80,D79)</f>
        <v>27.362480283859647</v>
      </c>
      <c r="J79" s="41">
        <f>[1]!MF_gas_fraction_d(Q79,D79,fw_,PVT_str_annular_)</f>
        <v>0.90647937665642953</v>
      </c>
      <c r="K79" s="31">
        <f>[1]!MF_gas_fraction_d(M79,D79,fw_,PVT_str_)</f>
        <v>0.29005251006184557</v>
      </c>
      <c r="L79" s="21">
        <f>[1]!MF_p_pipe_atma(Q_,fw_,C78,C79,L78,PVT_str_,theta_,Dtub_,1,D78,D79)</f>
        <v>82.434764077068635</v>
      </c>
      <c r="M79" s="21">
        <f>[1]!MF_p_pipe_atma(Q_,fw_,C80,C79,M80,PVT_str_,theta_,Dtub_,1,D80,D79)</f>
        <v>84.859317218567682</v>
      </c>
      <c r="Q79" s="21">
        <f>[1]!MF_p_pipe_atma(Q_annular_,fw_,C80,C79,Q80,PVT_str_annular_,theta_,d_annular_pr,1,D80,D79)</f>
        <v>67.893206721573932</v>
      </c>
      <c r="R79" s="21">
        <f>[1]!MF_p_pipe_atma(Q_annular_,fw_,C78,C79,R78,PVT_str_annular_,theta_,d_annular_pr,1,D78,D79)</f>
        <v>72.074509379328731</v>
      </c>
      <c r="S79" s="21">
        <f>[1]!MF_p_pipe_atma(Q_annular_all_in,fw_,C78,C79,S78,PVT_str_annular_,theta_,d_annular_pr,1,D78,D79)</f>
        <v>46.432243837935104</v>
      </c>
      <c r="T79" s="58"/>
      <c r="U79" s="21">
        <f>[1]!MF_p_pipe_atma(Q_tube_all_in,fw_,C78,C79,U78,PVT_str_annular_,theta_,d_tube_all_in,1,D78,D79)</f>
        <v>51.867114560742706</v>
      </c>
      <c r="V79" s="58"/>
    </row>
    <row r="80" spans="3:32" outlineLevel="1" x14ac:dyDescent="0.2">
      <c r="C80" s="27">
        <f t="shared" si="1"/>
        <v>830.71999999999991</v>
      </c>
      <c r="D80" s="27">
        <f t="shared" si="0"/>
        <v>24.921600000000002</v>
      </c>
      <c r="F80" s="21">
        <f>[1]!MF_p_pipe_atma(Q_,fw_,C81,C80,F81,PVT_str_,theta_,Dtub_,,D81,D80)</f>
        <v>30.858093804742449</v>
      </c>
      <c r="J80" s="41">
        <f>[1]!MF_gas_fraction_d(Q80,D80,fw_,PVT_str_annular_)</f>
        <v>0.90515673904059391</v>
      </c>
      <c r="K80" s="31">
        <f>[1]!MF_gas_fraction_d(M80,D80,fw_,PVT_str_)</f>
        <v>0.25345436082246559</v>
      </c>
      <c r="L80" s="21">
        <f>[1]!MF_p_pipe_atma(Q_,fw_,C79,C80,L79,PVT_str_,theta_,Dtub_,1,D79,D80)</f>
        <v>88.036463436222832</v>
      </c>
      <c r="M80" s="21">
        <f>[1]!MF_p_pipe_atma(Q_,fw_,C81,C80,M81,PVT_str_,theta_,Dtub_,1,D81,D80)</f>
        <v>90.528442166674054</v>
      </c>
      <c r="Q80" s="21">
        <f>[1]!MF_p_pipe_atma(Q_annular_,fw_,C81,C80,Q81,PVT_str_annular_,theta_,d_annular_pr,1,D81,D80)</f>
        <v>69.502989805401981</v>
      </c>
      <c r="R80" s="21">
        <f>[1]!MF_p_pipe_atma(Q_annular_,fw_,C79,C80,R79,PVT_str_annular_,theta_,d_annular_pr,1,D79,D80)</f>
        <v>73.770069900704499</v>
      </c>
      <c r="S80" s="21">
        <f>[1]!MF_p_pipe_atma(Q_annular_all_in,fw_,C79,C80,S79,PVT_str_annular_,theta_,d_annular_pr,1,D79,D80)</f>
        <v>47.59780576069582</v>
      </c>
      <c r="T80" s="58"/>
      <c r="U80" s="21">
        <f>[1]!MF_p_pipe_atma(Q_tube_all_in,fw_,C79,C80,U79,PVT_str_annular_,theta_,d_tube_all_in,1,D79,D80)</f>
        <v>53.473975075683562</v>
      </c>
      <c r="V80" s="58"/>
    </row>
    <row r="81" spans="1:22" outlineLevel="1" x14ac:dyDescent="0.2">
      <c r="C81" s="27">
        <f t="shared" si="1"/>
        <v>906.2399999999999</v>
      </c>
      <c r="D81" s="27">
        <f t="shared" si="0"/>
        <v>27.187200000000001</v>
      </c>
      <c r="F81" s="21">
        <f>[1]!MF_p_pipe_atma(Q_,fw_,C82,C81,F82,PVT_str_,theta_,Dtub_,,D82,D81)</f>
        <v>34.619582448018207</v>
      </c>
      <c r="J81" s="41">
        <f>[1]!MF_gas_fraction_d(Q81,D81,fw_,PVT_str_annular_)</f>
        <v>0.90384196160066221</v>
      </c>
      <c r="K81" s="31">
        <f>[1]!MF_gas_fraction_d(M81,D81,fw_,PVT_str_)</f>
        <v>0.21720849824465949</v>
      </c>
      <c r="L81" s="21">
        <f>[1]!MF_p_pipe_atma(Q_,fw_,C80,C81,L80,PVT_str_,theta_,Dtub_,1,D80,D81)</f>
        <v>93.761042640641108</v>
      </c>
      <c r="M81" s="21">
        <f>[1]!MF_p_pipe_atma(Q_,fw_,C82,C81,M82,PVT_str_,theta_,Dtub_,1,D82,D81)</f>
        <v>96.317504847455112</v>
      </c>
      <c r="Q81" s="21">
        <f>[1]!MF_p_pipe_atma(Q_annular_,fw_,C82,C81,Q82,PVT_str_annular_,theta_,d_annular_pr,1,D82,D81)</f>
        <v>71.128566747846563</v>
      </c>
      <c r="R81" s="21">
        <f>[1]!MF_p_pipe_atma(Q_annular_,fw_,C80,C81,R80,PVT_str_annular_,theta_,d_annular_pr,1,D80,D81)</f>
        <v>75.481580997274605</v>
      </c>
      <c r="S81" s="21">
        <f>[1]!MF_p_pipe_atma(Q_annular_all_in,fw_,C80,C81,S80,PVT_str_annular_,theta_,d_annular_pr,1,D80,D81)</f>
        <v>48.77130779588655</v>
      </c>
      <c r="T81" s="58"/>
      <c r="U81" s="21">
        <f>[1]!MF_p_pipe_atma(Q_tube_all_in,fw_,C80,C81,U80,PVT_str_annular_,theta_,d_tube_all_in,1,D80,D81)</f>
        <v>55.081267232781876</v>
      </c>
      <c r="V81" s="58"/>
    </row>
    <row r="82" spans="1:22" outlineLevel="1" x14ac:dyDescent="0.2">
      <c r="C82" s="27">
        <f t="shared" si="1"/>
        <v>981.75999999999988</v>
      </c>
      <c r="D82" s="27">
        <f t="shared" si="0"/>
        <v>29.4528</v>
      </c>
      <c r="F82" s="21">
        <f>[1]!MF_p_pipe_atma(Q_,fw_,C83,C82,F83,PVT_str_,theta_,Dtub_,,D83,D82)</f>
        <v>38.642739291082137</v>
      </c>
      <c r="J82" s="41">
        <f>[1]!MF_gas_fraction_d(Q82,D82,fw_,PVT_str_annular_)</f>
        <v>0.90253525121336853</v>
      </c>
      <c r="K82" s="31">
        <f>[1]!MF_gas_fraction_d(M82,D82,fw_,PVT_str_)</f>
        <v>0.18135826503330091</v>
      </c>
      <c r="L82" s="21">
        <f>[1]!MF_p_pipe_atma(Q_,fw_,C81,C82,L81,PVT_str_,theta_,Dtub_,1,D81,D82)</f>
        <v>99.601494074172109</v>
      </c>
      <c r="M82" s="21">
        <f>[1]!MF_p_pipe_atma(Q_,fw_,C83,C82,M83,PVT_str_,theta_,Dtub_,1,D83,D82)</f>
        <v>102.21961922187499</v>
      </c>
      <c r="Q82" s="21">
        <f>[1]!MF_p_pipe_atma(Q_annular_,fw_,C83,C82,Q83,PVT_str_annular_,theta_,d_annular_pr,1,D83,D82)</f>
        <v>72.769832656480276</v>
      </c>
      <c r="R82" s="21">
        <f>[1]!MF_p_pipe_atma(Q_annular_,fw_,C81,C82,R81,PVT_str_annular_,theta_,d_annular_pr,1,D81,D82)</f>
        <v>77.208909661984109</v>
      </c>
      <c r="S82" s="21">
        <f>[1]!MF_p_pipe_atma(Q_annular_all_in,fw_,C81,C82,S81,PVT_str_annular_,theta_,d_annular_pr,1,D81,D82)</f>
        <v>49.953072283811515</v>
      </c>
      <c r="T82" s="58"/>
      <c r="U82" s="21">
        <f>[1]!MF_p_pipe_atma(Q_tube_all_in,fw_,C81,C82,U81,PVT_str_annular_,theta_,d_tube_all_in,1,D81,D82)</f>
        <v>56.69032632335243</v>
      </c>
      <c r="V82" s="58"/>
    </row>
    <row r="83" spans="1:22" outlineLevel="1" x14ac:dyDescent="0.2">
      <c r="C83" s="27">
        <f t="shared" si="1"/>
        <v>1057.28</v>
      </c>
      <c r="D83" s="27">
        <f t="shared" si="0"/>
        <v>31.718400000000003</v>
      </c>
      <c r="F83" s="21">
        <f>[1]!MF_p_pipe_atma(Q_,fw_,C84,C83,F84,PVT_str_,theta_,Dtub_,,D84,D83)</f>
        <v>42.921807164085216</v>
      </c>
      <c r="J83" s="41">
        <f>[1]!MF_gas_fraction_d(Q83,D83,fw_,PVT_str_annular_)</f>
        <v>0.9012368478231445</v>
      </c>
      <c r="K83" s="31">
        <f>[1]!MF_gas_fraction_d(M83,D83,fw_,PVT_str_)</f>
        <v>0.14592567773476281</v>
      </c>
      <c r="L83" s="21">
        <f>[1]!MF_p_pipe_atma(Q_,fw_,C82,C83,L82,PVT_str_,theta_,Dtub_,1,D82,D83)</f>
        <v>105.5513258422025</v>
      </c>
      <c r="M83" s="21">
        <f>[1]!MF_p_pipe_atma(Q_,fw_,C84,C83,M84,PVT_str_,theta_,Dtub_,1,D84,D83)</f>
        <v>108.22842982902787</v>
      </c>
      <c r="Q83" s="21">
        <f>[1]!MF_p_pipe_atma(Q_annular_,fw_,C84,C83,Q84,PVT_str_annular_,theta_,d_annular_pr,1,D84,D83)</f>
        <v>74.426665661882907</v>
      </c>
      <c r="R83" s="21">
        <f>[1]!MF_p_pipe_atma(Q_annular_,fw_,C82,C83,R82,PVT_str_annular_,theta_,d_annular_pr,1,D82,D83)</f>
        <v>78.951908247428449</v>
      </c>
      <c r="S83" s="21">
        <f>[1]!MF_p_pipe_atma(Q_annular_all_in,fw_,C82,C83,S82,PVT_str_annular_,theta_,d_annular_pr,1,D82,D83)</f>
        <v>51.143352241771431</v>
      </c>
      <c r="T83" s="58"/>
      <c r="U83" s="21">
        <f>[1]!MF_p_pipe_atma(Q_tube_all_in,fw_,C82,C83,U82,PVT_str_annular_,theta_,d_tube_all_in,1,D82,D83)</f>
        <v>58.302238371136788</v>
      </c>
      <c r="V83" s="58"/>
    </row>
    <row r="84" spans="1:22" outlineLevel="1" x14ac:dyDescent="0.2">
      <c r="C84" s="27">
        <f t="shared" si="1"/>
        <v>1132.8</v>
      </c>
      <c r="D84" s="27">
        <f t="shared" si="0"/>
        <v>33.984000000000002</v>
      </c>
      <c r="F84" s="21">
        <f>[1]!MF_p_pipe_atma(Q_,fw_,C85,C84,F85,PVT_str_,theta_,Dtub_,,D85,D84)</f>
        <v>47.449619934817932</v>
      </c>
      <c r="J84" s="41">
        <f>[1]!MF_gas_fraction_d(Q84,D84,fw_,PVT_str_annular_)</f>
        <v>0.89994701764546969</v>
      </c>
      <c r="K84" s="31">
        <f>[1]!MF_gas_fraction_d(M84,D84,fw_,PVT_str_)</f>
        <v>0.11091181474991453</v>
      </c>
      <c r="L84" s="21">
        <f>[1]!MF_p_pipe_atma(Q_,fw_,C83,C84,L83,PVT_str_,theta_,Dtub_,1,D83,D84)</f>
        <v>111.60457856347344</v>
      </c>
      <c r="M84" s="21">
        <f>[1]!MF_p_pipe_atma(Q_,fw_,C85,C84,M85,PVT_str_,theta_,Dtub_,1,D85,D84)</f>
        <v>114.33812624613876</v>
      </c>
      <c r="N84" s="37"/>
      <c r="Q84" s="21">
        <f>[1]!MF_p_pipe_atma(Q_annular_,fw_,C85,C84,Q85,PVT_str_annular_,theta_,d_annular_pr,1,D85,D84)</f>
        <v>76.098929810020806</v>
      </c>
      <c r="R84" s="21">
        <f>[1]!MF_p_pipe_atma(Q_annular_,fw_,C83,C84,R83,PVT_str_annular_,theta_,d_annular_pr,1,D83,D84)</f>
        <v>80.710416887874061</v>
      </c>
      <c r="S84" s="21">
        <f>[1]!MF_p_pipe_atma(Q_annular_all_in,fw_,C83,C84,S83,PVT_str_annular_,theta_,d_annular_pr,1,D83,D84)</f>
        <v>52.342345943322428</v>
      </c>
      <c r="T84" s="58"/>
      <c r="U84" s="21">
        <f>[1]!MF_p_pipe_atma(Q_tube_all_in,fw_,C83,C84,U83,PVT_str_annular_,theta_,d_tube_all_in,1,D83,D84)</f>
        <v>59.917893730980829</v>
      </c>
      <c r="V84" s="58"/>
    </row>
    <row r="85" spans="1:22" outlineLevel="1" x14ac:dyDescent="0.2">
      <c r="C85" s="27">
        <f t="shared" si="1"/>
        <v>1208.32</v>
      </c>
      <c r="D85" s="27">
        <f t="shared" si="0"/>
        <v>36.249600000000001</v>
      </c>
      <c r="E85" s="6"/>
      <c r="F85" s="29">
        <f>[1]!MF_p_pipe_atma(Q_,fw_,C86,C85,F86,PVT_str_,theta_,Dtub_,,D86,D85)</f>
        <v>52.217777228711363</v>
      </c>
      <c r="J85" s="41">
        <f>[1]!MF_gas_fraction_d(Q85,D85,fw_,PVT_str_annular_)</f>
        <v>0.89866604778269643</v>
      </c>
      <c r="K85" s="31">
        <f>[1]!MF_gas_fraction_d(M85,D85,fw_,PVT_str_)</f>
        <v>7.6297939676525997E-2</v>
      </c>
      <c r="L85" s="21">
        <f>[1]!MF_p_pipe_atma(Q_,fw_,C84,C85,L84,PVT_str_,theta_,Dtub_,1,D84,D85)</f>
        <v>117.75583267996277</v>
      </c>
      <c r="M85" s="21">
        <f>[1]!MF_p_pipe_atma(Q_,fw_,C86,C85,M86,PVT_str_,theta_,Dtub_,1,D86,D85)</f>
        <v>120.54344884428109</v>
      </c>
      <c r="Q85" s="21">
        <f>[1]!MF_p_pipe_atma(Q_annular_,fw_,C86,C85,Q86,PVT_str_annular_,theta_,d_annular_pr,1,D86,D85)</f>
        <v>77.786477236111153</v>
      </c>
      <c r="R85" s="21">
        <f>[1]!MF_p_pipe_atma(Q_annular_,fw_,C84,C85,R84,PVT_str_annular_,theta_,d_annular_pr,1,D84,D85)</f>
        <v>82.484265308521657</v>
      </c>
      <c r="S85" s="21">
        <f>[1]!MF_p_pipe_atma(Q_annular_all_in,fw_,C84,C85,S84,PVT_str_annular_,theta_,d_annular_pr,1,D84,D85)</f>
        <v>53.550207758020562</v>
      </c>
      <c r="T85" s="58"/>
      <c r="U85" s="21">
        <f>[1]!MF_p_pipe_atma(Q_tube_all_in,fw_,C84,C85,U84,PVT_str_annular_,theta_,d_tube_all_in,1,D84,D85)</f>
        <v>61.538026878242285</v>
      </c>
      <c r="V85" s="58"/>
    </row>
    <row r="86" spans="1:22" outlineLevel="1" x14ac:dyDescent="0.2">
      <c r="C86" s="27">
        <f t="shared" si="1"/>
        <v>1283.8399999999999</v>
      </c>
      <c r="D86" s="27">
        <f t="shared" si="0"/>
        <v>38.5152</v>
      </c>
      <c r="E86" s="6"/>
      <c r="F86" s="21">
        <f>[1]!MF_p_pipe_atma(Q_,fw_,C87,C86,F87,PVT_str_,theta_,Dtub_,,D87,D86)</f>
        <v>57.216790638228431</v>
      </c>
      <c r="J86" s="41">
        <f>[1]!MF_gas_fraction_d(Q86,D86,fw_,PVT_str_annular_)</f>
        <v>0.89739424186179462</v>
      </c>
      <c r="K86" s="31">
        <f>[1]!MF_gas_fraction_d(M86,D86,fw_,PVT_str_)</f>
        <v>4.204721036881405E-2</v>
      </c>
      <c r="L86" s="21">
        <f>[1]!MF_p_pipe_atma(Q_,fw_,C85,C86,L85,PVT_str_,theta_,Dtub_,1,D85,D86)</f>
        <v>124.00021105992616</v>
      </c>
      <c r="M86" s="21">
        <f>[1]!MF_p_pipe_atma(Q_,fw_,C87,C86,M87,PVT_str_,theta_,Dtub_,1,D87,D86)</f>
        <v>126.83969010382674</v>
      </c>
      <c r="Q86" s="21">
        <f>[1]!MF_p_pipe_atma(Q_annular_,fw_,C87,C86,Q87,PVT_str_annular_,theta_,d_annular_pr,1,D87,D86)</f>
        <v>79.489149829761843</v>
      </c>
      <c r="R86" s="21">
        <f>[1]!MF_p_pipe_atma(Q_annular_,fw_,C85,C86,R85,PVT_str_annular_,theta_,d_annular_pr,1,D85,D86)</f>
        <v>84.273274203644675</v>
      </c>
      <c r="S86" s="21">
        <f>[1]!MF_p_pipe_atma(Q_annular_all_in,fw_,C85,C86,S85,PVT_str_annular_,theta_,d_annular_pr,1,D85,D86)</f>
        <v>54.76705634351444</v>
      </c>
      <c r="T86" s="58"/>
      <c r="U86" s="21">
        <f>[1]!MF_p_pipe_atma(Q_tube_all_in,fw_,C85,C86,U85,PVT_str_annular_,theta_,d_tube_all_in,1,D85,D86)</f>
        <v>63.163246448546751</v>
      </c>
      <c r="V86" s="58"/>
    </row>
    <row r="87" spans="1:22" outlineLevel="1" x14ac:dyDescent="0.2">
      <c r="C87" s="27">
        <f t="shared" si="1"/>
        <v>1359.36</v>
      </c>
      <c r="D87" s="27">
        <f t="shared" si="0"/>
        <v>40.780799999999999</v>
      </c>
      <c r="E87" s="6"/>
      <c r="F87" s="21">
        <f>[1]!MF_p_pipe_atma(Q_,fw_,C88,C87,F88,PVT_str_,theta_,Dtub_,,D88,D87)</f>
        <v>62.426743948314126</v>
      </c>
      <c r="J87" s="41">
        <f>[1]!MF_gas_fraction_d(Q87,D87,fw_,PVT_str_annular_)</f>
        <v>0.89613191643171164</v>
      </c>
      <c r="K87" s="31">
        <f>[1]!MF_gas_fraction_d(M87,D87,fw_,PVT_str_)</f>
        <v>8.1066731378731348E-3</v>
      </c>
      <c r="L87" s="21">
        <f>[1]!MF_p_pipe_atma(Q_,fw_,C86,C87,L86,PVT_str_,theta_,Dtub_,1,D86,D87)</f>
        <v>130.33339124791135</v>
      </c>
      <c r="M87" s="21">
        <f>[1]!MF_p_pipe_atma(Q_,fw_,C88,C87,M88,PVT_str_,theta_,Dtub_,1,D88,D87)</f>
        <v>133.22270969560535</v>
      </c>
      <c r="Q87" s="21">
        <f>[1]!MF_p_pipe_atma(Q_annular_,fw_,C88,C87,Q88,PVT_str_annular_,theta_,d_annular_pr,1,D88,D87)</f>
        <v>81.206780534443908</v>
      </c>
      <c r="R87" s="21">
        <f>[1]!MF_p_pipe_atma(Q_annular_,fw_,C86,C87,R86,PVT_str_annular_,theta_,d_annular_pr,1,D86,D87)</f>
        <v>86.077256307394364</v>
      </c>
      <c r="S87" s="21">
        <f>[1]!MF_p_pipe_atma(Q_annular_all_in,fw_,C86,C87,S86,PVT_str_annular_,theta_,d_annular_pr,1,D86,D87)</f>
        <v>55.992980929638492</v>
      </c>
      <c r="T87" s="58"/>
      <c r="U87" s="21">
        <f>[1]!MF_p_pipe_atma(Q_tube_all_in,fw_,C86,C87,U86,PVT_str_annular_,theta_,d_tube_all_in,1,D86,D87)</f>
        <v>64.794058264135444</v>
      </c>
      <c r="V87" s="58"/>
    </row>
    <row r="88" spans="1:22" outlineLevel="1" x14ac:dyDescent="0.2">
      <c r="C88" s="27">
        <f t="shared" si="1"/>
        <v>1434.8799999999999</v>
      </c>
      <c r="D88" s="27">
        <f t="shared" si="0"/>
        <v>43.046399999999998</v>
      </c>
      <c r="E88" s="6"/>
      <c r="F88" s="21">
        <f>[1]!MF_p_pipe_atma(Q_,fw_,C89,C88,F89,PVT_str_,theta_,Dtub_,,D89,D88)</f>
        <v>67.765000365817315</v>
      </c>
      <c r="J88" s="41">
        <f>[1]!MF_gas_fraction_d(Q88,D88,fw_,PVT_str_annular_)</f>
        <v>0.89487939794116089</v>
      </c>
      <c r="K88" s="31">
        <f>[1]!MF_gas_fraction_d(M88,D88,fw_,PVT_str_)</f>
        <v>0</v>
      </c>
      <c r="L88" s="21">
        <f>[1]!MF_p_pipe_atma(Q_,fw_,C87,C88,L87,PVT_str_,theta_,Dtub_,1,D87,D88)</f>
        <v>136.75196802776887</v>
      </c>
      <c r="M88" s="21">
        <f>[1]!MF_p_pipe_atma(Q_,fw_,C89,C88,M89,PVT_str_,theta_,Dtub_,1,D89,D88)</f>
        <v>139.66722286524171</v>
      </c>
      <c r="Q88" s="21">
        <f>[1]!MF_p_pipe_atma(Q_annular_,fw_,C89,C88,Q89,PVT_str_annular_,theta_,d_annular_pr,1,D89,D88)</f>
        <v>82.939194380522281</v>
      </c>
      <c r="R88" s="21">
        <f>[1]!MF_p_pipe_atma(Q_annular_,fw_,C87,C88,R87,PVT_str_annular_,theta_,d_annular_pr,1,D87,D88)</f>
        <v>87.896017242977209</v>
      </c>
      <c r="S88" s="21">
        <f>[1]!MF_p_pipe_atma(Q_annular_all_in,fw_,C87,C88,S87,PVT_str_annular_,theta_,d_annular_pr,1,D87,D88)</f>
        <v>57.22804620536094</v>
      </c>
      <c r="T88" s="58"/>
      <c r="U88" s="21">
        <f>[1]!MF_p_pipe_atma(Q_tube_all_in,fw_,C87,C88,U87,PVT_str_annular_,theta_,d_tube_all_in,1,D87,D88)</f>
        <v>66.430883229236727</v>
      </c>
      <c r="V88" s="58"/>
    </row>
    <row r="89" spans="1:22" outlineLevel="1" x14ac:dyDescent="0.2">
      <c r="C89" s="27">
        <f t="shared" ref="C89:C94" si="2">C88+Hmes_/N_</f>
        <v>1510.3999999999999</v>
      </c>
      <c r="D89" s="27">
        <f t="shared" si="0"/>
        <v>45.311999999999998</v>
      </c>
      <c r="E89" s="6"/>
      <c r="F89" s="21">
        <f>[1]!MF_p_pipe_atma(Q_,fw_,C90,C89,F90,PVT_str_,theta_,Dtub_,,D90,D89)</f>
        <v>73.203339539897954</v>
      </c>
      <c r="J89" s="41">
        <f>[1]!MF_gas_fraction_d(Q89,D89,fw_,PVT_str_annular_)</f>
        <v>0.89363702017237079</v>
      </c>
      <c r="K89" s="31">
        <f>[1]!MF_gas_fraction_d(M89,D89,fw_,PVT_str_)</f>
        <v>0</v>
      </c>
      <c r="L89" s="21">
        <f>[1]!MF_p_pipe_atma(Q_,fw_,C88,C89,L88,PVT_str_,theta_,Dtub_,1,D88,D89)</f>
        <v>143.19724957506577</v>
      </c>
      <c r="M89" s="21">
        <f>[1]!MF_p_pipe_atma(Q_,fw_,C90,C89,M90,PVT_str_,theta_,Dtub_,1,D90,D89)</f>
        <v>146.11645422890436</v>
      </c>
      <c r="Q89" s="21">
        <f>[1]!MF_p_pipe_atma(Q_annular_,fw_,C90,C89,Q90,PVT_str_annular_,theta_,d_annular_pr,1,D90,D89)</f>
        <v>84.686209321695443</v>
      </c>
      <c r="R89" s="21">
        <f>[1]!MF_p_pipe_atma(Q_annular_,fw_,C88,C89,R88,PVT_str_annular_,theta_,d_annular_pr,1,D88,D89)</f>
        <v>89.729356210330309</v>
      </c>
      <c r="S89" s="21">
        <f>[1]!MF_p_pipe_atma(Q_annular_all_in,fw_,C88,C89,S88,PVT_str_annular_,theta_,d_annular_pr,1,D88,D89)</f>
        <v>58.472296167647976</v>
      </c>
      <c r="T89" s="58"/>
      <c r="U89" s="21">
        <f>[1]!MF_p_pipe_atma(Q_tube_all_in,fw_,C88,C89,U88,PVT_str_annular_,theta_,d_tube_all_in,1,D88,D89)</f>
        <v>68.074071413697624</v>
      </c>
      <c r="V89" s="58"/>
    </row>
    <row r="90" spans="1:22" outlineLevel="1" x14ac:dyDescent="0.2">
      <c r="C90" s="27">
        <f t="shared" si="2"/>
        <v>1585.9199999999998</v>
      </c>
      <c r="D90" s="27">
        <f t="shared" si="0"/>
        <v>47.577599999999997</v>
      </c>
      <c r="F90" s="21">
        <f>[1]!MF_p_pipe_atma(Q_,fw_,C91,C90,F91,PVT_str_,theta_,Dtub_,,D91,D90)</f>
        <v>78.730374698994282</v>
      </c>
      <c r="J90" s="41">
        <f>[1]!MF_gas_fraction_d(Q90,D90,fw_,PVT_str_annular_)</f>
        <v>0.8924051220428072</v>
      </c>
      <c r="K90" s="31">
        <f>[1]!MF_gas_fraction_d(M90,D90,fw_,PVT_str_)</f>
        <v>0</v>
      </c>
      <c r="L90" s="21">
        <f>[1]!MF_p_pipe_atma(Q_,fw_,C89,C90,L89,PVT_str_,theta_,Dtub_,1,D89,D90)</f>
        <v>149.64506287696173</v>
      </c>
      <c r="M90" s="21">
        <f>[1]!MF_p_pipe_atma(Q_,fw_,C91,C90,M91,PVT_str_,theta_,Dtub_,1,D91,D90)</f>
        <v>152.56799823476953</v>
      </c>
      <c r="Q90" s="21">
        <f>[1]!MF_p_pipe_atma(Q_annular_,fw_,C91,C90,Q91,PVT_str_annular_,theta_,d_annular_pr,1,D91,D90)</f>
        <v>86.447636924654788</v>
      </c>
      <c r="R90" s="21">
        <f>[1]!MF_p_pipe_atma(Q_annular_,fw_,C89,C90,R89,PVT_str_annular_,theta_,d_annular_pr,1,D89,D90)</f>
        <v>91.577066554936536</v>
      </c>
      <c r="S90" s="21">
        <f>[1]!MF_p_pipe_atma(Q_annular_all_in,fw_,C89,C90,S89,PVT_str_annular_,theta_,d_annular_pr,1,D89,D90)</f>
        <v>59.725757188664886</v>
      </c>
      <c r="T90" s="58"/>
      <c r="U90" s="21">
        <f>[1]!MF_p_pipe_atma(Q_tube_all_in,fw_,C89,C90,U89,PVT_str_annular_,theta_,d_tube_all_in,1,D89,D90)</f>
        <v>69.723913265095263</v>
      </c>
      <c r="V90" s="58"/>
    </row>
    <row r="91" spans="1:22" outlineLevel="1" x14ac:dyDescent="0.2">
      <c r="C91" s="27">
        <f t="shared" si="2"/>
        <v>1661.4399999999998</v>
      </c>
      <c r="D91" s="27">
        <f t="shared" si="0"/>
        <v>49.843199999999996</v>
      </c>
      <c r="F91" s="21">
        <f>[1]!MF_p_pipe_atma(Q_,fw_,C92,C91,F92,PVT_str_,theta_,Dtub_,,D92,D91)</f>
        <v>84.336365735828949</v>
      </c>
      <c r="J91" s="41">
        <f>[1]!MF_gas_fraction_d(Q91,D91,fw_,PVT_str_annular_)</f>
        <v>0.89118404571146481</v>
      </c>
      <c r="K91" s="31">
        <f>[1]!MF_gas_fraction_d(M91,D91,fw_,PVT_str_)</f>
        <v>0</v>
      </c>
      <c r="L91" s="21">
        <f>[1]!MF_p_pipe_atma(Q_,fw_,C90,C91,L90,PVT_str_,theta_,Dtub_,1,D90,D91)</f>
        <v>156.0950810936381</v>
      </c>
      <c r="M91" s="21">
        <f>[1]!MF_p_pipe_atma(Q_,fw_,C92,C91,M92,PVT_str_,theta_,Dtub_,1,D92,D91)</f>
        <v>159.02155168569101</v>
      </c>
      <c r="Q91" s="21">
        <f>[1]!MF_p_pipe_atma(Q_annular_,fw_,C92,C91,Q92,PVT_str_annular_,theta_,d_annular_pr,1,D92,D91)</f>
        <v>88.223282947877337</v>
      </c>
      <c r="R91" s="21">
        <f>[1]!MF_p_pipe_atma(Q_annular_,fw_,C90,C91,R90,PVT_str_annular_,theta_,d_annular_pr,1,D90,D91)</f>
        <v>93.438936248284904</v>
      </c>
      <c r="S91" s="21">
        <f>[1]!MF_p_pipe_atma(Q_annular_all_in,fw_,C90,C91,S90,PVT_str_annular_,theta_,d_annular_pr,1,D90,D91)</f>
        <v>60.988440487117522</v>
      </c>
      <c r="T91" s="58"/>
      <c r="U91" s="21">
        <f>[1]!MF_p_pipe_atma(Q_tube_all_in,fw_,C90,C91,U90,PVT_str_annular_,theta_,d_tube_all_in,1,D90,D91)</f>
        <v>71.380648629789661</v>
      </c>
      <c r="V91" s="58"/>
    </row>
    <row r="92" spans="1:22" outlineLevel="1" x14ac:dyDescent="0.2">
      <c r="B92" s="19" t="s">
        <v>25</v>
      </c>
      <c r="C92" s="27">
        <f t="shared" si="2"/>
        <v>1736.9599999999998</v>
      </c>
      <c r="D92" s="27">
        <f t="shared" si="0"/>
        <v>52.108799999999995</v>
      </c>
      <c r="F92" s="21">
        <f>[1]!MF_p_pipe_atma(Q_,fw_,C93,C92,F93,PVT_str_,theta_,Dtub_,,D93,D92)</f>
        <v>90.012947835693382</v>
      </c>
      <c r="G92" s="41">
        <f>[1]!MF_ksep_natural_d(Q_,wc_,Pintake_,Tintake_,Dintake_,Dcas_,PVT_str_)</f>
        <v>0.85272193266782004</v>
      </c>
      <c r="H92" s="39">
        <f>[1]!MF_ksep_total_d(G92,KsepGasSep_)</f>
        <v>0.99263609663339103</v>
      </c>
      <c r="I92" s="41">
        <f>[1]!MF_gas_fraction_d(F92,D92,fw_,PVT_str_)</f>
        <v>0.33110172730417675</v>
      </c>
      <c r="J92" s="41">
        <f>[1]!MF_gas_fraction_d(Q92,D92,fw_,PVT_str_annular_)</f>
        <v>0.88997413494303046</v>
      </c>
      <c r="K92" s="42">
        <f>[1]!MF_gas_fraction_d(M92,D92,fw_,PVT_str_)</f>
        <v>0</v>
      </c>
      <c r="L92" s="21">
        <f>[1]!MF_p_pipe_atma(Q_,fw_,C91,C92,L91,PVT_str_,theta_,Dtub_,1,D91,D92)</f>
        <v>162.54701491501427</v>
      </c>
      <c r="M92" s="34">
        <f>O92+F84</f>
        <v>165.47684551001419</v>
      </c>
      <c r="O92" s="43">
        <f>[1]!ESP_dP_atm(Q_,fw_,Pintake_,NumStage_,Freq_,PumpID_,PVT_str_,Tintake_,0,1,,D66)</f>
        <v>118.02722557519624</v>
      </c>
      <c r="P92" s="44">
        <f>L92-F92</f>
        <v>72.534067079320891</v>
      </c>
      <c r="Q92" s="33">
        <f>F92</f>
        <v>90.012947835693382</v>
      </c>
      <c r="R92" s="21">
        <f>[1]!MF_p_pipe_atma(Q_annular_,fw_,C91,C92,R91,PVT_str_annular_,theta_,d_annular_pr,1,D91,D92)</f>
        <v>95.314748301942885</v>
      </c>
      <c r="S92" s="59">
        <f>[1]!MF_p_pipe_atma(Q_annular_all_in,fw_,C91,C92,S91,PVT_str_annular_,theta_,d_annular_pr,1,D91,D92)</f>
        <v>62.260344140177573</v>
      </c>
      <c r="T92" s="34">
        <f>S92</f>
        <v>62.260344140177573</v>
      </c>
      <c r="U92" s="21">
        <f>[1]!MF_p_pipe_atma(Q_tube_all_in,fw_,C91,C92,U91,PVT_str_annular_,theta_,d_tube_all_in,1,D91,D92)</f>
        <v>73.044474082363507</v>
      </c>
      <c r="V92" s="34">
        <f>U92</f>
        <v>73.044474082363507</v>
      </c>
    </row>
    <row r="93" spans="1:22" outlineLevel="1" x14ac:dyDescent="0.2">
      <c r="C93" s="27">
        <f t="shared" si="2"/>
        <v>1812.4799999999998</v>
      </c>
      <c r="D93" s="27">
        <f t="shared" si="0"/>
        <v>54.374399999999994</v>
      </c>
      <c r="F93" s="21">
        <f>[1]!MF_p_pipe_atma(Q_,fw_,C94,C93,F94,PVT_str_,theta_,Dtub_,,D94,D93)</f>
        <v>95.752907921750307</v>
      </c>
      <c r="I93" s="41">
        <f>[1]!MF_gas_fraction_d(F93,D93,fw_,PVT_str_)</f>
        <v>0.29802166629876653</v>
      </c>
      <c r="K93" s="40"/>
      <c r="T93" s="21">
        <f>[1]!MF_p_pipe_atma(Q_annular_all_in,fw_,C92,C93,T92,PVT_str_annular_,theta_,Dtub_,,D92,D93)</f>
        <v>65.622035052583101</v>
      </c>
      <c r="V93" s="21">
        <f>[1]!MF_p_pipe_atma(Q_tube_all_in,fw_,C92,C93,V92,PVT_str_annular_,theta_,Dtub_,,D92,D93)</f>
        <v>76.163566484058208</v>
      </c>
    </row>
    <row r="94" spans="1:22" outlineLevel="1" x14ac:dyDescent="0.2">
      <c r="C94" s="27">
        <f t="shared" si="2"/>
        <v>1887.9999999999998</v>
      </c>
      <c r="D94" s="27">
        <f t="shared" si="0"/>
        <v>56.639999999999993</v>
      </c>
      <c r="F94" s="28">
        <f>Pwf_</f>
        <v>101.55</v>
      </c>
      <c r="I94" s="41">
        <f>[1]!MF_gas_fraction_d(F94,D94,fw_,PVT_str_)</f>
        <v>0.26546889937497586</v>
      </c>
      <c r="K94" s="40"/>
      <c r="T94" s="21">
        <f>[1]!MF_p_pipe_atma(Q_annular_all_in,fw_,C93,C94,T93,PVT_str_annular_,theta_,Dtub_,,D93,D94)</f>
        <v>68.956782768131518</v>
      </c>
      <c r="V94" s="21">
        <f>[1]!MF_p_pipe_atma(Q_tube_all_in,fw_,C93,C94,V93,PVT_str_annular_,theta_,Dtub_,,D93,D94)</f>
        <v>79.279412720342748</v>
      </c>
    </row>
    <row r="96" spans="1:22" ht="15.75" outlineLevel="1" x14ac:dyDescent="0.25">
      <c r="A96" s="65" t="s">
        <v>111</v>
      </c>
    </row>
    <row r="97" spans="3:17" outlineLevel="1" x14ac:dyDescent="0.2"/>
    <row r="98" spans="3:17" outlineLevel="1" x14ac:dyDescent="0.2">
      <c r="C98" s="23"/>
      <c r="D98" s="23"/>
    </row>
    <row r="99" spans="3:17" outlineLevel="1" x14ac:dyDescent="0.2">
      <c r="C99" s="23"/>
      <c r="D99" s="23"/>
    </row>
    <row r="100" spans="3:17" outlineLevel="1" x14ac:dyDescent="0.2">
      <c r="C100" s="23"/>
      <c r="D100" s="23"/>
    </row>
    <row r="101" spans="3:17" outlineLevel="1" x14ac:dyDescent="0.2"/>
    <row r="102" spans="3:17" outlineLevel="1" x14ac:dyDescent="0.2">
      <c r="F102" s="53"/>
      <c r="G102" s="53"/>
      <c r="H102" s="53"/>
      <c r="I102" s="53"/>
      <c r="J102" s="53"/>
      <c r="K102" s="53"/>
      <c r="L102" s="53"/>
      <c r="M102" s="53"/>
      <c r="N102" s="53"/>
      <c r="O102" s="53"/>
      <c r="P102" s="53"/>
      <c r="Q102" s="53"/>
    </row>
    <row r="103" spans="3:17" outlineLevel="1" x14ac:dyDescent="0.2">
      <c r="C103" s="9"/>
      <c r="D103" s="9"/>
      <c r="E103" s="10"/>
      <c r="F103" s="54"/>
      <c r="G103" s="54"/>
      <c r="H103" s="54"/>
      <c r="I103" s="54"/>
      <c r="J103" s="54"/>
      <c r="K103" s="54"/>
      <c r="L103" s="54"/>
      <c r="M103" s="54"/>
      <c r="N103" s="54"/>
      <c r="O103" s="54"/>
      <c r="P103" s="54"/>
      <c r="Q103" s="53"/>
    </row>
    <row r="104" spans="3:17" outlineLevel="1" x14ac:dyDescent="0.2">
      <c r="C104" s="14" t="s">
        <v>0</v>
      </c>
      <c r="D104" s="51" t="s">
        <v>94</v>
      </c>
      <c r="E104" s="51" t="s">
        <v>0</v>
      </c>
      <c r="F104" s="55"/>
      <c r="G104" s="53"/>
      <c r="H104" s="53"/>
      <c r="I104" s="53"/>
      <c r="J104" s="53"/>
      <c r="K104" s="53"/>
      <c r="L104" s="53"/>
      <c r="M104" s="53"/>
      <c r="N104" s="55"/>
      <c r="O104" s="55"/>
      <c r="P104" s="55"/>
      <c r="Q104" s="53"/>
    </row>
    <row r="105" spans="3:17" outlineLevel="1" x14ac:dyDescent="0.2">
      <c r="C105" s="52">
        <v>0</v>
      </c>
      <c r="D105" s="16">
        <f>[1]!IPR_Pwf_atma(PI_,Pres_,C105,fw_,Pb_)</f>
        <v>178</v>
      </c>
      <c r="E105" s="16">
        <f>[1]!IPR_Qliq_sm3Day(PI_,Pres_,D105,fw_,Pb_)</f>
        <v>0</v>
      </c>
      <c r="F105" s="55"/>
      <c r="G105" s="53"/>
      <c r="H105" s="53"/>
      <c r="I105" s="53"/>
      <c r="J105" s="53"/>
      <c r="K105" s="53"/>
      <c r="L105" s="53"/>
      <c r="M105" s="53"/>
      <c r="N105" s="55"/>
      <c r="O105" s="55"/>
      <c r="P105" s="55"/>
      <c r="Q105" s="53"/>
    </row>
    <row r="106" spans="3:17" outlineLevel="1" x14ac:dyDescent="0.2">
      <c r="C106" s="52">
        <f t="shared" ref="C106:C130" si="3">C105+qmax_/N_</f>
        <v>7.9721872986300664</v>
      </c>
      <c r="D106" s="16">
        <f>[1]!IPR_Pwf_atma(PI_,Pres_,C106,fw_,Pb_)</f>
        <v>173.98745853724779</v>
      </c>
      <c r="E106" s="16">
        <f>[1]!IPR_Qliq_sm3Day(PI_,Pres_,D106,fw_,Pb_)</f>
        <v>7.9721872986220301</v>
      </c>
      <c r="F106" s="55"/>
      <c r="G106" s="53"/>
      <c r="H106" s="53"/>
      <c r="I106" s="53"/>
      <c r="J106" s="53"/>
      <c r="K106" s="53"/>
      <c r="L106" s="53"/>
      <c r="M106" s="53"/>
      <c r="N106" s="55"/>
      <c r="O106" s="55"/>
      <c r="P106" s="55"/>
      <c r="Q106" s="53"/>
    </row>
    <row r="107" spans="3:17" outlineLevel="1" x14ac:dyDescent="0.2">
      <c r="C107" s="52">
        <f t="shared" si="3"/>
        <v>15.944374597260133</v>
      </c>
      <c r="D107" s="16">
        <f>[1]!IPR_Pwf_atma(PI_,Pres_,C107,fw_,Pb_)</f>
        <v>169.89524754200974</v>
      </c>
      <c r="E107" s="16">
        <f>[1]!IPR_Qliq_sm3Day(PI_,Pres_,D107,fw_,Pb_)</f>
        <v>15.944374597264019</v>
      </c>
      <c r="F107" s="55"/>
      <c r="G107" s="53"/>
      <c r="H107" s="53"/>
      <c r="I107" s="53"/>
      <c r="J107" s="53"/>
      <c r="K107" s="53"/>
      <c r="L107" s="53"/>
      <c r="M107" s="53"/>
      <c r="N107" s="55"/>
      <c r="O107" s="55"/>
      <c r="P107" s="55"/>
      <c r="Q107" s="53"/>
    </row>
    <row r="108" spans="3:17" outlineLevel="1" x14ac:dyDescent="0.2">
      <c r="C108" s="52">
        <f t="shared" si="3"/>
        <v>23.916561895890197</v>
      </c>
      <c r="D108" s="16">
        <f>[1]!IPR_Pwf_atma(PI_,Pres_,C108,fw_,Pb_)</f>
        <v>165.71815527585028</v>
      </c>
      <c r="E108" s="16">
        <f>[1]!IPR_Qliq_sm3Day(PI_,Pres_,D108,fw_,Pb_)</f>
        <v>23.916561895886051</v>
      </c>
      <c r="F108" s="55"/>
      <c r="G108" s="53"/>
      <c r="H108" s="53"/>
      <c r="I108" s="53"/>
      <c r="J108" s="53"/>
      <c r="K108" s="53"/>
      <c r="L108" s="53"/>
      <c r="M108" s="53"/>
      <c r="N108" s="55"/>
      <c r="O108" s="55"/>
      <c r="P108" s="55"/>
      <c r="Q108" s="53"/>
    </row>
    <row r="109" spans="3:17" outlineLevel="1" x14ac:dyDescent="0.2">
      <c r="C109" s="52">
        <f t="shared" si="3"/>
        <v>31.888749194520265</v>
      </c>
      <c r="D109" s="16">
        <f>[1]!IPR_Pwf_atma(PI_,Pres_,C109,fw_,Pb_)</f>
        <v>161.45037570800866</v>
      </c>
      <c r="E109" s="16">
        <f>[1]!IPR_Qliq_sm3Day(PI_,Pres_,D109,fw_,Pb_)</f>
        <v>31.888749194528039</v>
      </c>
      <c r="F109" s="55"/>
      <c r="G109" s="53"/>
      <c r="H109" s="53"/>
      <c r="I109" s="53"/>
      <c r="J109" s="53"/>
      <c r="K109" s="53"/>
      <c r="L109" s="53"/>
      <c r="M109" s="53"/>
      <c r="N109" s="55"/>
      <c r="O109" s="55"/>
      <c r="P109" s="55"/>
      <c r="Q109" s="53"/>
    </row>
    <row r="110" spans="3:17" outlineLevel="1" x14ac:dyDescent="0.2">
      <c r="C110" s="52">
        <f t="shared" si="3"/>
        <v>39.860936493150334</v>
      </c>
      <c r="D110" s="16">
        <f>[1]!IPR_Pwf_atma(PI_,Pres_,C110,fw_,Pb_)</f>
        <v>157.08540907920187</v>
      </c>
      <c r="E110" s="16">
        <f>[1]!IPR_Qliq_sm3Day(PI_,Pres_,D110,fw_,Pb_)</f>
        <v>39.860936493150071</v>
      </c>
      <c r="F110" s="55"/>
      <c r="G110" s="53"/>
      <c r="H110" s="53"/>
      <c r="I110" s="53"/>
      <c r="J110" s="53"/>
      <c r="K110" s="53"/>
      <c r="L110" s="53"/>
      <c r="M110" s="53"/>
      <c r="N110" s="55"/>
      <c r="O110" s="55"/>
      <c r="P110" s="55"/>
      <c r="Q110" s="53"/>
    </row>
    <row r="111" spans="3:17" outlineLevel="1" x14ac:dyDescent="0.2">
      <c r="C111" s="52">
        <f t="shared" si="3"/>
        <v>47.833123791780402</v>
      </c>
      <c r="D111" s="16">
        <f>[1]!IPR_Pwf_atma(PI_,Pres_,C111,fw_,Pb_)</f>
        <v>152.61593999330049</v>
      </c>
      <c r="E111" s="16">
        <f>[1]!IPR_Qliq_sm3Day(PI_,Pres_,D111,fw_,Pb_)</f>
        <v>47.833123791772103</v>
      </c>
      <c r="F111" s="55"/>
      <c r="G111" s="53"/>
      <c r="H111" s="53"/>
      <c r="I111" s="53"/>
      <c r="J111" s="53"/>
      <c r="K111" s="53"/>
      <c r="L111" s="53"/>
      <c r="M111" s="53"/>
      <c r="N111" s="55"/>
      <c r="O111" s="55"/>
      <c r="P111" s="55"/>
      <c r="Q111" s="53"/>
    </row>
    <row r="112" spans="3:17" outlineLevel="1" x14ac:dyDescent="0.2">
      <c r="C112" s="52">
        <f t="shared" si="3"/>
        <v>55.80531109041047</v>
      </c>
      <c r="D112" s="16">
        <f>[1]!IPR_Pwf_atma(PI_,Pres_,C112,fw_,Pb_)</f>
        <v>148.03368649920665</v>
      </c>
      <c r="E112" s="16">
        <f>[1]!IPR_Qliq_sm3Day(PI_,Pres_,D112,fw_,Pb_)</f>
        <v>55.805311090414087</v>
      </c>
      <c r="F112" s="55"/>
      <c r="G112" s="53"/>
      <c r="H112" s="53"/>
      <c r="I112" s="53"/>
      <c r="J112" s="53"/>
      <c r="K112" s="53"/>
      <c r="L112" s="53"/>
      <c r="M112" s="53"/>
      <c r="N112" s="55"/>
      <c r="O112" s="55"/>
      <c r="P112" s="55"/>
      <c r="Q112" s="53"/>
    </row>
    <row r="113" spans="3:17" outlineLevel="1" x14ac:dyDescent="0.2">
      <c r="C113" s="52">
        <f t="shared" si="3"/>
        <v>63.777498389040538</v>
      </c>
      <c r="D113" s="16">
        <f>[1]!IPR_Pwf_atma(PI_,Pres_,C113,fw_,Pb_)</f>
        <v>143.32921125103562</v>
      </c>
      <c r="E113" s="16">
        <f>[1]!IPR_Qliq_sm3Day(PI_,Pres_,D113,fw_,Pb_)</f>
        <v>63.777498389036118</v>
      </c>
      <c r="F113" s="55"/>
      <c r="G113" s="53"/>
      <c r="H113" s="53"/>
      <c r="I113" s="53"/>
      <c r="J113" s="53"/>
      <c r="K113" s="53"/>
      <c r="L113" s="53"/>
      <c r="M113" s="53"/>
      <c r="N113" s="55"/>
      <c r="O113" s="55"/>
      <c r="P113" s="55"/>
      <c r="Q113" s="53"/>
    </row>
    <row r="114" spans="3:17" outlineLevel="1" x14ac:dyDescent="0.2">
      <c r="C114" s="52">
        <f t="shared" si="3"/>
        <v>71.749685687670606</v>
      </c>
      <c r="D114" s="16">
        <f>[1]!IPR_Pwf_atma(PI_,Pres_,C114,fw_,Pb_)</f>
        <v>138.49168240625781</v>
      </c>
      <c r="E114" s="16">
        <f>[1]!IPR_Qliq_sm3Day(PI_,Pres_,D114,fw_,Pb_)</f>
        <v>71.74968568767811</v>
      </c>
      <c r="F114" s="55"/>
      <c r="G114" s="53"/>
      <c r="H114" s="53"/>
      <c r="I114" s="53"/>
      <c r="J114" s="53"/>
      <c r="K114" s="53"/>
      <c r="L114" s="53"/>
      <c r="M114" s="53"/>
      <c r="N114" s="55"/>
      <c r="O114" s="55"/>
      <c r="P114" s="55"/>
      <c r="Q114" s="53"/>
    </row>
    <row r="115" spans="3:17" outlineLevel="1" x14ac:dyDescent="0.2">
      <c r="C115" s="52">
        <f t="shared" si="3"/>
        <v>79.721872986300667</v>
      </c>
      <c r="D115" s="16">
        <f>[1]!IPR_Pwf_atma(PI_,Pres_,C115,fw_,Pb_)</f>
        <v>133.50856687463528</v>
      </c>
      <c r="E115" s="16">
        <f>[1]!IPR_Qliq_sm3Day(PI_,Pres_,D115,fw_,Pb_)</f>
        <v>79.721872986300141</v>
      </c>
      <c r="F115" s="55"/>
      <c r="G115" s="53"/>
      <c r="H115" s="53"/>
      <c r="I115" s="53"/>
      <c r="J115" s="53"/>
      <c r="K115" s="53"/>
      <c r="L115" s="53"/>
      <c r="M115" s="53"/>
      <c r="N115" s="55"/>
      <c r="O115" s="55"/>
      <c r="P115" s="55"/>
      <c r="Q115" s="53"/>
    </row>
    <row r="116" spans="3:17" outlineLevel="1" x14ac:dyDescent="0.2">
      <c r="C116" s="52">
        <f t="shared" si="3"/>
        <v>87.694060284930728</v>
      </c>
      <c r="D116" s="16">
        <f>[1]!IPR_Pwf_atma(PI_,Pres_,C116,fw_,Pb_)</f>
        <v>128.36523094110316</v>
      </c>
      <c r="E116" s="16">
        <f>[1]!IPR_Qliq_sm3Day(PI_,Pres_,D116,fw_,Pb_)</f>
        <v>87.694060284922173</v>
      </c>
      <c r="F116" s="55"/>
      <c r="G116" s="53"/>
      <c r="H116" s="53"/>
      <c r="I116" s="53"/>
      <c r="J116" s="53"/>
      <c r="K116" s="53"/>
      <c r="L116" s="53"/>
      <c r="M116" s="53"/>
      <c r="N116" s="55"/>
      <c r="O116" s="55"/>
      <c r="P116" s="55"/>
      <c r="Q116" s="53"/>
    </row>
    <row r="117" spans="3:17" outlineLevel="1" x14ac:dyDescent="0.2">
      <c r="C117" s="52">
        <f t="shared" si="3"/>
        <v>95.666247583560789</v>
      </c>
      <c r="D117" s="16">
        <f>[1]!IPR_Pwf_atma(PI_,Pres_,C117,fw_,Pb_)</f>
        <v>123.04441159557162</v>
      </c>
      <c r="E117" s="16">
        <f>[1]!IPR_Qliq_sm3Day(PI_,Pres_,D117,fw_,Pb_)</f>
        <v>95.666247583564157</v>
      </c>
      <c r="F117" s="55"/>
      <c r="G117" s="53"/>
      <c r="H117" s="53"/>
      <c r="I117" s="53"/>
      <c r="J117" s="53"/>
      <c r="K117" s="53"/>
      <c r="L117" s="53"/>
      <c r="M117" s="53"/>
      <c r="N117" s="55"/>
      <c r="O117" s="55"/>
      <c r="P117" s="55"/>
      <c r="Q117" s="53"/>
    </row>
    <row r="118" spans="3:17" outlineLevel="1" x14ac:dyDescent="0.2">
      <c r="C118" s="52">
        <f t="shared" si="3"/>
        <v>103.63843488219085</v>
      </c>
      <c r="D118" s="16">
        <f>[1]!IPR_Pwf_atma(PI_,Pres_,C118,fw_,Pb_)</f>
        <v>117.52550340427216</v>
      </c>
      <c r="E118" s="16">
        <f>[1]!IPR_Qliq_sm3Day(PI_,Pres_,D118,fw_,Pb_)</f>
        <v>103.63843488218619</v>
      </c>
      <c r="F118" s="55"/>
      <c r="G118" s="53"/>
      <c r="H118" s="53"/>
      <c r="I118" s="53"/>
      <c r="J118" s="53"/>
      <c r="K118" s="53"/>
      <c r="L118" s="53"/>
      <c r="M118" s="53"/>
      <c r="N118" s="55"/>
      <c r="O118" s="55"/>
      <c r="P118" s="55"/>
      <c r="Q118" s="53"/>
    </row>
    <row r="119" spans="3:17" outlineLevel="1" x14ac:dyDescent="0.2">
      <c r="C119" s="52">
        <f t="shared" si="3"/>
        <v>111.61062218082091</v>
      </c>
      <c r="D119" s="16">
        <f>[1]!IPR_Pwf_atma(PI_,Pres_,C119,fw_,Pb_)</f>
        <v>111.78357557453319</v>
      </c>
      <c r="E119" s="16">
        <f>[1]!IPR_Qliq_sm3Day(PI_,Pres_,D119,fw_,Pb_)</f>
        <v>111.61062218082817</v>
      </c>
      <c r="F119" s="55"/>
      <c r="G119" s="55"/>
      <c r="H119" s="53"/>
      <c r="I119" s="53"/>
      <c r="J119" s="53"/>
      <c r="K119" s="53"/>
      <c r="L119" s="53"/>
      <c r="M119" s="53"/>
      <c r="N119" s="56"/>
      <c r="O119" s="55"/>
      <c r="P119" s="55"/>
      <c r="Q119" s="53"/>
    </row>
    <row r="120" spans="3:17" outlineLevel="1" x14ac:dyDescent="0.2">
      <c r="C120" s="52">
        <f t="shared" si="3"/>
        <v>119.58280947945097</v>
      </c>
      <c r="D120" s="16">
        <f>[1]!IPR_Pwf_atma(PI_,Pres_,C120,fw_,Pb_)</f>
        <v>105.78798285456902</v>
      </c>
      <c r="E120" s="16">
        <f>[1]!IPR_Qliq_sm3Day(PI_,Pres_,D120,fw_,Pb_)</f>
        <v>119.58280947945021</v>
      </c>
      <c r="F120" s="55"/>
      <c r="G120" s="55"/>
      <c r="H120" s="53"/>
      <c r="I120" s="53"/>
      <c r="J120" s="53"/>
      <c r="K120" s="53"/>
      <c r="L120" s="53"/>
      <c r="M120" s="53"/>
      <c r="N120" s="53"/>
      <c r="O120" s="55"/>
      <c r="P120" s="53"/>
      <c r="Q120" s="53"/>
    </row>
    <row r="121" spans="3:17" outlineLevel="1" x14ac:dyDescent="0.2">
      <c r="C121" s="52">
        <f t="shared" si="3"/>
        <v>127.55499677808103</v>
      </c>
      <c r="D121" s="16">
        <f>[1]!IPR_Pwf_atma(PI_,Pres_,C121,fw_,Pb_)</f>
        <v>99.500344110601063</v>
      </c>
      <c r="E121" s="16">
        <f>[1]!IPR_Qliq_sm3Day(PI_,Pres_,D121,fw_,Pb_)</f>
        <v>127.55499677807224</v>
      </c>
      <c r="F121" s="55"/>
      <c r="G121" s="53"/>
      <c r="H121" s="53"/>
      <c r="I121" s="53"/>
      <c r="J121" s="53"/>
      <c r="K121" s="53"/>
      <c r="L121" s="53"/>
      <c r="M121" s="53"/>
      <c r="N121" s="53"/>
      <c r="O121" s="55"/>
      <c r="P121" s="53"/>
      <c r="Q121" s="53"/>
    </row>
    <row r="122" spans="3:17" outlineLevel="1" x14ac:dyDescent="0.2">
      <c r="C122" s="52">
        <f t="shared" si="3"/>
        <v>135.52718407671111</v>
      </c>
      <c r="D122" s="16">
        <f>[1]!IPR_Pwf_atma(PI_,Pres_,C122,fw_,Pb_)</f>
        <v>92.871496577300789</v>
      </c>
      <c r="E122" s="16">
        <f>[1]!IPR_Qliq_sm3Day(PI_,Pres_,D122,fw_,Pb_)</f>
        <v>135.52718407671424</v>
      </c>
      <c r="F122" s="55"/>
      <c r="G122" s="53"/>
      <c r="H122" s="53"/>
      <c r="I122" s="53"/>
      <c r="J122" s="53"/>
      <c r="K122" s="53"/>
      <c r="L122" s="53"/>
      <c r="M122" s="53"/>
      <c r="N122" s="53"/>
      <c r="O122" s="55"/>
      <c r="P122" s="53"/>
      <c r="Q122" s="53"/>
    </row>
    <row r="123" spans="3:17" outlineLevel="1" x14ac:dyDescent="0.2">
      <c r="C123" s="52">
        <f t="shared" si="3"/>
        <v>143.49937137534118</v>
      </c>
      <c r="D123" s="16">
        <f>[1]!IPR_Pwf_atma(PI_,Pres_,C123,fw_,Pb_)</f>
        <v>85.836709443450957</v>
      </c>
      <c r="E123" s="16">
        <f>[1]!IPR_Qliq_sm3Day(PI_,Pres_,D123,fw_,Pb_)</f>
        <v>143.49937137533627</v>
      </c>
      <c r="F123" s="55"/>
      <c r="G123" s="53"/>
      <c r="H123" s="53"/>
      <c r="I123" s="53"/>
      <c r="J123" s="53"/>
      <c r="K123" s="53"/>
      <c r="L123" s="53"/>
      <c r="M123" s="53"/>
      <c r="N123" s="53"/>
      <c r="O123" s="55"/>
      <c r="P123" s="53"/>
      <c r="Q123" s="53"/>
    </row>
    <row r="124" spans="3:17" outlineLevel="1" x14ac:dyDescent="0.2">
      <c r="C124" s="52">
        <f t="shared" si="3"/>
        <v>151.47155867397126</v>
      </c>
      <c r="D124" s="16">
        <f>[1]!IPR_Pwf_atma(PI_,Pres_,C124,fw_,Pb_)</f>
        <v>78.307760388935193</v>
      </c>
      <c r="E124" s="16">
        <f>[1]!IPR_Qliq_sm3Day(PI_,Pres_,D124,fw_,Pb_)</f>
        <v>151.47155867397825</v>
      </c>
      <c r="F124" s="23"/>
      <c r="G124" s="53"/>
      <c r="H124" s="53"/>
      <c r="I124" s="53"/>
      <c r="J124" s="53"/>
      <c r="K124" s="53"/>
      <c r="L124" s="53"/>
      <c r="M124" s="53"/>
      <c r="N124" s="53"/>
      <c r="O124" s="55"/>
      <c r="P124" s="53"/>
      <c r="Q124" s="53"/>
    </row>
    <row r="125" spans="3:17" outlineLevel="1" x14ac:dyDescent="0.2">
      <c r="C125" s="52">
        <f t="shared" si="3"/>
        <v>159.44374597260133</v>
      </c>
      <c r="D125" s="16">
        <f>[1]!IPR_Pwf_atma(PI_,Pres_,C125,fw_,Pb_)</f>
        <v>70.158923227481381</v>
      </c>
      <c r="E125" s="16">
        <f>[1]!IPR_Qliq_sm3Day(PI_,Pres_,D125,fw_,Pb_)</f>
        <v>159.44374597260028</v>
      </c>
      <c r="F125" s="53"/>
      <c r="G125" s="53"/>
      <c r="H125" s="53"/>
      <c r="I125" s="53"/>
      <c r="J125" s="53"/>
      <c r="K125" s="53"/>
      <c r="L125" s="53"/>
      <c r="M125" s="53"/>
      <c r="N125" s="53"/>
      <c r="O125" s="53"/>
      <c r="P125" s="53"/>
      <c r="Q125" s="53"/>
    </row>
    <row r="126" spans="3:17" outlineLevel="1" x14ac:dyDescent="0.2">
      <c r="C126" s="52">
        <f t="shared" si="3"/>
        <v>167.41593327123141</v>
      </c>
      <c r="D126" s="16">
        <f>[1]!IPR_Pwf_atma(PI_,Pres_,C126,fw_,Pb_)</f>
        <v>61.199934212999409</v>
      </c>
      <c r="E126" s="16">
        <f>[1]!IPR_Qliq_sm3Day(PI_,Pres_,D126,fw_,Pb_)</f>
        <v>167.41593327124227</v>
      </c>
      <c r="F126" s="53"/>
      <c r="G126" s="53"/>
      <c r="H126" s="53"/>
      <c r="I126" s="53"/>
      <c r="J126" s="53"/>
      <c r="K126" s="53"/>
      <c r="L126" s="53"/>
      <c r="M126" s="53"/>
      <c r="N126" s="53"/>
      <c r="O126" s="53"/>
      <c r="P126" s="53"/>
      <c r="Q126" s="53"/>
    </row>
    <row r="127" spans="3:17" x14ac:dyDescent="0.2">
      <c r="C127" s="52">
        <f t="shared" si="3"/>
        <v>175.38812056986148</v>
      </c>
      <c r="D127" s="16">
        <f>[1]!IPR_Pwf_atma(PI_,Pres_,C127,fw_,Pb_)</f>
        <v>51.11714503152136</v>
      </c>
      <c r="E127" s="16">
        <f>[1]!IPR_Qliq_sm3Day(PI_,Pres_,D127,fw_,Pb_)</f>
        <v>175.3881205698643</v>
      </c>
      <c r="F127" s="53"/>
      <c r="G127" s="53"/>
      <c r="H127" s="53"/>
      <c r="I127" s="53"/>
      <c r="J127" s="53"/>
      <c r="K127" s="53"/>
      <c r="L127" s="53"/>
      <c r="M127" s="53"/>
      <c r="N127" s="53"/>
      <c r="O127" s="53"/>
      <c r="P127" s="53"/>
      <c r="Q127" s="53"/>
    </row>
    <row r="128" spans="3:17" x14ac:dyDescent="0.2">
      <c r="C128" s="52">
        <f t="shared" si="3"/>
        <v>183.36030786849156</v>
      </c>
      <c r="D128" s="16">
        <f>[1]!IPR_Pwf_atma(PI_,Pres_,C128,fw_,Pb_)</f>
        <v>39.319962454073703</v>
      </c>
      <c r="E128" s="16">
        <f>[1]!IPR_Qliq_sm3Day(PI_,Pres_,D128,fw_,Pb_)</f>
        <v>183.36030786848633</v>
      </c>
      <c r="F128" s="53"/>
      <c r="G128" s="53"/>
      <c r="H128" s="53"/>
      <c r="I128" s="53"/>
      <c r="J128" s="53"/>
      <c r="K128" s="53"/>
      <c r="L128" s="53"/>
      <c r="M128" s="53"/>
      <c r="N128" s="53"/>
      <c r="O128" s="53"/>
      <c r="P128" s="53"/>
      <c r="Q128" s="53"/>
    </row>
    <row r="129" spans="1:17" x14ac:dyDescent="0.2">
      <c r="C129" s="52">
        <f t="shared" si="3"/>
        <v>191.33249516712164</v>
      </c>
      <c r="D129" s="16">
        <f>[1]!IPR_Pwf_atma(PI_,Pres_,C129,fw_,Pb_)</f>
        <v>24.391676146544469</v>
      </c>
      <c r="E129" s="16">
        <f>[1]!IPR_Qliq_sm3Day(PI_,Pres_,D129,fw_,Pb_)</f>
        <v>191.33249516712831</v>
      </c>
      <c r="F129" s="53"/>
      <c r="G129" s="53"/>
      <c r="H129" s="53"/>
      <c r="I129" s="53"/>
      <c r="J129" s="53"/>
      <c r="K129" s="53"/>
      <c r="L129" s="53"/>
      <c r="M129" s="53"/>
      <c r="N129" s="53"/>
      <c r="O129" s="53"/>
      <c r="P129" s="53"/>
      <c r="Q129" s="53"/>
    </row>
    <row r="130" spans="1:17" x14ac:dyDescent="0.2">
      <c r="C130" s="52">
        <f t="shared" si="3"/>
        <v>199.30468246575171</v>
      </c>
      <c r="D130" s="16">
        <f>[1]!IPR_Pwf_atma(PI_,Pres_,C130,fw_,Pb_)</f>
        <v>0</v>
      </c>
      <c r="E130" s="16">
        <f>[1]!IPR_Qliq_sm3Day(PI_,Pres_,D130,fw_,Pb_)</f>
        <v>199.30468246575165</v>
      </c>
    </row>
    <row r="134" spans="1:17" x14ac:dyDescent="0.2">
      <c r="A134" t="s">
        <v>106</v>
      </c>
      <c r="D134" s="57" t="s">
        <v>112</v>
      </c>
      <c r="E134" s="57" t="s">
        <v>113</v>
      </c>
      <c r="F134" s="57" t="s">
        <v>108</v>
      </c>
      <c r="G134" s="57" t="s">
        <v>109</v>
      </c>
    </row>
    <row r="136" spans="1:17" x14ac:dyDescent="0.2">
      <c r="C136" s="68" t="str">
        <f>C68</f>
        <v>H</v>
      </c>
      <c r="D136" s="69" t="s">
        <v>107</v>
      </c>
      <c r="E136" s="69"/>
      <c r="F136" s="69"/>
      <c r="G136" s="69"/>
    </row>
    <row r="137" spans="1:17" x14ac:dyDescent="0.2">
      <c r="C137" s="57">
        <f t="shared" ref="C137:C163" si="4">C69</f>
        <v>0</v>
      </c>
      <c r="D137" s="70">
        <f>M69</f>
        <v>36.577710077539486</v>
      </c>
      <c r="E137" s="70">
        <f>Q69</f>
        <v>52.65737430622481</v>
      </c>
      <c r="F137" s="70">
        <f>S69</f>
        <v>35</v>
      </c>
      <c r="G137" s="70">
        <f>U69</f>
        <v>35</v>
      </c>
    </row>
    <row r="138" spans="1:17" x14ac:dyDescent="0.2">
      <c r="C138" s="57">
        <f t="shared" si="4"/>
        <v>75.52</v>
      </c>
      <c r="D138" s="70">
        <f t="shared" ref="D138:D160" si="5">M70</f>
        <v>40.579388524205001</v>
      </c>
      <c r="E138" s="70">
        <f t="shared" ref="E138:E160" si="6">Q70</f>
        <v>54.114873109414077</v>
      </c>
      <c r="F138" s="70">
        <f t="shared" ref="F138:F160" si="7">S70</f>
        <v>36.160146867682002</v>
      </c>
      <c r="G138" s="70">
        <f t="shared" ref="G138:G162" si="8">U70</f>
        <v>36.886835479293495</v>
      </c>
    </row>
    <row r="139" spans="1:17" x14ac:dyDescent="0.2">
      <c r="C139" s="57">
        <f t="shared" si="4"/>
        <v>151.04</v>
      </c>
      <c r="D139" s="70">
        <f t="shared" si="5"/>
        <v>44.789374102308528</v>
      </c>
      <c r="E139" s="70">
        <f t="shared" si="6"/>
        <v>55.585072142926819</v>
      </c>
      <c r="F139" s="70">
        <f t="shared" si="7"/>
        <v>37.303800171146939</v>
      </c>
      <c r="G139" s="70">
        <f t="shared" si="8"/>
        <v>38.679980482938056</v>
      </c>
    </row>
    <row r="140" spans="1:17" x14ac:dyDescent="0.2">
      <c r="C140" s="57">
        <f t="shared" si="4"/>
        <v>226.56</v>
      </c>
      <c r="D140" s="70">
        <f t="shared" si="5"/>
        <v>49.198812704115035</v>
      </c>
      <c r="E140" s="70">
        <f t="shared" si="6"/>
        <v>57.06933968016191</v>
      </c>
      <c r="F140" s="70">
        <f t="shared" si="7"/>
        <v>38.439214226147868</v>
      </c>
      <c r="G140" s="70">
        <f t="shared" si="8"/>
        <v>40.411714892395302</v>
      </c>
    </row>
    <row r="141" spans="1:17" x14ac:dyDescent="0.2">
      <c r="C141" s="57">
        <f t="shared" si="4"/>
        <v>302.08</v>
      </c>
      <c r="D141" s="70">
        <f t="shared" si="5"/>
        <v>53.799132021723409</v>
      </c>
      <c r="E141" s="70">
        <f t="shared" si="6"/>
        <v>58.568492791918572</v>
      </c>
      <c r="F141" s="70">
        <f t="shared" si="7"/>
        <v>39.571508418698741</v>
      </c>
      <c r="G141" s="70">
        <f t="shared" si="8"/>
        <v>42.101691540237574</v>
      </c>
    </row>
    <row r="142" spans="1:17" x14ac:dyDescent="0.2">
      <c r="C142" s="57">
        <f t="shared" si="4"/>
        <v>377.59999999999997</v>
      </c>
      <c r="D142" s="70">
        <f t="shared" si="5"/>
        <v>58.581220391191245</v>
      </c>
      <c r="E142" s="70">
        <f t="shared" si="6"/>
        <v>60.083028961936847</v>
      </c>
      <c r="F142" s="70">
        <f t="shared" si="7"/>
        <v>40.704048719298328</v>
      </c>
      <c r="G142" s="70">
        <f t="shared" si="8"/>
        <v>43.762696313942598</v>
      </c>
    </row>
    <row r="143" spans="1:17" x14ac:dyDescent="0.2">
      <c r="C143" s="57">
        <f t="shared" si="4"/>
        <v>453.11999999999995</v>
      </c>
      <c r="D143" s="70">
        <f t="shared" si="5"/>
        <v>63.535710943398179</v>
      </c>
      <c r="E143" s="70">
        <f t="shared" si="6"/>
        <v>61.613248042741503</v>
      </c>
      <c r="F143" s="70">
        <f t="shared" si="7"/>
        <v>41.839149092173834</v>
      </c>
      <c r="G143" s="70">
        <f t="shared" si="8"/>
        <v>45.40347778715013</v>
      </c>
    </row>
    <row r="144" spans="1:17" x14ac:dyDescent="0.2">
      <c r="C144" s="57">
        <f t="shared" si="4"/>
        <v>528.64</v>
      </c>
      <c r="D144" s="70">
        <f t="shared" si="5"/>
        <v>68.652254359901335</v>
      </c>
      <c r="E144" s="70">
        <f t="shared" si="6"/>
        <v>63.159321140728018</v>
      </c>
      <c r="F144" s="70">
        <f t="shared" si="7"/>
        <v>42.978456656015922</v>
      </c>
      <c r="G144" s="70">
        <f t="shared" si="8"/>
        <v>47.030263623864791</v>
      </c>
    </row>
    <row r="145" spans="3:7" x14ac:dyDescent="0.2">
      <c r="C145" s="57">
        <f t="shared" si="4"/>
        <v>604.16</v>
      </c>
      <c r="D145" s="70">
        <f t="shared" si="5"/>
        <v>73.911073063387562</v>
      </c>
      <c r="E145" s="70">
        <f t="shared" si="6"/>
        <v>64.721331755278115</v>
      </c>
      <c r="F145" s="70">
        <f t="shared" si="7"/>
        <v>44.12317662805156</v>
      </c>
      <c r="G145" s="70">
        <f t="shared" si="8"/>
        <v>48.647629967673112</v>
      </c>
    </row>
    <row r="146" spans="3:7" x14ac:dyDescent="0.2">
      <c r="C146" s="57">
        <f t="shared" si="4"/>
        <v>679.68</v>
      </c>
      <c r="D146" s="70">
        <f t="shared" si="5"/>
        <v>79.317520938934564</v>
      </c>
      <c r="E146" s="70">
        <f t="shared" si="6"/>
        <v>66.299301487217193</v>
      </c>
      <c r="F146" s="70">
        <f t="shared" si="7"/>
        <v>45.274210398614208</v>
      </c>
      <c r="G146" s="70">
        <f t="shared" si="8"/>
        <v>50.259027559124085</v>
      </c>
    </row>
    <row r="147" spans="3:7" x14ac:dyDescent="0.2">
      <c r="C147" s="57">
        <f t="shared" si="4"/>
        <v>755.19999999999993</v>
      </c>
      <c r="D147" s="70">
        <f t="shared" si="5"/>
        <v>84.859317218567682</v>
      </c>
      <c r="E147" s="70">
        <f t="shared" si="6"/>
        <v>67.893206721573932</v>
      </c>
      <c r="F147" s="70">
        <f t="shared" si="7"/>
        <v>46.432243837935104</v>
      </c>
      <c r="G147" s="70">
        <f t="shared" si="8"/>
        <v>51.867114560742706</v>
      </c>
    </row>
    <row r="148" spans="3:7" x14ac:dyDescent="0.2">
      <c r="C148" s="57">
        <f t="shared" si="4"/>
        <v>830.71999999999991</v>
      </c>
      <c r="D148" s="70">
        <f t="shared" si="5"/>
        <v>90.528442166674054</v>
      </c>
      <c r="E148" s="70">
        <f t="shared" si="6"/>
        <v>69.502989805401981</v>
      </c>
      <c r="F148" s="70">
        <f t="shared" si="7"/>
        <v>47.59780576069582</v>
      </c>
      <c r="G148" s="70">
        <f t="shared" si="8"/>
        <v>53.473975075683562</v>
      </c>
    </row>
    <row r="149" spans="3:7" x14ac:dyDescent="0.2">
      <c r="C149" s="57">
        <f t="shared" si="4"/>
        <v>906.2399999999999</v>
      </c>
      <c r="D149" s="70">
        <f t="shared" si="5"/>
        <v>96.317504847455112</v>
      </c>
      <c r="E149" s="70">
        <f t="shared" si="6"/>
        <v>71.128566747846563</v>
      </c>
      <c r="F149" s="70">
        <f t="shared" si="7"/>
        <v>48.77130779588655</v>
      </c>
      <c r="G149" s="70">
        <f t="shared" si="8"/>
        <v>55.081267232781876</v>
      </c>
    </row>
    <row r="150" spans="3:7" x14ac:dyDescent="0.2">
      <c r="C150" s="57">
        <f t="shared" si="4"/>
        <v>981.75999999999988</v>
      </c>
      <c r="D150" s="70">
        <f t="shared" si="5"/>
        <v>102.21961922187499</v>
      </c>
      <c r="E150" s="70">
        <f t="shared" si="6"/>
        <v>72.769832656480276</v>
      </c>
      <c r="F150" s="70">
        <f t="shared" si="7"/>
        <v>49.953072283811515</v>
      </c>
      <c r="G150" s="70">
        <f t="shared" si="8"/>
        <v>56.69032632335243</v>
      </c>
    </row>
    <row r="151" spans="3:7" x14ac:dyDescent="0.2">
      <c r="C151" s="57">
        <f t="shared" si="4"/>
        <v>1057.28</v>
      </c>
      <c r="D151" s="70">
        <f t="shared" si="5"/>
        <v>108.22842982902787</v>
      </c>
      <c r="E151" s="70">
        <f t="shared" si="6"/>
        <v>74.426665661882907</v>
      </c>
      <c r="F151" s="70">
        <f t="shared" si="7"/>
        <v>51.143352241771431</v>
      </c>
      <c r="G151" s="70">
        <f t="shared" si="8"/>
        <v>58.302238371136788</v>
      </c>
    </row>
    <row r="152" spans="3:7" x14ac:dyDescent="0.2">
      <c r="C152" s="57">
        <f t="shared" si="4"/>
        <v>1132.8</v>
      </c>
      <c r="D152" s="70">
        <f t="shared" si="5"/>
        <v>114.33812624613876</v>
      </c>
      <c r="E152" s="70">
        <f t="shared" si="6"/>
        <v>76.098929810020806</v>
      </c>
      <c r="F152" s="70">
        <f t="shared" si="7"/>
        <v>52.342345943322428</v>
      </c>
      <c r="G152" s="70">
        <f t="shared" si="8"/>
        <v>59.917893730980829</v>
      </c>
    </row>
    <row r="153" spans="3:7" x14ac:dyDescent="0.2">
      <c r="C153" s="57">
        <f t="shared" si="4"/>
        <v>1208.32</v>
      </c>
      <c r="D153" s="70">
        <f t="shared" si="5"/>
        <v>120.54344884428109</v>
      </c>
      <c r="E153" s="70">
        <f t="shared" si="6"/>
        <v>77.786477236111153</v>
      </c>
      <c r="F153" s="70">
        <f t="shared" si="7"/>
        <v>53.550207758020562</v>
      </c>
      <c r="G153" s="70">
        <f t="shared" si="8"/>
        <v>61.538026878242285</v>
      </c>
    </row>
    <row r="154" spans="3:7" x14ac:dyDescent="0.2">
      <c r="C154" s="57">
        <f t="shared" si="4"/>
        <v>1283.8399999999999</v>
      </c>
      <c r="D154" s="70">
        <f t="shared" si="5"/>
        <v>126.83969010382674</v>
      </c>
      <c r="E154" s="70">
        <f t="shared" si="6"/>
        <v>79.489149829761843</v>
      </c>
      <c r="F154" s="70">
        <f t="shared" si="7"/>
        <v>54.76705634351444</v>
      </c>
      <c r="G154" s="70">
        <f t="shared" si="8"/>
        <v>63.163246448546751</v>
      </c>
    </row>
    <row r="155" spans="3:7" x14ac:dyDescent="0.2">
      <c r="C155" s="57">
        <f t="shared" si="4"/>
        <v>1359.36</v>
      </c>
      <c r="D155" s="70">
        <f t="shared" si="5"/>
        <v>133.22270969560535</v>
      </c>
      <c r="E155" s="70">
        <f t="shared" si="6"/>
        <v>81.206780534443908</v>
      </c>
      <c r="F155" s="70">
        <f t="shared" si="7"/>
        <v>55.992980929638492</v>
      </c>
      <c r="G155" s="70">
        <f t="shared" si="8"/>
        <v>64.794058264135444</v>
      </c>
    </row>
    <row r="156" spans="3:7" x14ac:dyDescent="0.2">
      <c r="C156" s="57">
        <f t="shared" si="4"/>
        <v>1434.8799999999999</v>
      </c>
      <c r="D156" s="70">
        <f t="shared" si="5"/>
        <v>139.66722286524171</v>
      </c>
      <c r="E156" s="70">
        <f t="shared" si="6"/>
        <v>82.939194380522281</v>
      </c>
      <c r="F156" s="70">
        <f t="shared" si="7"/>
        <v>57.22804620536094</v>
      </c>
      <c r="G156" s="70">
        <f t="shared" si="8"/>
        <v>66.430883229236727</v>
      </c>
    </row>
    <row r="157" spans="3:7" x14ac:dyDescent="0.2">
      <c r="C157" s="57">
        <f t="shared" si="4"/>
        <v>1510.3999999999999</v>
      </c>
      <c r="D157" s="70">
        <f t="shared" si="5"/>
        <v>146.11645422890436</v>
      </c>
      <c r="E157" s="70">
        <f t="shared" si="6"/>
        <v>84.686209321695443</v>
      </c>
      <c r="F157" s="70">
        <f t="shared" si="7"/>
        <v>58.472296167647976</v>
      </c>
      <c r="G157" s="70">
        <f t="shared" si="8"/>
        <v>68.074071413697624</v>
      </c>
    </row>
    <row r="158" spans="3:7" x14ac:dyDescent="0.2">
      <c r="C158" s="57">
        <f t="shared" si="4"/>
        <v>1585.9199999999998</v>
      </c>
      <c r="D158" s="70">
        <f>M90</f>
        <v>152.56799823476953</v>
      </c>
      <c r="E158" s="70">
        <f t="shared" si="6"/>
        <v>86.447636924654788</v>
      </c>
      <c r="F158" s="70">
        <f t="shared" si="7"/>
        <v>59.725757188664886</v>
      </c>
      <c r="G158" s="70">
        <f t="shared" si="8"/>
        <v>69.723913265095263</v>
      </c>
    </row>
    <row r="159" spans="3:7" x14ac:dyDescent="0.2">
      <c r="C159" s="57">
        <f t="shared" si="4"/>
        <v>1661.4399999999998</v>
      </c>
      <c r="D159" s="70">
        <f t="shared" si="5"/>
        <v>159.02155168569101</v>
      </c>
      <c r="E159" s="70">
        <f t="shared" si="6"/>
        <v>88.223282947877337</v>
      </c>
      <c r="F159" s="70">
        <f t="shared" si="7"/>
        <v>60.988440487117522</v>
      </c>
      <c r="G159" s="70">
        <f t="shared" si="8"/>
        <v>71.380648629789661</v>
      </c>
    </row>
    <row r="160" spans="3:7" x14ac:dyDescent="0.2">
      <c r="C160" s="57">
        <f t="shared" si="4"/>
        <v>1736.9599999999998</v>
      </c>
      <c r="D160" s="70">
        <f t="shared" si="5"/>
        <v>165.47684551001419</v>
      </c>
      <c r="E160" s="70">
        <f t="shared" si="6"/>
        <v>90.012947835693382</v>
      </c>
      <c r="F160" s="70">
        <f t="shared" si="7"/>
        <v>62.260344140177573</v>
      </c>
      <c r="G160" s="70">
        <f t="shared" si="8"/>
        <v>73.044474082363507</v>
      </c>
    </row>
    <row r="161" spans="3:7" x14ac:dyDescent="0.2">
      <c r="C161" s="57">
        <f t="shared" si="4"/>
        <v>1812.4799999999998</v>
      </c>
      <c r="D161" s="70"/>
      <c r="E161" s="70">
        <f>F93</f>
        <v>95.752907921750307</v>
      </c>
      <c r="F161" s="70">
        <f>T93</f>
        <v>65.622035052583101</v>
      </c>
      <c r="G161" s="70">
        <f>V93</f>
        <v>76.163566484058208</v>
      </c>
    </row>
    <row r="162" spans="3:7" x14ac:dyDescent="0.2">
      <c r="C162" s="57">
        <f t="shared" si="4"/>
        <v>1887.9999999999998</v>
      </c>
      <c r="D162" s="70"/>
      <c r="E162" s="70">
        <f>F94</f>
        <v>101.55</v>
      </c>
      <c r="F162" s="70">
        <f>T94</f>
        <v>68.956782768131518</v>
      </c>
      <c r="G162" s="70">
        <f>V94</f>
        <v>79.279412720342748</v>
      </c>
    </row>
    <row r="186" spans="14:14" x14ac:dyDescent="0.2">
      <c r="N186" t="s">
        <v>15</v>
      </c>
    </row>
    <row r="197" spans="14:14" x14ac:dyDescent="0.2">
      <c r="N197" s="7"/>
    </row>
  </sheetData>
  <mergeCells count="11">
    <mergeCell ref="D136:G136"/>
    <mergeCell ref="G50:U50"/>
    <mergeCell ref="G47:U47"/>
    <mergeCell ref="G44:U44"/>
    <mergeCell ref="G43:U43"/>
    <mergeCell ref="G46:U46"/>
    <mergeCell ref="G49:U49"/>
    <mergeCell ref="F65:R65"/>
    <mergeCell ref="J66:M66"/>
    <mergeCell ref="S65:T65"/>
    <mergeCell ref="U65:V6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54</vt:i4>
      </vt:variant>
    </vt:vector>
  </HeadingPairs>
  <TitlesOfParts>
    <vt:vector size="55" baseType="lpstr">
      <vt:lpstr>well</vt:lpstr>
      <vt:lpstr>well!Bob_</vt:lpstr>
      <vt:lpstr>d_annular_pr</vt:lpstr>
      <vt:lpstr>d_tube_all_in</vt:lpstr>
      <vt:lpstr>well!Dcas_</vt:lpstr>
      <vt:lpstr>well!Dintake_</vt:lpstr>
      <vt:lpstr>well!Dtub_</vt:lpstr>
      <vt:lpstr>well!Dtub_out_</vt:lpstr>
      <vt:lpstr>ESPstr</vt:lpstr>
      <vt:lpstr>well!Freq_</vt:lpstr>
      <vt:lpstr>well!Freq1_</vt:lpstr>
      <vt:lpstr>fw_</vt:lpstr>
      <vt:lpstr>well!gamma_gas_</vt:lpstr>
      <vt:lpstr>well!gamma_oil_</vt:lpstr>
      <vt:lpstr>well!gamma_wat_</vt:lpstr>
      <vt:lpstr>well!Head_ESP_</vt:lpstr>
      <vt:lpstr>well!Hmes_</vt:lpstr>
      <vt:lpstr>well!Hpump_</vt:lpstr>
      <vt:lpstr>k_split_liquid</vt:lpstr>
      <vt:lpstr>well!Kdegr_</vt:lpstr>
      <vt:lpstr>well!KsepGasSep_</vt:lpstr>
      <vt:lpstr>mu_</vt:lpstr>
      <vt:lpstr>well!N_</vt:lpstr>
      <vt:lpstr>well!NumStage_</vt:lpstr>
      <vt:lpstr>Pannular_</vt:lpstr>
      <vt:lpstr>well!Pb_</vt:lpstr>
      <vt:lpstr>well!Pbuf_</vt:lpstr>
      <vt:lpstr>well!Pdis_</vt:lpstr>
      <vt:lpstr>well!PI_</vt:lpstr>
      <vt:lpstr>well!Pintake_</vt:lpstr>
      <vt:lpstr>PKsep</vt:lpstr>
      <vt:lpstr>well!Pres_</vt:lpstr>
      <vt:lpstr>well!PumpID_</vt:lpstr>
      <vt:lpstr>PVT_str_</vt:lpstr>
      <vt:lpstr>PVT_str_annular_</vt:lpstr>
      <vt:lpstr>well!Pwf_</vt:lpstr>
      <vt:lpstr>well!Pwf1_</vt:lpstr>
      <vt:lpstr>well!Q_</vt:lpstr>
      <vt:lpstr>Q_annular_</vt:lpstr>
      <vt:lpstr>Q_annular_all_in</vt:lpstr>
      <vt:lpstr>well!Q_ESP_</vt:lpstr>
      <vt:lpstr>Q_total_</vt:lpstr>
      <vt:lpstr>Q_tube_all_in</vt:lpstr>
      <vt:lpstr>well!Qmax</vt:lpstr>
      <vt:lpstr>qmax_</vt:lpstr>
      <vt:lpstr>well!Qreal_</vt:lpstr>
      <vt:lpstr>well!Rp_</vt:lpstr>
      <vt:lpstr>well!Rsb_</vt:lpstr>
      <vt:lpstr>well!Tgrad</vt:lpstr>
      <vt:lpstr>theta_</vt:lpstr>
      <vt:lpstr>well!Tintake_</vt:lpstr>
      <vt:lpstr>TKsep</vt:lpstr>
      <vt:lpstr>well!Tres_</vt:lpstr>
      <vt:lpstr>well!Udl_</vt:lpstr>
      <vt:lpstr>well!wc_</vt:lpstr>
    </vt:vector>
  </TitlesOfParts>
  <Company>CAF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Rinat</dc:creator>
  <cp:lastModifiedBy>Олег Кобзарь</cp:lastModifiedBy>
  <cp:lastPrinted>2007-08-27T05:31:44Z</cp:lastPrinted>
  <dcterms:created xsi:type="dcterms:W3CDTF">2005-04-11T05:46:28Z</dcterms:created>
  <dcterms:modified xsi:type="dcterms:W3CDTF">2019-07-11T14:31:54Z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