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updateLinks="always" codeName="ЭтаКнига" hidePivotFieldList="1"/>
  <mc:AlternateContent xmlns:mc="http://schemas.openxmlformats.org/markup-compatibility/2006">
    <mc:Choice Requires="x15">
      <x15ac:absPath xmlns:x15ac="http://schemas.microsoft.com/office/spreadsheetml/2010/11/ac" url="D:\rnt\unifloc_vba\excercises\excercises\"/>
    </mc:Choice>
  </mc:AlternateContent>
  <xr:revisionPtr revIDLastSave="0" documentId="13_ncr:1_{0BD5F44D-EBD3-4606-9CFF-1493BBB05BBD}" xr6:coauthVersionLast="43" xr6:coauthVersionMax="43" xr10:uidLastSave="{00000000-0000-0000-0000-000000000000}"/>
  <bookViews>
    <workbookView xWindow="8580" yWindow="2190" windowWidth="21930" windowHeight="17160" tabRatio="422" xr2:uid="{00000000-000D-0000-FFFF-FFFF00000000}"/>
  </bookViews>
  <sheets>
    <sheet name="well" sheetId="107" r:id="rId1"/>
  </sheets>
  <externalReferences>
    <externalReference r:id="rId2"/>
  </externalReferences>
  <definedNames>
    <definedName name="Bob_" localSheetId="0">well!$C$14</definedName>
    <definedName name="d_annular_pr">well!$C$35</definedName>
    <definedName name="Dcas_" localSheetId="0">well!$C$21</definedName>
    <definedName name="Dintake_" localSheetId="0">well!$C$25</definedName>
    <definedName name="Dtub_" localSheetId="0">well!$C$24</definedName>
    <definedName name="Dtub_out_" localSheetId="0">well!$C$22</definedName>
    <definedName name="ESPstr">well!$G$45</definedName>
    <definedName name="Freq_" localSheetId="0">well!$C$40</definedName>
    <definedName name="Freq1_" localSheetId="0">well!$D$97</definedName>
    <definedName name="fw_">well!$C$33</definedName>
    <definedName name="gamma_gas_" localSheetId="0">well!$C$9</definedName>
    <definedName name="gamma_oil_" localSheetId="0">well!$C$7</definedName>
    <definedName name="gamma_wat_" localSheetId="0">well!$C$8</definedName>
    <definedName name="Head_ESP_" localSheetId="0">well!$C$39</definedName>
    <definedName name="Hmes_" localSheetId="0">well!$C$18</definedName>
    <definedName name="Hpump_" localSheetId="0">well!$C$20</definedName>
    <definedName name="k_split_liquid">well!$N$63</definedName>
    <definedName name="Kdegr_" localSheetId="0">well!$D$63</definedName>
    <definedName name="KsepGasSep_" localSheetId="0">well!$C$45</definedName>
    <definedName name="mu_">well!$C$15</definedName>
    <definedName name="N_" localSheetId="0">well!$C$55</definedName>
    <definedName name="NumStage_" localSheetId="0">well!$C$44</definedName>
    <definedName name="Pb_" localSheetId="0">well!$C$12</definedName>
    <definedName name="Pbuf_" localSheetId="0">well!$C$26</definedName>
    <definedName name="Pdis_" localSheetId="0">well!$C$29</definedName>
    <definedName name="PI_" localSheetId="0">well!$C$51</definedName>
    <definedName name="Pintake_" localSheetId="0">well!$C$27</definedName>
    <definedName name="PKsep">well!$C$46</definedName>
    <definedName name="Pres_" localSheetId="0">well!$C$50</definedName>
    <definedName name="PumpID_" localSheetId="0">well!$C$41</definedName>
    <definedName name="PVT_str_">well!$G$42</definedName>
    <definedName name="PVT_str_annular_">well!$G$48</definedName>
    <definedName name="Pwf_" localSheetId="0">well!$C$31</definedName>
    <definedName name="Pwf1_" localSheetId="0">well!$D$95</definedName>
    <definedName name="Q_" localSheetId="0">well!$C$32</definedName>
    <definedName name="Q_annular_">well!$C$34</definedName>
    <definedName name="Q_ESP_" localSheetId="0">well!$C$38</definedName>
    <definedName name="Q_total_">well!$C$30</definedName>
    <definedName name="Qmax" localSheetId="0">well!$C$43</definedName>
    <definedName name="Qreal_" localSheetId="0">well!$D$96</definedName>
    <definedName name="Rp_" localSheetId="0">well!$C$11</definedName>
    <definedName name="Rsb_" localSheetId="0">well!$C$10</definedName>
    <definedName name="Tgrad" localSheetId="0">well!$C$52</definedName>
    <definedName name="theta_">well!$C$23</definedName>
    <definedName name="Tintake_" localSheetId="0">well!$C$28</definedName>
    <definedName name="TKsep">well!$C$47</definedName>
    <definedName name="Tres_" localSheetId="0">well!$C$13</definedName>
    <definedName name="Udl_" localSheetId="0">well!$C$19</definedName>
    <definedName name="wc_" localSheetId="0">well!$C$14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66" i="107" l="1"/>
  <c r="C41" i="107"/>
  <c r="G1" i="107"/>
  <c r="G48" i="107"/>
  <c r="C51" i="107"/>
  <c r="G42" i="107"/>
  <c r="C42" i="107"/>
  <c r="C43" i="107"/>
  <c r="C44" i="107"/>
  <c r="O81" i="107" s="1"/>
  <c r="G45" i="107"/>
  <c r="F85" i="107"/>
  <c r="F84" i="107" s="1"/>
  <c r="I85" i="107"/>
  <c r="I86" i="107"/>
  <c r="G81" i="107"/>
  <c r="H81" i="107" s="1"/>
  <c r="L67" i="107"/>
  <c r="L68" i="107" s="1"/>
  <c r="L69" i="107" s="1"/>
  <c r="L70" i="107" s="1"/>
  <c r="L71" i="107" s="1"/>
  <c r="L72" i="107" s="1"/>
  <c r="L73" i="107" s="1"/>
  <c r="L74" i="107" s="1"/>
  <c r="L75" i="107" s="1"/>
  <c r="L76" i="107"/>
  <c r="L77" i="107" s="1"/>
  <c r="L78" i="107" s="1"/>
  <c r="L79" i="107" s="1"/>
  <c r="L80" i="107" s="1"/>
  <c r="L81" i="107" s="1"/>
  <c r="I84" i="107"/>
  <c r="F83" i="107"/>
  <c r="I83" i="107"/>
  <c r="F82" i="107"/>
  <c r="F81" i="107"/>
  <c r="I82" i="107"/>
  <c r="F80" i="107"/>
  <c r="F79" i="107" s="1"/>
  <c r="F78" i="107" s="1"/>
  <c r="F77" i="107" s="1"/>
  <c r="F76" i="107" s="1"/>
  <c r="F75" i="107" s="1"/>
  <c r="F74" i="107" s="1"/>
  <c r="F73" i="107" s="1"/>
  <c r="F72" i="107" s="1"/>
  <c r="F71" i="107" s="1"/>
  <c r="F70" i="107" s="1"/>
  <c r="F69" i="107" s="1"/>
  <c r="F68" i="107" s="1"/>
  <c r="F67" i="107" s="1"/>
  <c r="F66" i="107" s="1"/>
  <c r="I81" i="107"/>
  <c r="C24" i="107" l="1"/>
  <c r="C34" i="107"/>
  <c r="C32" i="107"/>
  <c r="C35" i="107"/>
  <c r="D86" i="107" l="1"/>
  <c r="E13" i="107" l="1"/>
  <c r="E12" i="107"/>
  <c r="E11" i="107"/>
  <c r="E10" i="107"/>
  <c r="E9" i="107"/>
  <c r="E8" i="107"/>
  <c r="E7" i="107"/>
  <c r="F86" i="107" l="1"/>
  <c r="C67" i="107"/>
  <c r="C68" i="107" s="1"/>
  <c r="C69" i="107" s="1"/>
  <c r="C70" i="107" s="1"/>
  <c r="C71" i="107" s="1"/>
  <c r="C72" i="107" s="1"/>
  <c r="C73" i="107" s="1"/>
  <c r="C74" i="107" s="1"/>
  <c r="C75" i="107" s="1"/>
  <c r="C76" i="107" s="1"/>
  <c r="C77" i="107" s="1"/>
  <c r="C78" i="107" s="1"/>
  <c r="C79" i="107" s="1"/>
  <c r="C80" i="107" s="1"/>
  <c r="C81" i="107" s="1"/>
  <c r="C82" i="107" s="1"/>
  <c r="C83" i="107" s="1"/>
  <c r="C84" i="107" s="1"/>
  <c r="C85" i="107" s="1"/>
  <c r="C86" i="107" s="1"/>
  <c r="D85" i="107" s="1"/>
  <c r="D84" i="107" l="1"/>
  <c r="D83" i="107" l="1"/>
  <c r="D82" i="107" l="1"/>
  <c r="D81" i="107" l="1"/>
  <c r="C47" i="107" s="1"/>
  <c r="C28" i="107" s="1"/>
  <c r="D80" i="107" l="1"/>
  <c r="D79" i="107" l="1"/>
  <c r="D78" i="107" l="1"/>
  <c r="D77" i="107" s="1"/>
  <c r="D76" i="107" l="1"/>
  <c r="D75" i="107" l="1"/>
  <c r="D74" i="107" l="1"/>
  <c r="D73" i="107" l="1"/>
  <c r="D72" i="107" l="1"/>
  <c r="D71" i="107" l="1"/>
  <c r="D70" i="107" l="1"/>
  <c r="D69" i="107" l="1"/>
  <c r="D68" i="107" l="1"/>
  <c r="D67" i="107" l="1"/>
  <c r="D66" i="107" l="1"/>
  <c r="C27" i="107"/>
  <c r="Q81" i="107" l="1"/>
  <c r="M81" i="107"/>
  <c r="Q80" i="107"/>
  <c r="J81" i="107"/>
  <c r="K81" i="107"/>
  <c r="M80" i="107"/>
  <c r="Q79" i="107"/>
  <c r="J80" i="107"/>
  <c r="K80" i="107"/>
  <c r="M79" i="107"/>
  <c r="J79" i="107"/>
  <c r="Q78" i="107"/>
  <c r="M78" i="107"/>
  <c r="K79" i="107"/>
  <c r="Q77" i="107"/>
  <c r="J78" i="107"/>
  <c r="K78" i="107"/>
  <c r="M77" i="107"/>
  <c r="Q76" i="107"/>
  <c r="J77" i="107"/>
  <c r="K77" i="107"/>
  <c r="M76" i="107"/>
  <c r="Q75" i="107"/>
  <c r="J76" i="107"/>
  <c r="K76" i="107"/>
  <c r="M75" i="107"/>
  <c r="J75" i="107"/>
  <c r="Q74" i="107"/>
  <c r="K75" i="107"/>
  <c r="M74" i="107"/>
  <c r="Q73" i="107"/>
  <c r="J74" i="107"/>
  <c r="K74" i="107"/>
  <c r="M73" i="107"/>
  <c r="Q72" i="107"/>
  <c r="J73" i="107"/>
  <c r="K73" i="107"/>
  <c r="M72" i="107"/>
  <c r="J72" i="107"/>
  <c r="Q71" i="107"/>
  <c r="K72" i="107"/>
  <c r="M71" i="107"/>
  <c r="J71" i="107"/>
  <c r="Q70" i="107"/>
  <c r="K71" i="107"/>
  <c r="M70" i="107"/>
  <c r="J70" i="107"/>
  <c r="Q69" i="107"/>
  <c r="K70" i="107"/>
  <c r="M69" i="107"/>
  <c r="Q68" i="107"/>
  <c r="J69" i="107"/>
  <c r="K69" i="107"/>
  <c r="M68" i="107"/>
  <c r="J68" i="107"/>
  <c r="Q67" i="107"/>
  <c r="K68" i="107"/>
  <c r="M67" i="107"/>
  <c r="J67" i="107"/>
  <c r="Q66" i="107"/>
  <c r="J66" i="107" s="1"/>
  <c r="K67" i="107"/>
  <c r="M66" i="107"/>
  <c r="K66" i="107" s="1"/>
  <c r="P81" i="107" l="1"/>
</calcChain>
</file>

<file path=xl/sharedStrings.xml><?xml version="1.0" encoding="utf-8"?>
<sst xmlns="http://schemas.openxmlformats.org/spreadsheetml/2006/main" count="111" uniqueCount="89">
  <si>
    <t>атм</t>
  </si>
  <si>
    <t>С</t>
  </si>
  <si>
    <t>%</t>
  </si>
  <si>
    <t>м</t>
  </si>
  <si>
    <t>мм</t>
  </si>
  <si>
    <t>м3/сут</t>
  </si>
  <si>
    <t xml:space="preserve">м </t>
  </si>
  <si>
    <t>Гц</t>
  </si>
  <si>
    <t>шт</t>
  </si>
  <si>
    <t>м3/сут/атм</t>
  </si>
  <si>
    <t>град/100 м</t>
  </si>
  <si>
    <t>N</t>
  </si>
  <si>
    <t>T</t>
  </si>
  <si>
    <t>H</t>
  </si>
  <si>
    <t>,</t>
  </si>
  <si>
    <t>Физико - химические свойства флюида</t>
  </si>
  <si>
    <t>Данные по скважине</t>
  </si>
  <si>
    <t>ЭЦН</t>
  </si>
  <si>
    <t>Ступени</t>
  </si>
  <si>
    <t>Пласт</t>
  </si>
  <si>
    <t>Общая сепарация</t>
  </si>
  <si>
    <t>P снизу вверх</t>
  </si>
  <si>
    <t>Построить распределение давления в скважине при постоянном дебите</t>
  </si>
  <si>
    <t>Деградация</t>
  </si>
  <si>
    <t>Давление в НКТ сверху вниз</t>
  </si>
  <si>
    <t>Глубина установки насоса</t>
  </si>
  <si>
    <t>Ксепарации естественной</t>
  </si>
  <si>
    <t>Упражнение 1</t>
  </si>
  <si>
    <t>Упражнения по работе с макросами Unifloc VBA</t>
  </si>
  <si>
    <t>версия</t>
  </si>
  <si>
    <r>
      <t>γ</t>
    </r>
    <r>
      <rPr>
        <vertAlign val="subscript"/>
        <sz val="11"/>
        <color theme="1"/>
        <rFont val="Calibri"/>
        <family val="2"/>
        <charset val="204"/>
      </rPr>
      <t>o</t>
    </r>
  </si>
  <si>
    <r>
      <t>кг/м</t>
    </r>
    <r>
      <rPr>
        <vertAlign val="superscript"/>
        <sz val="11"/>
        <rFont val="Calibri"/>
        <family val="2"/>
        <charset val="204"/>
        <scheme val="minor"/>
      </rPr>
      <t>3</t>
    </r>
  </si>
  <si>
    <r>
      <t>γ</t>
    </r>
    <r>
      <rPr>
        <vertAlign val="subscript"/>
        <sz val="11"/>
        <color theme="1"/>
        <rFont val="Calibri"/>
        <family val="2"/>
        <charset val="204"/>
        <scheme val="minor"/>
      </rPr>
      <t>w</t>
    </r>
  </si>
  <si>
    <r>
      <t>γ</t>
    </r>
    <r>
      <rPr>
        <vertAlign val="subscript"/>
        <sz val="11"/>
        <color theme="1"/>
        <rFont val="Calibri"/>
        <family val="2"/>
        <charset val="204"/>
        <scheme val="minor"/>
      </rPr>
      <t>g</t>
    </r>
  </si>
  <si>
    <r>
      <t>R</t>
    </r>
    <r>
      <rPr>
        <vertAlign val="subscript"/>
        <sz val="11"/>
        <color theme="1"/>
        <rFont val="Calibri"/>
        <family val="2"/>
        <charset val="204"/>
        <scheme val="minor"/>
      </rPr>
      <t>sb</t>
    </r>
  </si>
  <si>
    <r>
      <t>м</t>
    </r>
    <r>
      <rPr>
        <vertAlign val="superscript"/>
        <sz val="11"/>
        <color theme="1"/>
        <rFont val="Calibri"/>
        <family val="2"/>
        <charset val="204"/>
        <scheme val="minor"/>
      </rPr>
      <t>3</t>
    </r>
    <r>
      <rPr>
        <sz val="10"/>
        <rFont val="Arial Cyr"/>
        <charset val="204"/>
      </rPr>
      <t>/м</t>
    </r>
    <r>
      <rPr>
        <vertAlign val="superscript"/>
        <sz val="11"/>
        <color theme="1"/>
        <rFont val="Calibri"/>
        <family val="2"/>
        <charset val="204"/>
        <scheme val="minor"/>
      </rPr>
      <t>3</t>
    </r>
  </si>
  <si>
    <r>
      <t>м</t>
    </r>
    <r>
      <rPr>
        <vertAlign val="superscript"/>
        <sz val="11"/>
        <rFont val="Calibri"/>
        <family val="2"/>
        <charset val="204"/>
        <scheme val="minor"/>
      </rPr>
      <t>3</t>
    </r>
    <r>
      <rPr>
        <sz val="10"/>
        <rFont val="Arial Cyr"/>
        <charset val="204"/>
      </rPr>
      <t>/т</t>
    </r>
  </si>
  <si>
    <r>
      <t>R</t>
    </r>
    <r>
      <rPr>
        <vertAlign val="subscript"/>
        <sz val="11"/>
        <color theme="1"/>
        <rFont val="Calibri"/>
        <family val="2"/>
        <charset val="204"/>
        <scheme val="minor"/>
      </rPr>
      <t>p</t>
    </r>
  </si>
  <si>
    <r>
      <t>P</t>
    </r>
    <r>
      <rPr>
        <vertAlign val="subscript"/>
        <sz val="11"/>
        <color theme="1"/>
        <rFont val="Calibri"/>
        <family val="2"/>
        <charset val="204"/>
        <scheme val="minor"/>
      </rPr>
      <t>b cal</t>
    </r>
  </si>
  <si>
    <t>атмa</t>
  </si>
  <si>
    <t>МПа</t>
  </si>
  <si>
    <r>
      <t>T</t>
    </r>
    <r>
      <rPr>
        <vertAlign val="subscript"/>
        <sz val="11"/>
        <color theme="1"/>
        <rFont val="Calibri"/>
        <family val="2"/>
        <charset val="204"/>
        <scheme val="minor"/>
      </rPr>
      <t>res</t>
    </r>
  </si>
  <si>
    <t>Ф</t>
  </si>
  <si>
    <r>
      <t>B</t>
    </r>
    <r>
      <rPr>
        <vertAlign val="subscript"/>
        <sz val="11"/>
        <color theme="1"/>
        <rFont val="Calibri"/>
        <family val="2"/>
        <charset val="204"/>
        <scheme val="minor"/>
      </rPr>
      <t>ob cal</t>
    </r>
  </si>
  <si>
    <r>
      <t>H</t>
    </r>
    <r>
      <rPr>
        <vertAlign val="subscript"/>
        <sz val="10"/>
        <rFont val="Arial Cyr"/>
        <charset val="204"/>
      </rPr>
      <t>mes</t>
    </r>
  </si>
  <si>
    <r>
      <t>H</t>
    </r>
    <r>
      <rPr>
        <vertAlign val="subscript"/>
        <sz val="10"/>
        <rFont val="Arial Cyr"/>
        <charset val="204"/>
      </rPr>
      <t>mes</t>
    </r>
    <r>
      <rPr>
        <sz val="10"/>
        <rFont val="Arial Cyr"/>
        <charset val="204"/>
      </rPr>
      <t>-H</t>
    </r>
    <r>
      <rPr>
        <vertAlign val="subscript"/>
        <sz val="10"/>
        <rFont val="Arial Cyr"/>
        <charset val="204"/>
      </rPr>
      <t>vert</t>
    </r>
  </si>
  <si>
    <r>
      <t>H</t>
    </r>
    <r>
      <rPr>
        <vertAlign val="subscript"/>
        <sz val="10"/>
        <rFont val="Arial Cyr"/>
        <charset val="204"/>
      </rPr>
      <t>pump</t>
    </r>
  </si>
  <si>
    <r>
      <t>ID</t>
    </r>
    <r>
      <rPr>
        <vertAlign val="subscript"/>
        <sz val="10"/>
        <rFont val="Arial Cyr"/>
        <charset val="204"/>
      </rPr>
      <t>cas</t>
    </r>
  </si>
  <si>
    <r>
      <t>OD</t>
    </r>
    <r>
      <rPr>
        <vertAlign val="subscript"/>
        <sz val="10"/>
        <rFont val="Arial Cyr"/>
        <charset val="204"/>
      </rPr>
      <t>tub</t>
    </r>
  </si>
  <si>
    <r>
      <t>ID</t>
    </r>
    <r>
      <rPr>
        <vertAlign val="subscript"/>
        <sz val="10"/>
        <rFont val="Arial Cyr"/>
        <charset val="204"/>
      </rPr>
      <t>tub</t>
    </r>
  </si>
  <si>
    <r>
      <t>D</t>
    </r>
    <r>
      <rPr>
        <vertAlign val="subscript"/>
        <sz val="10"/>
        <rFont val="Arial Cyr"/>
        <charset val="204"/>
      </rPr>
      <t>intake</t>
    </r>
  </si>
  <si>
    <r>
      <t>P</t>
    </r>
    <r>
      <rPr>
        <vertAlign val="subscript"/>
        <sz val="10"/>
        <rFont val="Arial Cyr"/>
        <charset val="204"/>
      </rPr>
      <t>buf</t>
    </r>
  </si>
  <si>
    <r>
      <t>P</t>
    </r>
    <r>
      <rPr>
        <vertAlign val="subscript"/>
        <sz val="10"/>
        <rFont val="Arial Cyr"/>
        <charset val="204"/>
      </rPr>
      <t>intake</t>
    </r>
  </si>
  <si>
    <r>
      <t>T</t>
    </r>
    <r>
      <rPr>
        <vertAlign val="subscript"/>
        <sz val="10"/>
        <rFont val="Arial Cyr"/>
        <charset val="204"/>
      </rPr>
      <t>intake</t>
    </r>
  </si>
  <si>
    <r>
      <t>P</t>
    </r>
    <r>
      <rPr>
        <vertAlign val="subscript"/>
        <sz val="10"/>
        <rFont val="Arial Cyr"/>
        <charset val="204"/>
      </rPr>
      <t>dis</t>
    </r>
  </si>
  <si>
    <r>
      <t>P</t>
    </r>
    <r>
      <rPr>
        <vertAlign val="subscript"/>
        <sz val="10"/>
        <rFont val="Arial Cyr"/>
        <charset val="204"/>
      </rPr>
      <t>wf</t>
    </r>
  </si>
  <si>
    <r>
      <t>Q</t>
    </r>
    <r>
      <rPr>
        <vertAlign val="subscript"/>
        <sz val="10"/>
        <rFont val="Arial Cyr"/>
        <charset val="204"/>
      </rPr>
      <t>liq</t>
    </r>
  </si>
  <si>
    <r>
      <t>f</t>
    </r>
    <r>
      <rPr>
        <vertAlign val="subscript"/>
        <sz val="10"/>
        <rFont val="Arial Cyr"/>
        <charset val="204"/>
      </rPr>
      <t>w</t>
    </r>
  </si>
  <si>
    <r>
      <t>ЭЦН Q</t>
    </r>
    <r>
      <rPr>
        <vertAlign val="subscript"/>
        <sz val="10"/>
        <rFont val="Arial Cyr"/>
        <charset val="204"/>
      </rPr>
      <t>nom</t>
    </r>
  </si>
  <si>
    <r>
      <t>ЭЦН H</t>
    </r>
    <r>
      <rPr>
        <vertAlign val="subscript"/>
        <sz val="10"/>
        <rFont val="Arial Cyr"/>
        <charset val="204"/>
      </rPr>
      <t>nom</t>
    </r>
  </si>
  <si>
    <t>F</t>
  </si>
  <si>
    <t>ЭЦН ID</t>
  </si>
  <si>
    <t>ЭЦН имя</t>
  </si>
  <si>
    <r>
      <t>ЭЦН Q</t>
    </r>
    <r>
      <rPr>
        <vertAlign val="subscript"/>
        <sz val="10"/>
        <rFont val="Arial Cyr"/>
        <charset val="204"/>
      </rPr>
      <t>max</t>
    </r>
  </si>
  <si>
    <t>ЭЦН строка</t>
  </si>
  <si>
    <r>
      <t>K</t>
    </r>
    <r>
      <rPr>
        <vertAlign val="subscript"/>
        <sz val="10"/>
        <rFont val="Arial Cyr"/>
        <charset val="204"/>
      </rPr>
      <t>sep гс</t>
    </r>
  </si>
  <si>
    <r>
      <t>P</t>
    </r>
    <r>
      <rPr>
        <vertAlign val="subscript"/>
        <sz val="10"/>
        <rFont val="Arial Cyr"/>
        <charset val="204"/>
      </rPr>
      <t>sep</t>
    </r>
  </si>
  <si>
    <r>
      <t>T</t>
    </r>
    <r>
      <rPr>
        <vertAlign val="subscript"/>
        <sz val="10"/>
        <rFont val="Arial Cyr"/>
        <charset val="204"/>
      </rPr>
      <t>sep</t>
    </r>
  </si>
  <si>
    <r>
      <t>P</t>
    </r>
    <r>
      <rPr>
        <vertAlign val="subscript"/>
        <sz val="10"/>
        <rFont val="Arial Cyr"/>
        <charset val="204"/>
      </rPr>
      <t>res</t>
    </r>
  </si>
  <si>
    <t>PI</t>
  </si>
  <si>
    <t>dT/dL</t>
  </si>
  <si>
    <t>Muob cal</t>
  </si>
  <si>
    <t>сПуаз</t>
  </si>
  <si>
    <t>θ</t>
  </si>
  <si>
    <t>°</t>
  </si>
  <si>
    <r>
      <t>Q</t>
    </r>
    <r>
      <rPr>
        <vertAlign val="subscript"/>
        <sz val="10"/>
        <rFont val="Arial Cyr"/>
        <charset val="204"/>
      </rPr>
      <t>liq annular</t>
    </r>
  </si>
  <si>
    <t>d_annular</t>
  </si>
  <si>
    <t>Давление в затрубе снизу вверх</t>
  </si>
  <si>
    <t>Давление в НКТ снизу вверх</t>
  </si>
  <si>
    <t>dP ESP по потоку</t>
  </si>
  <si>
    <t>dP ESP по напорной характеристике</t>
  </si>
  <si>
    <t>Qtotal</t>
  </si>
  <si>
    <t>Коэффициент деления потока ГЖС - доля в НКТ</t>
  </si>
  <si>
    <t>Доля газа в НКТ</t>
  </si>
  <si>
    <t>Доля газа до приема</t>
  </si>
  <si>
    <t>Доля газа в затрубе</t>
  </si>
  <si>
    <t>Расчет распределения давления в скважине с ЭЦН, в которой происходит фонтанирование через затрубное пространство</t>
  </si>
  <si>
    <t>PVT строка в насос и НКТ</t>
  </si>
  <si>
    <t>PVT строка в затрубное пространство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</si>
</sst>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0"/>
      <name val="Arial Cyr"/>
      <charset val="204"/>
    </font>
    <font>
      <sz val="11"/>
      <color theme="1"/>
      <name val="Calibri"/>
      <family val="2"/>
      <charset val="204"/>
      <scheme val="minor"/>
    </font>
    <font>
      <sz val="11"/>
      <color theme="1"/>
      <name val="Calibri"/>
      <family val="2"/>
      <charset val="204"/>
      <scheme val="minor"/>
    </font>
    <font>
      <sz val="10"/>
      <name val="Times New Roman Cyr"/>
      <charset val="204"/>
    </font>
    <font>
      <sz val="11"/>
      <color theme="1"/>
      <name val="Calibri"/>
      <family val="2"/>
      <scheme val="minor"/>
    </font>
    <font>
      <b/>
      <sz val="10"/>
      <name val="Arial Cyr"/>
      <charset val="204"/>
    </font>
    <font>
      <sz val="10"/>
      <name val="Arial Cyr"/>
      <charset val="204"/>
    </font>
    <font>
      <sz val="10"/>
      <color rgb="FFFF0000"/>
      <name val="Arial Cyr"/>
      <charset val="204"/>
    </font>
    <font>
      <sz val="11"/>
      <color theme="1"/>
      <name val="Calibri"/>
      <family val="2"/>
      <charset val="204"/>
    </font>
    <font>
      <vertAlign val="subscript"/>
      <sz val="11"/>
      <color theme="1"/>
      <name val="Calibri"/>
      <family val="2"/>
      <charset val="204"/>
    </font>
    <font>
      <vertAlign val="superscript"/>
      <sz val="11"/>
      <name val="Calibri"/>
      <family val="2"/>
      <charset val="204"/>
      <scheme val="minor"/>
    </font>
    <font>
      <vertAlign val="subscript"/>
      <sz val="11"/>
      <color theme="1"/>
      <name val="Calibri"/>
      <family val="2"/>
      <charset val="204"/>
      <scheme val="minor"/>
    </font>
    <font>
      <vertAlign val="superscript"/>
      <sz val="11"/>
      <color theme="1"/>
      <name val="Calibri"/>
      <family val="2"/>
      <charset val="204"/>
      <scheme val="minor"/>
    </font>
    <font>
      <vertAlign val="subscript"/>
      <sz val="10"/>
      <name val="Arial Cyr"/>
      <charset val="204"/>
    </font>
    <font>
      <sz val="10"/>
      <color theme="1"/>
      <name val="Arial Cyr"/>
      <charset val="204"/>
    </font>
  </fonts>
  <fills count="11">
    <fill>
      <patternFill patternType="none"/>
    </fill>
    <fill>
      <patternFill patternType="gray125"/>
    </fill>
    <fill>
      <patternFill patternType="solid">
        <fgColor theme="0" tint="-0.249977111117893"/>
        <bgColor indexed="64"/>
      </patternFill>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rgb="FFFFFF00"/>
        <bgColor indexed="64"/>
      </patternFill>
    </fill>
    <fill>
      <patternFill patternType="solid">
        <fgColor theme="0" tint="-4.9989318521683403E-2"/>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3" fillId="0" borderId="1"/>
    <xf numFmtId="0" fontId="4" fillId="0" borderId="0"/>
    <xf numFmtId="0" fontId="2" fillId="0" borderId="0"/>
    <xf numFmtId="0" fontId="1" fillId="0" borderId="0"/>
    <xf numFmtId="9" fontId="6" fillId="0" borderId="0" applyFont="0" applyFill="0" applyBorder="0" applyAlignment="0" applyProtection="0"/>
  </cellStyleXfs>
  <cellXfs count="55">
    <xf numFmtId="0" fontId="0" fillId="0" borderId="0" xfId="0"/>
    <xf numFmtId="0" fontId="5" fillId="0" borderId="0" xfId="0" applyFont="1"/>
    <xf numFmtId="0" fontId="0" fillId="3" borderId="2" xfId="0" applyFill="1" applyBorder="1" applyAlignment="1">
      <alignment horizontal="center"/>
    </xf>
    <xf numFmtId="0" fontId="0" fillId="0" borderId="0" xfId="0" applyAlignment="1">
      <alignment wrapText="1"/>
    </xf>
    <xf numFmtId="0" fontId="0" fillId="0" borderId="0" xfId="0" applyAlignment="1">
      <alignment horizontal="center"/>
    </xf>
    <xf numFmtId="9" fontId="0" fillId="3" borderId="2" xfId="0" applyNumberFormat="1" applyFill="1" applyBorder="1" applyAlignment="1">
      <alignment horizontal="center"/>
    </xf>
    <xf numFmtId="2" fontId="0" fillId="0" borderId="0" xfId="0" applyNumberFormat="1" applyAlignment="1">
      <alignment horizontal="center"/>
    </xf>
    <xf numFmtId="0" fontId="0" fillId="0" borderId="0" xfId="0" quotePrefix="1"/>
    <xf numFmtId="2" fontId="0" fillId="3" borderId="2" xfId="0" applyNumberFormat="1" applyFill="1" applyBorder="1" applyAlignment="1">
      <alignment horizontal="center"/>
    </xf>
    <xf numFmtId="0" fontId="5" fillId="0" borderId="0" xfId="0" applyFont="1" applyAlignment="1">
      <alignment horizontal="center" wrapText="1"/>
    </xf>
    <xf numFmtId="0" fontId="8" fillId="4" borderId="2" xfId="0" applyFont="1" applyFill="1" applyBorder="1" applyAlignment="1">
      <alignment horizontal="center"/>
    </xf>
    <xf numFmtId="0" fontId="0" fillId="6" borderId="2" xfId="0" applyFill="1" applyBorder="1" applyAlignment="1">
      <alignment horizontal="center"/>
    </xf>
    <xf numFmtId="0" fontId="0" fillId="5" borderId="2" xfId="0" applyFill="1" applyBorder="1" applyAlignment="1">
      <alignment horizontal="center"/>
    </xf>
    <xf numFmtId="0" fontId="0" fillId="4" borderId="2" xfId="0" applyFill="1" applyBorder="1" applyAlignment="1">
      <alignment horizontal="center"/>
    </xf>
    <xf numFmtId="0" fontId="0" fillId="4" borderId="2" xfId="0" applyFill="1" applyBorder="1" applyAlignment="1">
      <alignment horizontal="center" wrapText="1"/>
    </xf>
    <xf numFmtId="1" fontId="0" fillId="5" borderId="2" xfId="0" applyNumberFormat="1" applyFill="1" applyBorder="1" applyAlignment="1">
      <alignment horizontal="center"/>
    </xf>
    <xf numFmtId="0" fontId="0" fillId="7" borderId="2" xfId="0" applyFill="1" applyBorder="1" applyAlignment="1">
      <alignment horizontal="center" wrapText="1"/>
    </xf>
    <xf numFmtId="0" fontId="0" fillId="7" borderId="2" xfId="0" applyFill="1" applyBorder="1" applyAlignment="1">
      <alignment horizontal="center"/>
    </xf>
    <xf numFmtId="0" fontId="0" fillId="7" borderId="2" xfId="0" applyFill="1" applyBorder="1"/>
    <xf numFmtId="0" fontId="0" fillId="5" borderId="2" xfId="0" applyFill="1" applyBorder="1"/>
    <xf numFmtId="2" fontId="0" fillId="5" borderId="2" xfId="0" applyNumberFormat="1" applyFill="1" applyBorder="1" applyAlignment="1">
      <alignment horizontal="center"/>
    </xf>
    <xf numFmtId="0" fontId="11" fillId="4" borderId="2" xfId="0" applyFont="1" applyFill="1" applyBorder="1" applyAlignment="1">
      <alignment horizontal="center" wrapText="1"/>
    </xf>
    <xf numFmtId="0" fontId="0" fillId="0" borderId="0" xfId="0" applyFill="1" applyBorder="1" applyAlignment="1">
      <alignment horizontal="center"/>
    </xf>
    <xf numFmtId="0" fontId="8" fillId="4" borderId="2" xfId="0" applyFont="1" applyFill="1" applyBorder="1" applyAlignment="1">
      <alignment horizontal="center" wrapText="1"/>
    </xf>
    <xf numFmtId="0" fontId="5" fillId="8" borderId="2" xfId="0" applyFont="1" applyFill="1" applyBorder="1" applyAlignment="1">
      <alignment horizontal="center" vertical="center" wrapText="1"/>
    </xf>
    <xf numFmtId="0" fontId="5" fillId="7" borderId="2" xfId="0" applyFont="1" applyFill="1" applyBorder="1" applyAlignment="1">
      <alignment horizontal="center" vertical="center"/>
    </xf>
    <xf numFmtId="0" fontId="0" fillId="7" borderId="2" xfId="0" applyFill="1" applyBorder="1" applyAlignment="1">
      <alignment horizontal="center" vertical="center"/>
    </xf>
    <xf numFmtId="0" fontId="0" fillId="9" borderId="2" xfId="0" applyFill="1" applyBorder="1" applyAlignment="1">
      <alignment horizontal="center"/>
    </xf>
    <xf numFmtId="2" fontId="0" fillId="5" borderId="3" xfId="0" applyNumberFormat="1" applyFill="1" applyBorder="1" applyAlignment="1">
      <alignment horizontal="center"/>
    </xf>
    <xf numFmtId="0" fontId="5" fillId="8" borderId="4" xfId="0" applyFont="1" applyFill="1" applyBorder="1" applyAlignment="1">
      <alignment horizontal="center" vertical="center" wrapText="1"/>
    </xf>
    <xf numFmtId="0" fontId="5" fillId="8" borderId="5" xfId="0" applyFont="1" applyFill="1" applyBorder="1" applyAlignment="1">
      <alignment horizontal="center" vertical="center" wrapText="1"/>
    </xf>
    <xf numFmtId="2" fontId="0" fillId="9" borderId="2" xfId="0" applyNumberFormat="1" applyFont="1" applyFill="1" applyBorder="1" applyAlignment="1">
      <alignment horizontal="center"/>
    </xf>
    <xf numFmtId="2" fontId="0" fillId="9" borderId="2" xfId="0" applyNumberFormat="1" applyFill="1" applyBorder="1" applyAlignment="1">
      <alignment horizontal="center"/>
    </xf>
    <xf numFmtId="0" fontId="0" fillId="0" borderId="0" xfId="0" applyFill="1" applyBorder="1"/>
    <xf numFmtId="0" fontId="5" fillId="0" borderId="0" xfId="0" applyFont="1" applyFill="1" applyBorder="1" applyAlignment="1">
      <alignment horizontal="center"/>
    </xf>
    <xf numFmtId="0" fontId="5" fillId="0" borderId="0" xfId="0" applyFont="1" applyFill="1" applyBorder="1" applyAlignment="1">
      <alignment horizontal="center" wrapText="1"/>
    </xf>
    <xf numFmtId="2" fontId="0" fillId="0" borderId="0" xfId="0" applyNumberFormat="1" applyFill="1" applyBorder="1" applyAlignment="1">
      <alignment horizontal="center"/>
    </xf>
    <xf numFmtId="2" fontId="0" fillId="0" borderId="0" xfId="0" applyNumberFormat="1" applyFill="1" applyBorder="1" applyAlignment="1">
      <alignment horizontal="center" vertical="center"/>
    </xf>
    <xf numFmtId="0" fontId="7" fillId="2" borderId="5" xfId="0" applyFont="1" applyFill="1" applyBorder="1" applyAlignment="1">
      <alignment horizontal="center"/>
    </xf>
    <xf numFmtId="2" fontId="0" fillId="5" borderId="4" xfId="0" applyNumberFormat="1" applyFill="1" applyBorder="1"/>
    <xf numFmtId="0" fontId="5" fillId="0" borderId="0" xfId="0" applyFont="1" applyFill="1" applyBorder="1" applyAlignment="1">
      <alignment horizontal="center" vertical="center" wrapText="1"/>
    </xf>
    <xf numFmtId="0" fontId="7" fillId="0" borderId="0" xfId="0" applyFont="1" applyFill="1" applyBorder="1" applyAlignment="1">
      <alignment horizontal="center"/>
    </xf>
    <xf numFmtId="0" fontId="0" fillId="9" borderId="2" xfId="0" applyFill="1" applyBorder="1"/>
    <xf numFmtId="0" fontId="0" fillId="10" borderId="2" xfId="0" applyFill="1" applyBorder="1"/>
    <xf numFmtId="9" fontId="0" fillId="5" borderId="2" xfId="5" applyFont="1" applyFill="1" applyBorder="1"/>
    <xf numFmtId="9" fontId="0" fillId="5" borderId="2" xfId="5" applyFont="1" applyFill="1" applyBorder="1" applyAlignment="1">
      <alignment horizontal="center"/>
    </xf>
    <xf numFmtId="9" fontId="0" fillId="0" borderId="0" xfId="5" applyFont="1" applyFill="1" applyBorder="1"/>
    <xf numFmtId="9" fontId="0" fillId="0" borderId="0" xfId="5" applyFont="1" applyFill="1" applyBorder="1" applyAlignment="1">
      <alignment horizontal="center"/>
    </xf>
    <xf numFmtId="2" fontId="0" fillId="0" borderId="0" xfId="0" applyNumberFormat="1" applyFill="1" applyAlignment="1">
      <alignment horizontal="center"/>
    </xf>
    <xf numFmtId="164" fontId="0" fillId="5" borderId="2" xfId="0" applyNumberFormat="1" applyFill="1" applyBorder="1" applyAlignment="1">
      <alignment horizontal="center"/>
    </xf>
    <xf numFmtId="2" fontId="0" fillId="5" borderId="2" xfId="0" applyNumberFormat="1" applyFill="1" applyBorder="1"/>
    <xf numFmtId="0" fontId="14" fillId="9" borderId="2" xfId="0" applyFont="1" applyFill="1" applyBorder="1" applyAlignment="1">
      <alignment horizontal="center"/>
    </xf>
    <xf numFmtId="0" fontId="0" fillId="10" borderId="2" xfId="0" applyFill="1" applyBorder="1" applyAlignment="1">
      <alignment horizontal="center"/>
    </xf>
    <xf numFmtId="0" fontId="0" fillId="7" borderId="2" xfId="0" applyFill="1" applyBorder="1" applyAlignment="1">
      <alignment horizontal="center"/>
    </xf>
    <xf numFmtId="0" fontId="0" fillId="5" borderId="2" xfId="0" applyFill="1" applyBorder="1" applyAlignment="1">
      <alignment horizontal="center"/>
    </xf>
  </cellXfs>
  <cellStyles count="6">
    <cellStyle name="Iau?iue_AA_1" xfId="1" xr:uid="{00000000-0005-0000-0000-000000000000}"/>
    <cellStyle name="Обычный" xfId="0" builtinId="0"/>
    <cellStyle name="Обычный 2" xfId="2" xr:uid="{00000000-0005-0000-0000-000003000000}"/>
    <cellStyle name="Обычный 3" xfId="3" xr:uid="{00000000-0005-0000-0000-000004000000}"/>
    <cellStyle name="Обычный 3 2" xfId="4" xr:uid="{00000000-0005-0000-0000-000005000000}"/>
    <cellStyle name="Процентный" xfId="5" builtinId="5"/>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Распределение</a:t>
            </a:r>
            <a:r>
              <a:rPr lang="ru-RU" baseline="0"/>
              <a:t> давления в скважине</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1"/>
          <c:order val="0"/>
          <c:tx>
            <c:strRef>
              <c:f>well!$F$65</c:f>
              <c:strCache>
                <c:ptCount val="1"/>
                <c:pt idx="0">
                  <c:v>P снизу вверх</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well!$F$66:$F$86</c:f>
              <c:numCache>
                <c:formatCode>0.00</c:formatCode>
                <c:ptCount val="21"/>
                <c:pt idx="0">
                  <c:v>0</c:v>
                </c:pt>
                <c:pt idx="1">
                  <c:v>0</c:v>
                </c:pt>
                <c:pt idx="2">
                  <c:v>0</c:v>
                </c:pt>
                <c:pt idx="3">
                  <c:v>0</c:v>
                </c:pt>
                <c:pt idx="4">
                  <c:v>0</c:v>
                </c:pt>
                <c:pt idx="5">
                  <c:v>0</c:v>
                </c:pt>
                <c:pt idx="6">
                  <c:v>1.8054323369897451</c:v>
                </c:pt>
                <c:pt idx="7">
                  <c:v>3.6236589201632583</c:v>
                </c:pt>
                <c:pt idx="8">
                  <c:v>5.9017960564522225</c:v>
                </c:pt>
                <c:pt idx="9">
                  <c:v>8.6963048249188581</c:v>
                </c:pt>
                <c:pt idx="10">
                  <c:v>12.031451024667465</c:v>
                </c:pt>
                <c:pt idx="11">
                  <c:v>15.916867099961335</c:v>
                </c:pt>
                <c:pt idx="12">
                  <c:v>20.351788548898636</c:v>
                </c:pt>
                <c:pt idx="13">
                  <c:v>25.326038951144799</c:v>
                </c:pt>
                <c:pt idx="14">
                  <c:v>30.822120784843342</c:v>
                </c:pt>
                <c:pt idx="15">
                  <c:v>36.815457599614305</c:v>
                </c:pt>
                <c:pt idx="16">
                  <c:v>43.273705416457595</c:v>
                </c:pt>
                <c:pt idx="17">
                  <c:v>50.318015471521939</c:v>
                </c:pt>
                <c:pt idx="18">
                  <c:v>58.367707375039274</c:v>
                </c:pt>
                <c:pt idx="19">
                  <c:v>66.676991588901558</c:v>
                </c:pt>
                <c:pt idx="20" formatCode="General">
                  <c:v>75</c:v>
                </c:pt>
              </c:numCache>
            </c:numRef>
          </c:xVal>
          <c:yVal>
            <c:numRef>
              <c:f>well!$C$66:$C$86</c:f>
              <c:numCache>
                <c:formatCode>General</c:formatCode>
                <c:ptCount val="2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numCache>
            </c:numRef>
          </c:yVal>
          <c:smooth val="0"/>
          <c:extLst>
            <c:ext xmlns:c16="http://schemas.microsoft.com/office/drawing/2014/chart" uri="{C3380CC4-5D6E-409C-BE32-E72D297353CC}">
              <c16:uniqueId val="{00000000-40B3-4480-B619-5B823188098A}"/>
            </c:ext>
          </c:extLst>
        </c:ser>
        <c:ser>
          <c:idx val="0"/>
          <c:order val="1"/>
          <c:tx>
            <c:strRef>
              <c:f>well!$Q$65</c:f>
              <c:strCache>
                <c:ptCount val="1"/>
                <c:pt idx="0">
                  <c:v>Давление в затрубе снизу вверх</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well!$Q$66:$Q$86</c:f>
              <c:numCache>
                <c:formatCode>0.00</c:formatCode>
                <c:ptCount val="21"/>
                <c:pt idx="0">
                  <c:v>10.435720854673034</c:v>
                </c:pt>
                <c:pt idx="1">
                  <c:v>11.756036096572158</c:v>
                </c:pt>
                <c:pt idx="2">
                  <c:v>13.11100702337637</c:v>
                </c:pt>
                <c:pt idx="3">
                  <c:v>14.510085240976242</c:v>
                </c:pt>
                <c:pt idx="4">
                  <c:v>15.960948981167263</c:v>
                </c:pt>
                <c:pt idx="5">
                  <c:v>17.470108786324882</c:v>
                </c:pt>
                <c:pt idx="6">
                  <c:v>19.043269748574897</c:v>
                </c:pt>
                <c:pt idx="7">
                  <c:v>20.685557263093049</c:v>
                </c:pt>
                <c:pt idx="8">
                  <c:v>22.401661763035044</c:v>
                </c:pt>
                <c:pt idx="9">
                  <c:v>24.195933062554154</c:v>
                </c:pt>
                <c:pt idx="10">
                  <c:v>26.072442120237145</c:v>
                </c:pt>
                <c:pt idx="11">
                  <c:v>28.035021054398719</c:v>
                </c:pt>
                <c:pt idx="12">
                  <c:v>30.087288262779062</c:v>
                </c:pt>
                <c:pt idx="13">
                  <c:v>32.232663143608264</c:v>
                </c:pt>
                <c:pt idx="14">
                  <c:v>34.474373474530317</c:v>
                </c:pt>
                <c:pt idx="15">
                  <c:v>36.815457599614305</c:v>
                </c:pt>
              </c:numCache>
            </c:numRef>
          </c:xVal>
          <c:yVal>
            <c:numRef>
              <c:f>well!$C$66:$C$86</c:f>
              <c:numCache>
                <c:formatCode>General</c:formatCode>
                <c:ptCount val="2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numCache>
            </c:numRef>
          </c:yVal>
          <c:smooth val="0"/>
          <c:extLst>
            <c:ext xmlns:c16="http://schemas.microsoft.com/office/drawing/2014/chart" uri="{C3380CC4-5D6E-409C-BE32-E72D297353CC}">
              <c16:uniqueId val="{00000001-40B3-4480-B619-5B823188098A}"/>
            </c:ext>
          </c:extLst>
        </c:ser>
        <c:ser>
          <c:idx val="4"/>
          <c:order val="2"/>
          <c:tx>
            <c:strRef>
              <c:f>well!$M$65</c:f>
              <c:strCache>
                <c:ptCount val="1"/>
                <c:pt idx="0">
                  <c:v>Давление в НКТ снизу вверх</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well!$M$66:$M$86</c:f>
              <c:numCache>
                <c:formatCode>0.00</c:formatCode>
                <c:ptCount val="21"/>
                <c:pt idx="0">
                  <c:v>10.340764016294925</c:v>
                </c:pt>
                <c:pt idx="1">
                  <c:v>13.816085046220545</c:v>
                </c:pt>
                <c:pt idx="2">
                  <c:v>18.208468287456274</c:v>
                </c:pt>
                <c:pt idx="3">
                  <c:v>23.390693185059423</c:v>
                </c:pt>
                <c:pt idx="4">
                  <c:v>29.377111632939808</c:v>
                </c:pt>
                <c:pt idx="5">
                  <c:v>36.177705361541165</c:v>
                </c:pt>
                <c:pt idx="6">
                  <c:v>43.750586253285064</c:v>
                </c:pt>
                <c:pt idx="7">
                  <c:v>52.005444746947624</c:v>
                </c:pt>
                <c:pt idx="8">
                  <c:v>60.416180896639275</c:v>
                </c:pt>
                <c:pt idx="9">
                  <c:v>68.834442012511531</c:v>
                </c:pt>
                <c:pt idx="10">
                  <c:v>77.257845346931632</c:v>
                </c:pt>
                <c:pt idx="11">
                  <c:v>85.684739246883353</c:v>
                </c:pt>
                <c:pt idx="12">
                  <c:v>94.113930231443689</c:v>
                </c:pt>
                <c:pt idx="13">
                  <c:v>102.54452649083898</c:v>
                </c:pt>
                <c:pt idx="14">
                  <c:v>110.9758429081766</c:v>
                </c:pt>
                <c:pt idx="15">
                  <c:v>119.4073407043558</c:v>
                </c:pt>
              </c:numCache>
            </c:numRef>
          </c:xVal>
          <c:yVal>
            <c:numRef>
              <c:f>well!$C$66:$C$86</c:f>
              <c:numCache>
                <c:formatCode>General</c:formatCode>
                <c:ptCount val="2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numCache>
            </c:numRef>
          </c:yVal>
          <c:smooth val="0"/>
          <c:extLst>
            <c:ext xmlns:c16="http://schemas.microsoft.com/office/drawing/2014/chart" uri="{C3380CC4-5D6E-409C-BE32-E72D297353CC}">
              <c16:uniqueId val="{00000000-5176-42C9-8C6E-9835A19AC806}"/>
            </c:ext>
          </c:extLst>
        </c:ser>
        <c:dLbls>
          <c:showLegendKey val="0"/>
          <c:showVal val="0"/>
          <c:showCatName val="0"/>
          <c:showSerName val="0"/>
          <c:showPercent val="0"/>
          <c:showBubbleSize val="0"/>
        </c:dLbls>
        <c:axId val="304304640"/>
        <c:axId val="304305216"/>
      </c:scatterChart>
      <c:valAx>
        <c:axId val="304304640"/>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Давление,</a:t>
                </a:r>
                <a:r>
                  <a:rPr lang="ru-RU" baseline="0"/>
                  <a:t> атм</a:t>
                </a:r>
                <a:endParaRPr lang="ru-R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04305216"/>
        <c:crosses val="autoZero"/>
        <c:crossBetween val="midCat"/>
      </c:valAx>
      <c:valAx>
        <c:axId val="304305216"/>
        <c:scaling>
          <c:orientation val="maxMin"/>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Глубина,</a:t>
                </a:r>
                <a:r>
                  <a:rPr lang="ru-RU" baseline="0"/>
                  <a:t> м</a:t>
                </a:r>
                <a:endParaRPr lang="ru-R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043046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Доля газа в</a:t>
            </a:r>
            <a:r>
              <a:rPr lang="ru-RU" baseline="0"/>
              <a:t> разных точках системы</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1"/>
          <c:order val="0"/>
          <c:tx>
            <c:strRef>
              <c:f>well!$I$65</c:f>
              <c:strCache>
                <c:ptCount val="1"/>
                <c:pt idx="0">
                  <c:v>Доля газа до приема</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well!$I$66:$I$86</c:f>
              <c:numCache>
                <c:formatCode>General</c:formatCode>
                <c:ptCount val="21"/>
                <c:pt idx="15" formatCode="0%">
                  <c:v>0.3430490539657618</c:v>
                </c:pt>
                <c:pt idx="16" formatCode="0%">
                  <c:v>0.22679829979647245</c:v>
                </c:pt>
                <c:pt idx="17" formatCode="0%">
                  <c:v>9.8413249784674986E-2</c:v>
                </c:pt>
                <c:pt idx="18" formatCode="0%">
                  <c:v>0</c:v>
                </c:pt>
                <c:pt idx="19" formatCode="0%">
                  <c:v>0</c:v>
                </c:pt>
                <c:pt idx="20" formatCode="0%">
                  <c:v>0</c:v>
                </c:pt>
              </c:numCache>
            </c:numRef>
          </c:xVal>
          <c:yVal>
            <c:numRef>
              <c:f>well!$C$66:$C$86</c:f>
              <c:numCache>
                <c:formatCode>General</c:formatCode>
                <c:ptCount val="2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numCache>
            </c:numRef>
          </c:yVal>
          <c:smooth val="0"/>
          <c:extLst>
            <c:ext xmlns:c16="http://schemas.microsoft.com/office/drawing/2014/chart" uri="{C3380CC4-5D6E-409C-BE32-E72D297353CC}">
              <c16:uniqueId val="{00000000-9CF7-4438-8A04-952ACD4327ED}"/>
            </c:ext>
          </c:extLst>
        </c:ser>
        <c:ser>
          <c:idx val="0"/>
          <c:order val="1"/>
          <c:tx>
            <c:strRef>
              <c:f>well!$J$65</c:f>
              <c:strCache>
                <c:ptCount val="1"/>
                <c:pt idx="0">
                  <c:v>Доля газа в затрубе</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well!$J$66:$J$86</c:f>
              <c:numCache>
                <c:formatCode>0%</c:formatCode>
                <c:ptCount val="21"/>
                <c:pt idx="0">
                  <c:v>0.95007288308331428</c:v>
                </c:pt>
                <c:pt idx="1">
                  <c:v>0.94409700690523557</c:v>
                </c:pt>
                <c:pt idx="2">
                  <c:v>0.93802852813778714</c:v>
                </c:pt>
                <c:pt idx="3">
                  <c:v>0.93182377183245269</c:v>
                </c:pt>
                <c:pt idx="4">
                  <c:v>0.92544843767346419</c:v>
                </c:pt>
                <c:pt idx="5">
                  <c:v>0.91887454027015225</c:v>
                </c:pt>
                <c:pt idx="6">
                  <c:v>0.91207858221474014</c:v>
                </c:pt>
                <c:pt idx="7">
                  <c:v>0.905040420577505</c:v>
                </c:pt>
                <c:pt idx="8">
                  <c:v>0.89774254627008521</c:v>
                </c:pt>
                <c:pt idx="9">
                  <c:v>0.89016962073485473</c:v>
                </c:pt>
                <c:pt idx="10">
                  <c:v>0.88230817898953917</c:v>
                </c:pt>
                <c:pt idx="11">
                  <c:v>0.87414644325679802</c:v>
                </c:pt>
                <c:pt idx="12">
                  <c:v>0.86567421147385104</c:v>
                </c:pt>
                <c:pt idx="13">
                  <c:v>0.85688279685414181</c:v>
                </c:pt>
                <c:pt idx="14">
                  <c:v>0.84776500193926363</c:v>
                </c:pt>
                <c:pt idx="15">
                  <c:v>0.83831511516545543</c:v>
                </c:pt>
              </c:numCache>
            </c:numRef>
          </c:xVal>
          <c:yVal>
            <c:numRef>
              <c:f>well!$C$66:$C$86</c:f>
              <c:numCache>
                <c:formatCode>General</c:formatCode>
                <c:ptCount val="2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numCache>
            </c:numRef>
          </c:yVal>
          <c:smooth val="0"/>
          <c:extLst>
            <c:ext xmlns:c16="http://schemas.microsoft.com/office/drawing/2014/chart" uri="{C3380CC4-5D6E-409C-BE32-E72D297353CC}">
              <c16:uniqueId val="{00000001-9CF7-4438-8A04-952ACD4327ED}"/>
            </c:ext>
          </c:extLst>
        </c:ser>
        <c:ser>
          <c:idx val="4"/>
          <c:order val="2"/>
          <c:tx>
            <c:strRef>
              <c:f>well!$K$65</c:f>
              <c:strCache>
                <c:ptCount val="1"/>
                <c:pt idx="0">
                  <c:v>Доля газа в НКТ</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well!$K$66:$K$86</c:f>
              <c:numCache>
                <c:formatCode>0%</c:formatCode>
                <c:ptCount val="21"/>
                <c:pt idx="0">
                  <c:v>0.79478569105361241</c:v>
                </c:pt>
                <c:pt idx="1">
                  <c:v>0.72707657195405351</c:v>
                </c:pt>
                <c:pt idx="2">
                  <c:v>0.64080174816971625</c:v>
                </c:pt>
                <c:pt idx="3">
                  <c:v>0.53775843448781369</c:v>
                </c:pt>
                <c:pt idx="4">
                  <c:v>0.41666051728643644</c:v>
                </c:pt>
                <c:pt idx="5">
                  <c:v>0.27607337015067063</c:v>
                </c:pt>
                <c:pt idx="6">
                  <c:v>0.11545965640525324</c:v>
                </c:pt>
                <c:pt idx="7">
                  <c:v>0</c:v>
                </c:pt>
                <c:pt idx="8">
                  <c:v>0</c:v>
                </c:pt>
                <c:pt idx="9">
                  <c:v>0</c:v>
                </c:pt>
                <c:pt idx="10">
                  <c:v>0</c:v>
                </c:pt>
                <c:pt idx="11">
                  <c:v>0</c:v>
                </c:pt>
                <c:pt idx="12">
                  <c:v>0</c:v>
                </c:pt>
                <c:pt idx="13">
                  <c:v>0</c:v>
                </c:pt>
                <c:pt idx="14">
                  <c:v>0</c:v>
                </c:pt>
                <c:pt idx="15">
                  <c:v>0</c:v>
                </c:pt>
              </c:numCache>
            </c:numRef>
          </c:xVal>
          <c:yVal>
            <c:numRef>
              <c:f>well!$C$66:$C$86</c:f>
              <c:numCache>
                <c:formatCode>General</c:formatCode>
                <c:ptCount val="2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numCache>
            </c:numRef>
          </c:yVal>
          <c:smooth val="0"/>
          <c:extLst>
            <c:ext xmlns:c16="http://schemas.microsoft.com/office/drawing/2014/chart" uri="{C3380CC4-5D6E-409C-BE32-E72D297353CC}">
              <c16:uniqueId val="{00000002-9CF7-4438-8A04-952ACD4327ED}"/>
            </c:ext>
          </c:extLst>
        </c:ser>
        <c:dLbls>
          <c:showLegendKey val="0"/>
          <c:showVal val="0"/>
          <c:showCatName val="0"/>
          <c:showSerName val="0"/>
          <c:showPercent val="0"/>
          <c:showBubbleSize val="0"/>
        </c:dLbls>
        <c:axId val="304304640"/>
        <c:axId val="304305216"/>
      </c:scatterChart>
      <c:valAx>
        <c:axId val="304304640"/>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Доля</a:t>
                </a:r>
                <a:r>
                  <a:rPr lang="ru-RU" baseline="0"/>
                  <a:t> газа в потоке, д.ед.</a:t>
                </a:r>
                <a:endParaRPr lang="ru-R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04305216"/>
        <c:crosses val="autoZero"/>
        <c:crossBetween val="midCat"/>
      </c:valAx>
      <c:valAx>
        <c:axId val="304305216"/>
        <c:scaling>
          <c:orientation val="maxMin"/>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Глубина,</a:t>
                </a:r>
                <a:r>
                  <a:rPr lang="ru-RU" baseline="0"/>
                  <a:t> м</a:t>
                </a:r>
                <a:endParaRPr lang="ru-R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043046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31543</xdr:colOff>
      <xdr:row>58</xdr:row>
      <xdr:rowOff>2472</xdr:rowOff>
    </xdr:from>
    <xdr:to>
      <xdr:col>24</xdr:col>
      <xdr:colOff>381000</xdr:colOff>
      <xdr:row>95</xdr:row>
      <xdr:rowOff>1</xdr:rowOff>
    </xdr:to>
    <xdr:graphicFrame macro="">
      <xdr:nvGraphicFramePr>
        <xdr:cNvPr id="11" name="Диаграмма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498662</xdr:colOff>
      <xdr:row>3</xdr:row>
      <xdr:rowOff>58431</xdr:rowOff>
    </xdr:from>
    <xdr:to>
      <xdr:col>25</xdr:col>
      <xdr:colOff>522674</xdr:colOff>
      <xdr:row>19</xdr:row>
      <xdr:rowOff>76830</xdr:rowOff>
    </xdr:to>
    <xdr:sp macro="" textlink="">
      <xdr:nvSpPr>
        <xdr:cNvPr id="3" name="TextBox 2">
          <a:extLst>
            <a:ext uri="{FF2B5EF4-FFF2-40B4-BE49-F238E27FC236}">
              <a16:creationId xmlns:a16="http://schemas.microsoft.com/office/drawing/2014/main" id="{B789B366-9809-40C3-BCED-C4C3820294CC}"/>
            </a:ext>
          </a:extLst>
        </xdr:cNvPr>
        <xdr:cNvSpPr txBox="1"/>
      </xdr:nvSpPr>
      <xdr:spPr>
        <a:xfrm>
          <a:off x="5586133" y="529078"/>
          <a:ext cx="12765100" cy="3290517"/>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ru-RU" sz="1100"/>
            <a:t>Общая теория</a:t>
          </a:r>
          <a:endParaRPr lang="en-US" sz="1100"/>
        </a:p>
        <a:p>
          <a:r>
            <a:rPr lang="ru-RU" sz="1100"/>
            <a:t>При спуске погружного оборудования</a:t>
          </a:r>
          <a:r>
            <a:rPr lang="ru-RU" sz="1100" baseline="0"/>
            <a:t> в фонтанирующую скважину газожидкостный поток у приема разделяется на 2 составляющие: поток с низким газосодержанием после сепарации естесственной и искусственной в НКТ и поток с большой долей свободного газа в затрубное пространство. </a:t>
          </a:r>
        </a:p>
        <a:p>
          <a:r>
            <a:rPr lang="ru-RU" sz="1100" baseline="0"/>
            <a:t>При этом ЭЦН за счет энергии движения ГЖС работает практически на холостом ходу, развивая обычный перепад давления по напорной характеристике. Также при дебите большем, чем максимально возможный перепад давления  насоса, может происходить турбинное вращение, насос будет работать как гидравлическое сопротивление.</a:t>
          </a:r>
          <a:r>
            <a:rPr lang="en-US" sz="1100" baseline="0"/>
            <a:t> </a:t>
          </a:r>
          <a:r>
            <a:rPr lang="ru-RU" sz="1100" baseline="0"/>
            <a:t>Перегрев электродвигателя не происходит, т.к. он непрерывно охлаждается общим газожидкостным потоком.</a:t>
          </a:r>
        </a:p>
        <a:p>
          <a:r>
            <a:rPr lang="ru-RU" sz="1100" baseline="0"/>
            <a:t>В затрубном пространстве за счет большого количество газа будет происходить фонтанирование. Давление в затрубном пространстве будет большим, чем буферное, потому как обратный клапан в затрубе, предназначеныый для сброса газа, с жидкостью будет функционировать как штуцер, дросселируя давление. Без обратного клапана можно сделать  логичное предположение о том, что давления будут равными - газлифтный эффект в затрубном пространстве (подъем газожидкостной смеси за счет снижения плотности) будет равен перепаду давления, который создает ЭЦН.</a:t>
          </a:r>
        </a:p>
        <a:p>
          <a:endParaRPr lang="ru-RU" sz="1100" baseline="0"/>
        </a:p>
        <a:p>
          <a:r>
            <a:rPr lang="ru-RU" sz="1100" baseline="0"/>
            <a:t>Отсюда возникает вопрос, рационально ли устанавливать ЭЦН в фонтанирующую скважину с большим газовым фактором?</a:t>
          </a:r>
        </a:p>
        <a:p>
          <a:endParaRPr lang="ru-RU" sz="1100" baseline="0"/>
        </a:p>
        <a:p>
          <a:r>
            <a:rPr lang="ru-RU" sz="1100" baseline="0"/>
            <a:t>Вопросы по упражнению</a:t>
          </a:r>
        </a:p>
        <a:p>
          <a:pPr marL="0" marR="0" lvl="0" indent="0" defTabSz="914400" eaLnBrk="1" fontAlgn="auto" latinLnBrk="0" hangingPunct="1">
            <a:lnSpc>
              <a:spcPct val="100000"/>
            </a:lnSpc>
            <a:spcBef>
              <a:spcPts val="0"/>
            </a:spcBef>
            <a:spcAft>
              <a:spcPts val="0"/>
            </a:spcAft>
            <a:buClrTx/>
            <a:buSzTx/>
            <a:buFontTx/>
            <a:buNone/>
            <a:tabLst/>
            <a:defRPr/>
          </a:pPr>
          <a:r>
            <a:rPr lang="ru-RU" sz="1100" baseline="0">
              <a:solidFill>
                <a:schemeClr val="dk1"/>
              </a:solidFill>
              <a:effectLst/>
              <a:latin typeface="+mn-lt"/>
              <a:ea typeface="+mn-ea"/>
              <a:cs typeface="+mn-cs"/>
            </a:rPr>
            <a:t>1. Какая доля жидкости идет в насос и НКТ, а какая в затрубное пространство?</a:t>
          </a:r>
          <a:endParaRPr lang="ru-RU" sz="1100" baseline="0"/>
        </a:p>
        <a:p>
          <a:r>
            <a:rPr lang="ru-RU" sz="1100" baseline="0"/>
            <a:t>2. Постройте КРД на путях движения жидкости. На каком пути движения ГЖС градиент давления больше?</a:t>
          </a:r>
        </a:p>
        <a:p>
          <a:r>
            <a:rPr lang="ru-RU" sz="1100" baseline="0"/>
            <a:t>3. Оцените долю газа в разных точках системы? Где самое высокое значение?</a:t>
          </a:r>
        </a:p>
        <a:p>
          <a:endParaRPr lang="ru-RU" sz="1100" baseline="0"/>
        </a:p>
        <a:p>
          <a:r>
            <a:rPr lang="en-US" sz="1100" baseline="0"/>
            <a:t>P.S. </a:t>
          </a:r>
          <a:r>
            <a:rPr lang="ru-RU" sz="1100" baseline="0"/>
            <a:t>Помимо данного упражнения Вы можете просмотреть расширенный расчет реальной скважины в папке "а</a:t>
          </a:r>
          <a:r>
            <a:rPr lang="en-US" sz="1100" baseline="0"/>
            <a:t>pp</a:t>
          </a:r>
          <a:r>
            <a:rPr lang="ru-RU" sz="1100" baseline="0"/>
            <a:t>"</a:t>
          </a:r>
        </a:p>
      </xdr:txBody>
    </xdr:sp>
    <xdr:clientData/>
  </xdr:twoCellAnchor>
  <xdr:twoCellAnchor>
    <xdr:from>
      <xdr:col>24</xdr:col>
      <xdr:colOff>365015</xdr:colOff>
      <xdr:row>58</xdr:row>
      <xdr:rowOff>10657</xdr:rowOff>
    </xdr:from>
    <xdr:to>
      <xdr:col>32</xdr:col>
      <xdr:colOff>175847</xdr:colOff>
      <xdr:row>94</xdr:row>
      <xdr:rowOff>119895</xdr:rowOff>
    </xdr:to>
    <xdr:graphicFrame macro="">
      <xdr:nvGraphicFramePr>
        <xdr:cNvPr id="5" name="Диаграмма 4">
          <a:extLst>
            <a:ext uri="{FF2B5EF4-FFF2-40B4-BE49-F238E27FC236}">
              <a16:creationId xmlns:a16="http://schemas.microsoft.com/office/drawing/2014/main" id="{B6F3CF0A-4DCF-4A35-B686-538DA5306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nt/unifloc_vba/UniflocVBA_7.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Pbase"/>
      <sheetName val="Info"/>
    </sheetNames>
    <definedNames>
      <definedName name="ESP_dP_atm"/>
      <definedName name="ESP_Encode_string"/>
      <definedName name="ESP_head_m"/>
      <definedName name="ESP_id_by_rate"/>
      <definedName name="esp_max_rate_m3day"/>
      <definedName name="ESP_name"/>
      <definedName name="getUFVersion"/>
      <definedName name="IPR_PI_sm3dayatm"/>
      <definedName name="MF_gas_fraction_d"/>
      <definedName name="MF_ksep_natural_d"/>
      <definedName name="MF_ksep_total_d"/>
      <definedName name="MF_p_pipe_atma"/>
      <definedName name="PVT_encode_string"/>
    </definedNames>
    <sheetDataSet>
      <sheetData sheetId="0"/>
      <sheetData sheetId="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well">
    <outlinePr summaryBelow="0"/>
  </sheetPr>
  <dimension ref="A1:AB194"/>
  <sheetViews>
    <sheetView tabSelected="1" zoomScale="65" zoomScaleNormal="65" workbookViewId="0">
      <selection activeCell="N89" sqref="N89"/>
    </sheetView>
  </sheetViews>
  <sheetFormatPr defaultRowHeight="12.75" outlineLevelRow="1" x14ac:dyDescent="0.2"/>
  <cols>
    <col min="2" max="2" width="26.28515625" customWidth="1"/>
    <col min="3" max="4" width="9.85546875" customWidth="1"/>
    <col min="5" max="5" width="11.28515625" customWidth="1"/>
    <col min="6" max="6" width="9.85546875" customWidth="1"/>
    <col min="7" max="7" width="10.28515625" customWidth="1"/>
    <col min="8" max="10" width="12.28515625" customWidth="1"/>
    <col min="12" max="13" width="11.28515625" customWidth="1"/>
    <col min="14" max="14" width="10.140625" customWidth="1"/>
    <col min="15" max="15" width="11.5703125" bestFit="1" customWidth="1"/>
  </cols>
  <sheetData>
    <row r="1" spans="1:7" x14ac:dyDescent="0.2">
      <c r="A1" s="1" t="s">
        <v>28</v>
      </c>
      <c r="F1" t="s">
        <v>29</v>
      </c>
      <c r="G1" t="str">
        <f>[1]!getUFVersion()</f>
        <v>7.8</v>
      </c>
    </row>
    <row r="2" spans="1:7" x14ac:dyDescent="0.2">
      <c r="A2" t="s">
        <v>86</v>
      </c>
    </row>
    <row r="6" spans="1:7" x14ac:dyDescent="0.2">
      <c r="A6" s="1" t="s">
        <v>15</v>
      </c>
    </row>
    <row r="7" spans="1:7" ht="18.75" outlineLevel="1" x14ac:dyDescent="0.35">
      <c r="B7" s="10" t="s">
        <v>30</v>
      </c>
      <c r="C7" s="2">
        <v>0.87</v>
      </c>
      <c r="D7" s="11"/>
      <c r="E7" s="12">
        <f>gamma_oil_*1000</f>
        <v>870</v>
      </c>
      <c r="F7" s="13" t="s">
        <v>31</v>
      </c>
    </row>
    <row r="8" spans="1:7" ht="18.75" outlineLevel="1" x14ac:dyDescent="0.35">
      <c r="B8" s="13" t="s">
        <v>32</v>
      </c>
      <c r="C8" s="2">
        <v>1</v>
      </c>
      <c r="D8" s="11"/>
      <c r="E8" s="12">
        <f>gamma_wat_*1000</f>
        <v>1000</v>
      </c>
      <c r="F8" s="13" t="s">
        <v>31</v>
      </c>
    </row>
    <row r="9" spans="1:7" ht="18.75" outlineLevel="1" x14ac:dyDescent="0.35">
      <c r="B9" s="13" t="s">
        <v>33</v>
      </c>
      <c r="C9" s="2">
        <v>0.8</v>
      </c>
      <c r="D9" s="11"/>
      <c r="E9" s="12">
        <f>gamma_gas_*1.22</f>
        <v>0.97599999999999998</v>
      </c>
      <c r="F9" s="13" t="s">
        <v>31</v>
      </c>
    </row>
    <row r="10" spans="1:7" ht="18.75" outlineLevel="1" x14ac:dyDescent="0.35">
      <c r="B10" s="14" t="s">
        <v>34</v>
      </c>
      <c r="C10" s="2">
        <v>200</v>
      </c>
      <c r="D10" s="13" t="s">
        <v>35</v>
      </c>
      <c r="E10" s="15">
        <f>Rsb_/gamma_oil_</f>
        <v>229.88505747126436</v>
      </c>
      <c r="F10" s="13" t="s">
        <v>36</v>
      </c>
    </row>
    <row r="11" spans="1:7" ht="18.75" outlineLevel="1" x14ac:dyDescent="0.35">
      <c r="B11" s="14" t="s">
        <v>37</v>
      </c>
      <c r="C11" s="2">
        <v>200</v>
      </c>
      <c r="D11" s="13" t="s">
        <v>35</v>
      </c>
      <c r="E11" s="15">
        <f>Rsb_/gamma_oil_</f>
        <v>229.88505747126436</v>
      </c>
      <c r="F11" s="13" t="s">
        <v>36</v>
      </c>
    </row>
    <row r="12" spans="1:7" ht="18" outlineLevel="1" x14ac:dyDescent="0.35">
      <c r="B12" s="13" t="s">
        <v>38</v>
      </c>
      <c r="C12" s="2">
        <v>130</v>
      </c>
      <c r="D12" s="11" t="s">
        <v>39</v>
      </c>
      <c r="E12" s="15">
        <f>Pb_*1.01325</f>
        <v>131.7225</v>
      </c>
      <c r="F12" s="11" t="s">
        <v>40</v>
      </c>
    </row>
    <row r="13" spans="1:7" ht="18" outlineLevel="1" x14ac:dyDescent="0.35">
      <c r="B13" s="13" t="s">
        <v>41</v>
      </c>
      <c r="C13" s="2">
        <v>100</v>
      </c>
      <c r="D13" s="11" t="s">
        <v>1</v>
      </c>
      <c r="E13" s="15">
        <f>Tres_*9/5+32</f>
        <v>212</v>
      </c>
      <c r="F13" s="11" t="s">
        <v>42</v>
      </c>
    </row>
    <row r="14" spans="1:7" ht="18.75" outlineLevel="1" x14ac:dyDescent="0.35">
      <c r="B14" s="14" t="s">
        <v>43</v>
      </c>
      <c r="C14" s="2">
        <v>1.2</v>
      </c>
      <c r="D14" s="13" t="s">
        <v>35</v>
      </c>
    </row>
    <row r="15" spans="1:7" ht="18" x14ac:dyDescent="0.35">
      <c r="B15" s="21" t="s">
        <v>71</v>
      </c>
      <c r="C15" s="2">
        <v>5</v>
      </c>
      <c r="D15" s="13" t="s">
        <v>72</v>
      </c>
    </row>
    <row r="16" spans="1:7" x14ac:dyDescent="0.2">
      <c r="B16" s="3"/>
      <c r="C16" s="4"/>
    </row>
    <row r="17" spans="1:4" outlineLevel="1" x14ac:dyDescent="0.2">
      <c r="A17" s="1" t="s">
        <v>16</v>
      </c>
      <c r="B17" s="3"/>
      <c r="C17" s="4"/>
    </row>
    <row r="18" spans="1:4" ht="15.75" outlineLevel="1" x14ac:dyDescent="0.3">
      <c r="B18" s="16" t="s">
        <v>44</v>
      </c>
      <c r="C18" s="2">
        <v>2000</v>
      </c>
      <c r="D18" s="17" t="s">
        <v>3</v>
      </c>
    </row>
    <row r="19" spans="1:4" ht="15.75" outlineLevel="1" x14ac:dyDescent="0.3">
      <c r="B19" s="16" t="s">
        <v>45</v>
      </c>
      <c r="C19" s="2">
        <v>0</v>
      </c>
      <c r="D19" s="17" t="s">
        <v>3</v>
      </c>
    </row>
    <row r="20" spans="1:4" ht="15.75" outlineLevel="1" x14ac:dyDescent="0.3">
      <c r="B20" s="16" t="s">
        <v>46</v>
      </c>
      <c r="C20" s="2">
        <v>1500</v>
      </c>
      <c r="D20" s="17" t="s">
        <v>3</v>
      </c>
    </row>
    <row r="21" spans="1:4" ht="15.75" outlineLevel="1" x14ac:dyDescent="0.3">
      <c r="B21" s="16" t="s">
        <v>47</v>
      </c>
      <c r="C21" s="2">
        <v>125</v>
      </c>
      <c r="D21" s="17" t="s">
        <v>4</v>
      </c>
    </row>
    <row r="22" spans="1:4" ht="15.75" outlineLevel="1" x14ac:dyDescent="0.3">
      <c r="B22" s="16" t="s">
        <v>48</v>
      </c>
      <c r="C22" s="2">
        <v>73</v>
      </c>
      <c r="D22" s="17" t="s">
        <v>4</v>
      </c>
    </row>
    <row r="23" spans="1:4" ht="15" outlineLevel="1" x14ac:dyDescent="0.25">
      <c r="B23" s="23" t="s">
        <v>73</v>
      </c>
      <c r="C23" s="2">
        <v>90</v>
      </c>
      <c r="D23" s="13" t="s">
        <v>74</v>
      </c>
    </row>
    <row r="24" spans="1:4" ht="15.75" outlineLevel="1" x14ac:dyDescent="0.3">
      <c r="B24" s="16" t="s">
        <v>49</v>
      </c>
      <c r="C24" s="12">
        <f>Dtub_out_-10</f>
        <v>63</v>
      </c>
      <c r="D24" s="17" t="s">
        <v>4</v>
      </c>
    </row>
    <row r="25" spans="1:4" ht="15.75" outlineLevel="1" x14ac:dyDescent="0.3">
      <c r="B25" s="16" t="s">
        <v>50</v>
      </c>
      <c r="C25" s="2">
        <v>100</v>
      </c>
      <c r="D25" s="17" t="s">
        <v>4</v>
      </c>
    </row>
    <row r="26" spans="1:4" ht="15.75" outlineLevel="1" x14ac:dyDescent="0.3">
      <c r="B26" s="16" t="s">
        <v>51</v>
      </c>
      <c r="C26" s="2">
        <v>10</v>
      </c>
      <c r="D26" s="17" t="s">
        <v>0</v>
      </c>
    </row>
    <row r="27" spans="1:4" ht="15.75" outlineLevel="1" x14ac:dyDescent="0.3">
      <c r="B27" s="16" t="s">
        <v>52</v>
      </c>
      <c r="C27" s="12">
        <f>PKsep</f>
        <v>36.799999999999997</v>
      </c>
      <c r="D27" s="17" t="s">
        <v>0</v>
      </c>
    </row>
    <row r="28" spans="1:4" ht="15.75" outlineLevel="1" x14ac:dyDescent="0.3">
      <c r="B28" s="16" t="s">
        <v>53</v>
      </c>
      <c r="C28" s="12">
        <f>TKsep</f>
        <v>85</v>
      </c>
      <c r="D28" s="17" t="s">
        <v>1</v>
      </c>
    </row>
    <row r="29" spans="1:4" ht="15.75" outlineLevel="1" x14ac:dyDescent="0.3">
      <c r="B29" s="16" t="s">
        <v>54</v>
      </c>
      <c r="C29" s="2">
        <v>150</v>
      </c>
      <c r="D29" s="17" t="s">
        <v>0</v>
      </c>
    </row>
    <row r="30" spans="1:4" outlineLevel="1" x14ac:dyDescent="0.2">
      <c r="B30" s="16" t="s">
        <v>81</v>
      </c>
      <c r="C30" s="2">
        <v>100</v>
      </c>
      <c r="D30" s="17" t="s">
        <v>5</v>
      </c>
    </row>
    <row r="31" spans="1:4" ht="15.75" outlineLevel="1" x14ac:dyDescent="0.3">
      <c r="B31" s="16" t="s">
        <v>55</v>
      </c>
      <c r="C31" s="2">
        <v>75</v>
      </c>
      <c r="D31" s="17" t="s">
        <v>0</v>
      </c>
    </row>
    <row r="32" spans="1:4" ht="15.75" x14ac:dyDescent="0.3">
      <c r="B32" s="16" t="s">
        <v>56</v>
      </c>
      <c r="C32" s="12">
        <f>Q_total_*k_split_liquid</f>
        <v>60</v>
      </c>
      <c r="D32" s="17" t="s">
        <v>5</v>
      </c>
    </row>
    <row r="33" spans="1:28" ht="15.75" x14ac:dyDescent="0.3">
      <c r="B33" s="16" t="s">
        <v>57</v>
      </c>
      <c r="C33" s="2">
        <v>0</v>
      </c>
      <c r="D33" s="17" t="s">
        <v>2</v>
      </c>
    </row>
    <row r="34" spans="1:28" ht="15.75" x14ac:dyDescent="0.3">
      <c r="B34" s="16" t="s">
        <v>75</v>
      </c>
      <c r="C34" s="12">
        <f>Q_total_*(1-k_split_liquid)</f>
        <v>40</v>
      </c>
      <c r="D34" s="17" t="s">
        <v>5</v>
      </c>
    </row>
    <row r="35" spans="1:28" x14ac:dyDescent="0.2">
      <c r="B35" s="16" t="s">
        <v>76</v>
      </c>
      <c r="C35" s="49">
        <f>Dcas_-Dtub_out_</f>
        <v>52</v>
      </c>
      <c r="D35" s="17" t="s">
        <v>4</v>
      </c>
    </row>
    <row r="36" spans="1:28" outlineLevel="1" x14ac:dyDescent="0.2"/>
    <row r="37" spans="1:28" outlineLevel="1" x14ac:dyDescent="0.2">
      <c r="A37" s="1" t="s">
        <v>17</v>
      </c>
    </row>
    <row r="38" spans="1:28" ht="15.75" outlineLevel="1" x14ac:dyDescent="0.3">
      <c r="B38" s="17" t="s">
        <v>58</v>
      </c>
      <c r="C38" s="2">
        <v>100</v>
      </c>
      <c r="D38" s="17" t="s">
        <v>5</v>
      </c>
    </row>
    <row r="39" spans="1:28" ht="15.75" outlineLevel="1" x14ac:dyDescent="0.3">
      <c r="B39" s="17" t="s">
        <v>59</v>
      </c>
      <c r="C39" s="2">
        <v>2000</v>
      </c>
      <c r="D39" s="17" t="s">
        <v>6</v>
      </c>
    </row>
    <row r="40" spans="1:28" outlineLevel="1" x14ac:dyDescent="0.2">
      <c r="B40" s="17" t="s">
        <v>60</v>
      </c>
      <c r="C40" s="2">
        <v>50</v>
      </c>
      <c r="D40" s="17" t="s">
        <v>7</v>
      </c>
    </row>
    <row r="41" spans="1:28" outlineLevel="1" x14ac:dyDescent="0.2">
      <c r="B41" s="17" t="s">
        <v>61</v>
      </c>
      <c r="C41" s="12">
        <f>[1]!ESP_id_by_rate(Q_ESP_)</f>
        <v>737</v>
      </c>
      <c r="D41" s="17"/>
      <c r="G41" s="53" t="s">
        <v>87</v>
      </c>
      <c r="H41" s="53"/>
      <c r="I41" s="53"/>
      <c r="J41" s="53"/>
      <c r="K41" s="53"/>
      <c r="L41" s="53"/>
      <c r="M41" s="53"/>
      <c r="N41" s="53"/>
      <c r="O41" s="53"/>
      <c r="P41" s="53"/>
      <c r="Q41" s="53"/>
      <c r="R41" s="53"/>
      <c r="S41" s="53"/>
      <c r="T41" s="53"/>
      <c r="U41" s="53"/>
      <c r="V41" s="53"/>
      <c r="W41" s="53"/>
      <c r="X41" s="53"/>
      <c r="Y41" s="53"/>
      <c r="Z41" s="53"/>
      <c r="AA41" s="53"/>
      <c r="AB41" s="53"/>
    </row>
    <row r="42" spans="1:28" outlineLevel="1" x14ac:dyDescent="0.2">
      <c r="B42" s="17" t="s">
        <v>62</v>
      </c>
      <c r="C42" s="12" t="str">
        <f>[1]!ESP_name(C41)</f>
        <v>ВНН5-125</v>
      </c>
      <c r="D42" s="17"/>
      <c r="G42" s="54" t="str">
        <f>[1]!PVT_encode_string(gamma_gas_,gamma_oil_,gamma_wat_,Rsb_,Rp_,Pb_,Tres_,Bob_,mu_,,KsepGasSep_,PKsep,TKsep)</f>
        <v>gamma_gas:0.800;gamma_oil:0.870;gamma_wat:1.000;rsb_m3m3:200.000;rp_m3m3:200.000;pb_atma:130.000;tres_C:100.000;bob_m3m3:1.200;muob_cP:5.000;PVTcorr:0;ksep_fr:0.900;pksep_atma:36.800;tksep_C:85.000;</v>
      </c>
      <c r="H42" s="54"/>
      <c r="I42" s="54"/>
      <c r="J42" s="54"/>
      <c r="K42" s="54"/>
      <c r="L42" s="54"/>
      <c r="M42" s="54"/>
      <c r="N42" s="54"/>
      <c r="O42" s="54"/>
      <c r="P42" s="54"/>
      <c r="Q42" s="54"/>
      <c r="R42" s="54"/>
      <c r="S42" s="54"/>
      <c r="T42" s="54"/>
      <c r="U42" s="54"/>
      <c r="V42" s="54"/>
      <c r="W42" s="54"/>
      <c r="X42" s="54"/>
      <c r="Y42" s="54"/>
      <c r="Z42" s="54"/>
      <c r="AA42" s="54"/>
      <c r="AB42" s="54"/>
    </row>
    <row r="43" spans="1:28" ht="15.75" outlineLevel="1" x14ac:dyDescent="0.3">
      <c r="B43" s="17" t="s">
        <v>63</v>
      </c>
      <c r="C43" s="12">
        <f>[1]!esp_max_rate_m3day(Freq_,PumpID_)*1</f>
        <v>230</v>
      </c>
      <c r="D43" s="17"/>
    </row>
    <row r="44" spans="1:28" x14ac:dyDescent="0.2">
      <c r="B44" s="17" t="s">
        <v>18</v>
      </c>
      <c r="C44" s="12">
        <f>INT(Head_ESP_/[1]!ESP_head_m(Q_ESP_,1,,PumpID_))</f>
        <v>312</v>
      </c>
      <c r="D44" s="17" t="s">
        <v>8</v>
      </c>
      <c r="G44" s="53" t="s">
        <v>64</v>
      </c>
      <c r="H44" s="53"/>
      <c r="I44" s="53"/>
      <c r="J44" s="53"/>
      <c r="K44" s="53"/>
      <c r="L44" s="53"/>
      <c r="M44" s="53"/>
      <c r="N44" s="53"/>
      <c r="O44" s="53"/>
      <c r="P44" s="53"/>
      <c r="Q44" s="53"/>
      <c r="R44" s="53"/>
      <c r="S44" s="53"/>
      <c r="T44" s="53"/>
      <c r="U44" s="53"/>
      <c r="V44" s="53"/>
      <c r="W44" s="53"/>
      <c r="X44" s="53"/>
      <c r="Y44" s="53"/>
      <c r="Z44" s="53"/>
      <c r="AA44" s="53"/>
      <c r="AB44" s="53"/>
    </row>
    <row r="45" spans="1:28" ht="15.75" x14ac:dyDescent="0.3">
      <c r="B45" s="17" t="s">
        <v>65</v>
      </c>
      <c r="C45" s="5">
        <v>0.9</v>
      </c>
      <c r="D45" s="17"/>
      <c r="G45" s="54" t="str">
        <f>[1]!ESP_Encode_string(PumpID_,Head_ESP_,Freq_)</f>
        <v>ESP_ID:737.00000;HeadNom_m:2000.00000;ESPfreq_Hz:50.00000;ESP_U_V:1000.00000;MotorPowerNom_kW:30.00000;Tintake_C:85.00000;Tdis_C:85.00000;KsepGS_fr:0.00000;ESP_energy_fact_Whday:0.00000;ESP_cable_type:0;ESP_Hmes_m:0.00000;GasDegtType:0;Kdegr:0.00000;PKV_work_min:-1.00000;PKV_stop_min:-1.00000;</v>
      </c>
      <c r="H45" s="54"/>
      <c r="I45" s="54"/>
      <c r="J45" s="54"/>
      <c r="K45" s="54"/>
      <c r="L45" s="54"/>
      <c r="M45" s="54"/>
      <c r="N45" s="54"/>
      <c r="O45" s="54"/>
      <c r="P45" s="54"/>
      <c r="Q45" s="54"/>
      <c r="R45" s="54"/>
      <c r="S45" s="54"/>
      <c r="T45" s="54"/>
      <c r="U45" s="54"/>
      <c r="V45" s="54"/>
      <c r="W45" s="54"/>
      <c r="X45" s="54"/>
      <c r="Y45" s="54"/>
      <c r="Z45" s="54"/>
      <c r="AA45" s="54"/>
      <c r="AB45" s="54"/>
    </row>
    <row r="46" spans="1:28" ht="15.75" x14ac:dyDescent="0.3">
      <c r="B46" s="17" t="s">
        <v>66</v>
      </c>
      <c r="C46" s="8">
        <v>36.799999999999997</v>
      </c>
      <c r="D46" s="17" t="s">
        <v>0</v>
      </c>
    </row>
    <row r="47" spans="1:28" ht="15.75" x14ac:dyDescent="0.3">
      <c r="B47" s="17" t="s">
        <v>67</v>
      </c>
      <c r="C47" s="20">
        <f>D81</f>
        <v>85</v>
      </c>
      <c r="D47" s="17" t="s">
        <v>1</v>
      </c>
      <c r="G47" s="53" t="s">
        <v>88</v>
      </c>
      <c r="H47" s="53"/>
      <c r="I47" s="53"/>
      <c r="J47" s="53"/>
      <c r="K47" s="53"/>
      <c r="L47" s="53"/>
      <c r="M47" s="53"/>
      <c r="N47" s="53"/>
      <c r="O47" s="53"/>
      <c r="P47" s="53"/>
      <c r="Q47" s="53"/>
      <c r="R47" s="53"/>
      <c r="S47" s="53"/>
      <c r="T47" s="53"/>
      <c r="U47" s="53"/>
      <c r="V47" s="53"/>
      <c r="W47" s="53"/>
      <c r="X47" s="53"/>
      <c r="Y47" s="53"/>
      <c r="Z47" s="53"/>
      <c r="AA47" s="53"/>
      <c r="AB47" s="53"/>
    </row>
    <row r="48" spans="1:28" x14ac:dyDescent="0.2">
      <c r="G48" s="54" t="str">
        <f>[1]!PVT_encode_string(gamma_gas_,gamma_oil_,gamma_wat_,Rsb_,Rp_,Pb_,Tres_,Bob_,mu_)</f>
        <v>gamma_gas:0.800;gamma_oil:0.870;gamma_wat:1.000;rsb_m3m3:200.000;rp_m3m3:200.000;pb_atma:130.000;tres_C:100.000;bob_m3m3:1.200;muob_cP:5.000;PVTcorr:0;ksep_fr:0.000;pksep_atma:-1.000;tksep_C:-1.000;</v>
      </c>
      <c r="H48" s="54"/>
      <c r="I48" s="54"/>
      <c r="J48" s="54"/>
      <c r="K48" s="54"/>
      <c r="L48" s="54"/>
      <c r="M48" s="54"/>
      <c r="N48" s="54"/>
      <c r="O48" s="54"/>
      <c r="P48" s="54"/>
      <c r="Q48" s="54"/>
      <c r="R48" s="54"/>
      <c r="S48" s="54"/>
      <c r="T48" s="54"/>
      <c r="U48" s="54"/>
      <c r="V48" s="54"/>
      <c r="W48" s="54"/>
      <c r="X48" s="54"/>
      <c r="Y48" s="54"/>
      <c r="Z48" s="54"/>
      <c r="AA48" s="54"/>
      <c r="AB48" s="54"/>
    </row>
    <row r="49" spans="1:14" x14ac:dyDescent="0.2">
      <c r="A49" s="1" t="s">
        <v>19</v>
      </c>
    </row>
    <row r="50" spans="1:14" ht="15.75" x14ac:dyDescent="0.3">
      <c r="B50" s="17" t="s">
        <v>68</v>
      </c>
      <c r="C50" s="2">
        <v>250</v>
      </c>
      <c r="D50" s="17" t="s">
        <v>0</v>
      </c>
    </row>
    <row r="51" spans="1:14" x14ac:dyDescent="0.2">
      <c r="B51" s="17" t="s">
        <v>69</v>
      </c>
      <c r="C51" s="20">
        <f>[1]!IPR_PI_sm3dayatm(Q_,Pwf_,Pres_,fw_,Pb_)</f>
        <v>0.36439138333765891</v>
      </c>
      <c r="D51" s="17" t="s">
        <v>9</v>
      </c>
    </row>
    <row r="52" spans="1:14" x14ac:dyDescent="0.2">
      <c r="B52" s="17" t="s">
        <v>70</v>
      </c>
      <c r="C52" s="2">
        <v>3</v>
      </c>
      <c r="D52" s="17" t="s">
        <v>10</v>
      </c>
    </row>
    <row r="53" spans="1:14" x14ac:dyDescent="0.2">
      <c r="B53" s="22"/>
      <c r="C53" s="22"/>
      <c r="D53" s="22"/>
    </row>
    <row r="55" spans="1:14" x14ac:dyDescent="0.2">
      <c r="B55" s="11" t="s">
        <v>11</v>
      </c>
      <c r="C55" s="2">
        <v>20</v>
      </c>
      <c r="D55" s="11"/>
    </row>
    <row r="59" spans="1:14" outlineLevel="1" x14ac:dyDescent="0.2"/>
    <row r="60" spans="1:14" x14ac:dyDescent="0.2">
      <c r="A60" t="s">
        <v>27</v>
      </c>
    </row>
    <row r="61" spans="1:14" outlineLevel="1" x14ac:dyDescent="0.2">
      <c r="A61" t="s">
        <v>22</v>
      </c>
    </row>
    <row r="62" spans="1:14" outlineLevel="1" x14ac:dyDescent="0.2"/>
    <row r="63" spans="1:14" outlineLevel="1" x14ac:dyDescent="0.2">
      <c r="C63" s="43" t="s">
        <v>23</v>
      </c>
      <c r="D63" s="51">
        <v>0.5</v>
      </c>
      <c r="G63" s="52" t="s">
        <v>82</v>
      </c>
      <c r="H63" s="52"/>
      <c r="I63" s="52"/>
      <c r="J63" s="52"/>
      <c r="K63" s="52"/>
      <c r="L63" s="52"/>
      <c r="M63" s="52"/>
      <c r="N63" s="42">
        <v>0.6</v>
      </c>
    </row>
    <row r="64" spans="1:14" outlineLevel="1" x14ac:dyDescent="0.2"/>
    <row r="65" spans="3:18" ht="63.75" outlineLevel="1" x14ac:dyDescent="0.2">
      <c r="C65" s="25" t="s">
        <v>13</v>
      </c>
      <c r="D65" s="25" t="s">
        <v>12</v>
      </c>
      <c r="E65" s="9"/>
      <c r="F65" s="24" t="s">
        <v>21</v>
      </c>
      <c r="G65" s="24" t="s">
        <v>26</v>
      </c>
      <c r="H65" s="24" t="s">
        <v>20</v>
      </c>
      <c r="I65" s="29" t="s">
        <v>84</v>
      </c>
      <c r="J65" s="29" t="s">
        <v>85</v>
      </c>
      <c r="K65" s="29" t="s">
        <v>83</v>
      </c>
      <c r="L65" s="24" t="s">
        <v>24</v>
      </c>
      <c r="M65" s="24" t="s">
        <v>78</v>
      </c>
      <c r="N65" s="30" t="s">
        <v>23</v>
      </c>
      <c r="O65" s="24" t="s">
        <v>80</v>
      </c>
      <c r="P65" s="24" t="s">
        <v>79</v>
      </c>
      <c r="Q65" s="24" t="s">
        <v>77</v>
      </c>
      <c r="R65" s="40"/>
    </row>
    <row r="66" spans="3:18" outlineLevel="1" x14ac:dyDescent="0.2">
      <c r="C66" s="26">
        <v>0</v>
      </c>
      <c r="D66" s="26">
        <f t="shared" ref="D66:D85" si="0">D67-Tgrad*(C67-C66)/100</f>
        <v>40</v>
      </c>
      <c r="F66" s="20">
        <f>[1]!MF_p_pipe_atma(Q_,fw_,C67,C66,F67,PVT_str_,theta_,Dtub_,,D67,D66)</f>
        <v>0</v>
      </c>
      <c r="J66" s="44">
        <f>[1]!MF_gas_fraction_d(Q66,D66,fw_,PVT_str_annular_)</f>
        <v>0.95007288308331428</v>
      </c>
      <c r="K66" s="45">
        <f>[1]!MF_gas_fraction_d(M66,D66,fw_,PVT_str_)</f>
        <v>0.79478569105361241</v>
      </c>
      <c r="L66" s="31">
        <f>Pbuf_</f>
        <v>10</v>
      </c>
      <c r="M66" s="20">
        <f>[1]!MF_p_pipe_atma(Q_,fw_,C67,C66,M67,PVT_str_,theta_,Dtub_,1,D67,D66)</f>
        <v>10.340764016294925</v>
      </c>
      <c r="Q66" s="20">
        <f>[1]!MF_p_pipe_atma(Q_annular_,fw_,C67,C66,Q67,PVT_str_annular_,theta_,d_annular_pr,1,D67,D66)</f>
        <v>10.435720854673034</v>
      </c>
      <c r="R66" s="36"/>
    </row>
    <row r="67" spans="3:18" outlineLevel="1" x14ac:dyDescent="0.2">
      <c r="C67" s="26">
        <f t="shared" ref="C67:C86" si="1">C66+Hmes_/N_</f>
        <v>100</v>
      </c>
      <c r="D67" s="26">
        <f t="shared" si="0"/>
        <v>43</v>
      </c>
      <c r="F67" s="20">
        <f>[1]!MF_p_pipe_atma(Q_,fw_,C68,C67,F68,PVT_str_,theta_,Dtub_,,D68,D67)</f>
        <v>0</v>
      </c>
      <c r="J67" s="44">
        <f>[1]!MF_gas_fraction_d(Q67,D67,fw_,PVT_str_annular_)</f>
        <v>0.94409700690523557</v>
      </c>
      <c r="K67" s="45">
        <f>[1]!MF_gas_fraction_d(M67,D67,fw_,PVT_str_)</f>
        <v>0.72707657195405351</v>
      </c>
      <c r="L67" s="20">
        <f>[1]!MF_p_pipe_atma(Q_,fw_,C66,C67,L66,PVT_str_,theta_,Dtub_,1,D66,D67)</f>
        <v>13.292415264259347</v>
      </c>
      <c r="M67" s="20">
        <f>[1]!MF_p_pipe_atma(Q_,fw_,C68,C67,M68,PVT_str_,theta_,Dtub_,1,D68,D67)</f>
        <v>13.816085046220545</v>
      </c>
      <c r="Q67" s="20">
        <f>[1]!MF_p_pipe_atma(Q_annular_,fw_,C68,C67,Q68,PVT_str_annular_,theta_,d_annular_pr,1,D68,D67)</f>
        <v>11.756036096572158</v>
      </c>
      <c r="R67" s="36"/>
    </row>
    <row r="68" spans="3:18" outlineLevel="1" x14ac:dyDescent="0.2">
      <c r="C68" s="26">
        <f t="shared" si="1"/>
        <v>200</v>
      </c>
      <c r="D68" s="26">
        <f t="shared" si="0"/>
        <v>46</v>
      </c>
      <c r="F68" s="20">
        <f>[1]!MF_p_pipe_atma(Q_,fw_,C69,C68,F69,PVT_str_,theta_,Dtub_,,D69,D68)</f>
        <v>0</v>
      </c>
      <c r="J68" s="44">
        <f>[1]!MF_gas_fraction_d(Q68,D68,fw_,PVT_str_annular_)</f>
        <v>0.93802852813778714</v>
      </c>
      <c r="K68" s="45">
        <f>[1]!MF_gas_fraction_d(M68,D68,fw_,PVT_str_)</f>
        <v>0.64080174816971625</v>
      </c>
      <c r="L68" s="20">
        <f>[1]!MF_p_pipe_atma(Q_,fw_,C67,C68,L67,PVT_str_,theta_,Dtub_,1,D67,D68)</f>
        <v>17.577734926112548</v>
      </c>
      <c r="M68" s="20">
        <f>[1]!MF_p_pipe_atma(Q_,fw_,C69,C68,M69,PVT_str_,theta_,Dtub_,1,D69,D68)</f>
        <v>18.208468287456274</v>
      </c>
      <c r="Q68" s="20">
        <f>[1]!MF_p_pipe_atma(Q_annular_,fw_,C69,C68,Q69,PVT_str_annular_,theta_,d_annular_pr,1,D69,D68)</f>
        <v>13.11100702337637</v>
      </c>
      <c r="R68" s="36"/>
    </row>
    <row r="69" spans="3:18" outlineLevel="1" x14ac:dyDescent="0.2">
      <c r="C69" s="26">
        <f t="shared" si="1"/>
        <v>300</v>
      </c>
      <c r="D69" s="26">
        <f t="shared" si="0"/>
        <v>49</v>
      </c>
      <c r="F69" s="20">
        <f>[1]!MF_p_pipe_atma(Q_,fw_,C70,C69,F70,PVT_str_,theta_,Dtub_,,D70,D69)</f>
        <v>0</v>
      </c>
      <c r="J69" s="44">
        <f>[1]!MF_gas_fraction_d(Q69,D69,fw_,PVT_str_annular_)</f>
        <v>0.93182377183245269</v>
      </c>
      <c r="K69" s="45">
        <f>[1]!MF_gas_fraction_d(M69,D69,fw_,PVT_str_)</f>
        <v>0.53775843448781369</v>
      </c>
      <c r="L69" s="20">
        <f>[1]!MF_p_pipe_atma(Q_,fw_,C68,C69,L68,PVT_str_,theta_,Dtub_,1,D68,D69)</f>
        <v>22.647465769451991</v>
      </c>
      <c r="M69" s="20">
        <f>[1]!MF_p_pipe_atma(Q_,fw_,C70,C69,M70,PVT_str_,theta_,Dtub_,1,D70,D69)</f>
        <v>23.390693185059423</v>
      </c>
      <c r="Q69" s="20">
        <f>[1]!MF_p_pipe_atma(Q_annular_,fw_,C70,C69,Q70,PVT_str_annular_,theta_,d_annular_pr,1,D70,D69)</f>
        <v>14.510085240976242</v>
      </c>
      <c r="R69" s="36"/>
    </row>
    <row r="70" spans="3:18" outlineLevel="1" x14ac:dyDescent="0.2">
      <c r="C70" s="26">
        <f t="shared" si="1"/>
        <v>400</v>
      </c>
      <c r="D70" s="26">
        <f t="shared" si="0"/>
        <v>52</v>
      </c>
      <c r="F70" s="20">
        <f>[1]!MF_p_pipe_atma(Q_,fw_,C71,C70,F71,PVT_str_,theta_,Dtub_,,D71,D70)</f>
        <v>0</v>
      </c>
      <c r="J70" s="44">
        <f>[1]!MF_gas_fraction_d(Q70,D70,fw_,PVT_str_annular_)</f>
        <v>0.92544843767346419</v>
      </c>
      <c r="K70" s="45">
        <f>[1]!MF_gas_fraction_d(M70,D70,fw_,PVT_str_)</f>
        <v>0.41666051728643644</v>
      </c>
      <c r="L70" s="20">
        <f>[1]!MF_p_pipe_atma(Q_,fw_,C69,C70,L69,PVT_str_,theta_,Dtub_,1,D69,D70)</f>
        <v>28.519188954463271</v>
      </c>
      <c r="M70" s="20">
        <f>[1]!MF_p_pipe_atma(Q_,fw_,C71,C70,M71,PVT_str_,theta_,Dtub_,1,D71,D70)</f>
        <v>29.377111632939808</v>
      </c>
      <c r="Q70" s="20">
        <f>[1]!MF_p_pipe_atma(Q_annular_,fw_,C71,C70,Q71,PVT_str_annular_,theta_,d_annular_pr,1,D71,D70)</f>
        <v>15.960948981167263</v>
      </c>
      <c r="R70" s="36"/>
    </row>
    <row r="71" spans="3:18" outlineLevel="1" x14ac:dyDescent="0.2">
      <c r="C71" s="26">
        <f t="shared" si="1"/>
        <v>500</v>
      </c>
      <c r="D71" s="26">
        <f t="shared" si="0"/>
        <v>55</v>
      </c>
      <c r="F71" s="20">
        <f>[1]!MF_p_pipe_atma(Q_,fw_,C72,C71,F72,PVT_str_,theta_,Dtub_,,D72,D71)</f>
        <v>0</v>
      </c>
      <c r="J71" s="44">
        <f>[1]!MF_gas_fraction_d(Q71,D71,fw_,PVT_str_annular_)</f>
        <v>0.91887454027015225</v>
      </c>
      <c r="K71" s="45">
        <f>[1]!MF_gas_fraction_d(M71,D71,fw_,PVT_str_)</f>
        <v>0.27607337015067063</v>
      </c>
      <c r="L71" s="20">
        <f>[1]!MF_p_pipe_atma(Q_,fw_,C70,C71,L70,PVT_str_,theta_,Dtub_,1,D70,D71)</f>
        <v>35.201764172576098</v>
      </c>
      <c r="M71" s="20">
        <f>[1]!MF_p_pipe_atma(Q_,fw_,C72,C71,M72,PVT_str_,theta_,Dtub_,1,D72,D71)</f>
        <v>36.177705361541165</v>
      </c>
      <c r="Q71" s="20">
        <f>[1]!MF_p_pipe_atma(Q_annular_,fw_,C72,C71,Q72,PVT_str_annular_,theta_,d_annular_pr,1,D72,D71)</f>
        <v>17.470108786324882</v>
      </c>
      <c r="R71" s="36"/>
    </row>
    <row r="72" spans="3:18" outlineLevel="1" x14ac:dyDescent="0.2">
      <c r="C72" s="26">
        <f t="shared" si="1"/>
        <v>600</v>
      </c>
      <c r="D72" s="26">
        <f t="shared" si="0"/>
        <v>58</v>
      </c>
      <c r="F72" s="20">
        <f>[1]!MF_p_pipe_atma(Q_,fw_,C73,C72,F73,PVT_str_,theta_,Dtub_,,D73,D72)</f>
        <v>1.8054323369897451</v>
      </c>
      <c r="J72" s="44">
        <f>[1]!MF_gas_fraction_d(Q72,D72,fw_,PVT_str_annular_)</f>
        <v>0.91207858221474014</v>
      </c>
      <c r="K72" s="45">
        <f>[1]!MF_gas_fraction_d(M72,D72,fw_,PVT_str_)</f>
        <v>0.11545965640525324</v>
      </c>
      <c r="L72" s="20">
        <f>[1]!MF_p_pipe_atma(Q_,fw_,C71,C72,L71,PVT_str_,theta_,Dtub_,1,D71,D72)</f>
        <v>42.66450158041016</v>
      </c>
      <c r="M72" s="20">
        <f>[1]!MF_p_pipe_atma(Q_,fw_,C73,C72,M73,PVT_str_,theta_,Dtub_,1,D73,D72)</f>
        <v>43.750586253285064</v>
      </c>
      <c r="Q72" s="20">
        <f>[1]!MF_p_pipe_atma(Q_annular_,fw_,C73,C72,Q73,PVT_str_annular_,theta_,d_annular_pr,1,D73,D72)</f>
        <v>19.043269748574897</v>
      </c>
      <c r="R72" s="36"/>
    </row>
    <row r="73" spans="3:18" outlineLevel="1" x14ac:dyDescent="0.2">
      <c r="C73" s="26">
        <f t="shared" si="1"/>
        <v>700</v>
      </c>
      <c r="D73" s="26">
        <f t="shared" si="0"/>
        <v>61</v>
      </c>
      <c r="F73" s="20">
        <f>[1]!MF_p_pipe_atma(Q_,fw_,C74,C73,F74,PVT_str_,theta_,Dtub_,,D74,D73)</f>
        <v>3.6236589201632583</v>
      </c>
      <c r="J73" s="44">
        <f>[1]!MF_gas_fraction_d(Q73,D73,fw_,PVT_str_annular_)</f>
        <v>0.905040420577505</v>
      </c>
      <c r="K73" s="45">
        <f>[1]!MF_gas_fraction_d(M73,D73,fw_,PVT_str_)</f>
        <v>0</v>
      </c>
      <c r="L73" s="20">
        <f>[1]!MF_p_pipe_atma(Q_,fw_,C72,C73,L72,PVT_str_,theta_,Dtub_,1,D72,D73)</f>
        <v>50.839810375722436</v>
      </c>
      <c r="M73" s="20">
        <f>[1]!MF_p_pipe_atma(Q_,fw_,C74,C73,M74,PVT_str_,theta_,Dtub_,1,D74,D73)</f>
        <v>52.005444746947624</v>
      </c>
      <c r="Q73" s="20">
        <f>[1]!MF_p_pipe_atma(Q_annular_,fw_,C74,C73,Q74,PVT_str_annular_,theta_,d_annular_pr,1,D74,D73)</f>
        <v>20.685557263093049</v>
      </c>
      <c r="R73" s="36"/>
    </row>
    <row r="74" spans="3:18" outlineLevel="1" x14ac:dyDescent="0.2">
      <c r="C74" s="26">
        <f t="shared" si="1"/>
        <v>800</v>
      </c>
      <c r="D74" s="26">
        <f t="shared" si="0"/>
        <v>64</v>
      </c>
      <c r="F74" s="20">
        <f>[1]!MF_p_pipe_atma(Q_,fw_,C75,C74,F75,PVT_str_,theta_,Dtub_,,D75,D74)</f>
        <v>5.9017960564522225</v>
      </c>
      <c r="J74" s="44">
        <f>[1]!MF_gas_fraction_d(Q74,D74,fw_,PVT_str_annular_)</f>
        <v>0.89774254627008521</v>
      </c>
      <c r="K74" s="45">
        <f>[1]!MF_gas_fraction_d(M74,D74,fw_,PVT_str_)</f>
        <v>0</v>
      </c>
      <c r="L74" s="20">
        <f>[1]!MF_p_pipe_atma(Q_,fw_,C73,C74,L73,PVT_str_,theta_,Dtub_,1,D73,D74)</f>
        <v>59.24776124830418</v>
      </c>
      <c r="M74" s="20">
        <f>[1]!MF_p_pipe_atma(Q_,fw_,C75,C74,M75,PVT_str_,theta_,Dtub_,1,D75,D74)</f>
        <v>60.416180896639275</v>
      </c>
      <c r="Q74" s="20">
        <f>[1]!MF_p_pipe_atma(Q_annular_,fw_,C75,C74,Q75,PVT_str_annular_,theta_,d_annular_pr,1,D75,D74)</f>
        <v>22.401661763035044</v>
      </c>
      <c r="R74" s="36"/>
    </row>
    <row r="75" spans="3:18" outlineLevel="1" x14ac:dyDescent="0.2">
      <c r="C75" s="26">
        <f t="shared" si="1"/>
        <v>900</v>
      </c>
      <c r="D75" s="26">
        <f t="shared" si="0"/>
        <v>67</v>
      </c>
      <c r="F75" s="20">
        <f>[1]!MF_p_pipe_atma(Q_,fw_,C76,C75,F76,PVT_str_,theta_,Dtub_,,D76,D75)</f>
        <v>8.6963048249188581</v>
      </c>
      <c r="J75" s="44">
        <f>[1]!MF_gas_fraction_d(Q75,D75,fw_,PVT_str_annular_)</f>
        <v>0.89016962073485473</v>
      </c>
      <c r="K75" s="45">
        <f>[1]!MF_gas_fraction_d(M75,D75,fw_,PVT_str_)</f>
        <v>0</v>
      </c>
      <c r="L75" s="20">
        <f>[1]!MF_p_pipe_atma(Q_,fw_,C74,C75,L74,PVT_str_,theta_,Dtub_,1,D74,D75)</f>
        <v>67.663777398527415</v>
      </c>
      <c r="M75" s="20">
        <f>[1]!MF_p_pipe_atma(Q_,fw_,C76,C75,M76,PVT_str_,theta_,Dtub_,1,D76,D75)</f>
        <v>68.834442012511531</v>
      </c>
      <c r="Q75" s="20">
        <f>[1]!MF_p_pipe_atma(Q_annular_,fw_,C76,C75,Q76,PVT_str_annular_,theta_,d_annular_pr,1,D76,D75)</f>
        <v>24.195933062554154</v>
      </c>
      <c r="R75" s="36"/>
    </row>
    <row r="76" spans="3:18" outlineLevel="1" x14ac:dyDescent="0.2">
      <c r="C76" s="26">
        <f t="shared" si="1"/>
        <v>1000</v>
      </c>
      <c r="D76" s="26">
        <f t="shared" si="0"/>
        <v>70</v>
      </c>
      <c r="F76" s="20">
        <f>[1]!MF_p_pipe_atma(Q_,fw_,C77,C76,F77,PVT_str_,theta_,Dtub_,,D77,D76)</f>
        <v>12.031451024667465</v>
      </c>
      <c r="J76" s="44">
        <f>[1]!MF_gas_fraction_d(Q76,D76,fw_,PVT_str_annular_)</f>
        <v>0.88230817898953917</v>
      </c>
      <c r="K76" s="45">
        <f>[1]!MF_gas_fraction_d(M76,D76,fw_,PVT_str_)</f>
        <v>0</v>
      </c>
      <c r="L76" s="20">
        <f>[1]!MF_p_pipe_atma(Q_,fw_,C75,C76,L75,PVT_str_,theta_,Dtub_,1,D75,D76)</f>
        <v>76.085312086372525</v>
      </c>
      <c r="M76" s="20">
        <f>[1]!MF_p_pipe_atma(Q_,fw_,C77,C76,M77,PVT_str_,theta_,Dtub_,1,D77,D76)</f>
        <v>77.257845346931632</v>
      </c>
      <c r="Q76" s="20">
        <f>[1]!MF_p_pipe_atma(Q_annular_,fw_,C77,C76,Q77,PVT_str_annular_,theta_,d_annular_pr,1,D77,D76)</f>
        <v>26.072442120237145</v>
      </c>
      <c r="R76" s="36"/>
    </row>
    <row r="77" spans="3:18" outlineLevel="1" x14ac:dyDescent="0.2">
      <c r="C77" s="26">
        <f t="shared" si="1"/>
        <v>1100</v>
      </c>
      <c r="D77" s="26">
        <f t="shared" si="0"/>
        <v>73</v>
      </c>
      <c r="F77" s="20">
        <f>[1]!MF_p_pipe_atma(Q_,fw_,C78,C77,F78,PVT_str_,theta_,Dtub_,,D78,D77)</f>
        <v>15.916867099961335</v>
      </c>
      <c r="J77" s="44">
        <f>[1]!MF_gas_fraction_d(Q77,D77,fw_,PVT_str_annular_)</f>
        <v>0.87414644325679802</v>
      </c>
      <c r="K77" s="45">
        <f>[1]!MF_gas_fraction_d(M77,D77,fw_,PVT_str_)</f>
        <v>0</v>
      </c>
      <c r="L77" s="20">
        <f>[1]!MF_p_pipe_atma(Q_,fw_,C76,C77,L76,PVT_str_,theta_,Dtub_,1,D76,D77)</f>
        <v>84.51061145094701</v>
      </c>
      <c r="M77" s="20">
        <f>[1]!MF_p_pipe_atma(Q_,fw_,C78,C77,M78,PVT_str_,theta_,Dtub_,1,D78,D77)</f>
        <v>85.684739246883353</v>
      </c>
      <c r="Q77" s="20">
        <f>[1]!MF_p_pipe_atma(Q_annular_,fw_,C78,C77,Q78,PVT_str_annular_,theta_,d_annular_pr,1,D78,D77)</f>
        <v>28.035021054398719</v>
      </c>
      <c r="R77" s="36"/>
    </row>
    <row r="78" spans="3:18" outlineLevel="1" x14ac:dyDescent="0.2">
      <c r="C78" s="26">
        <f t="shared" si="1"/>
        <v>1200</v>
      </c>
      <c r="D78" s="26">
        <f t="shared" si="0"/>
        <v>76</v>
      </c>
      <c r="F78" s="20">
        <f>[1]!MF_p_pipe_atma(Q_,fw_,C79,C78,F79,PVT_str_,theta_,Dtub_,,D79,D78)</f>
        <v>20.351788548898636</v>
      </c>
      <c r="J78" s="44">
        <f>[1]!MF_gas_fraction_d(Q78,D78,fw_,PVT_str_annular_)</f>
        <v>0.86567421147385104</v>
      </c>
      <c r="K78" s="45">
        <f>[1]!MF_gas_fraction_d(M78,D78,fw_,PVT_str_)</f>
        <v>0</v>
      </c>
      <c r="L78" s="20">
        <f>[1]!MF_p_pipe_atma(Q_,fw_,C77,C78,L77,PVT_str_,theta_,Dtub_,1,D77,D78)</f>
        <v>92.938414724094102</v>
      </c>
      <c r="M78" s="20">
        <f>[1]!MF_p_pipe_atma(Q_,fw_,C79,C78,M79,PVT_str_,theta_,Dtub_,1,D79,D78)</f>
        <v>94.113930231443689</v>
      </c>
      <c r="Q78" s="20">
        <f>[1]!MF_p_pipe_atma(Q_annular_,fw_,C79,C78,Q79,PVT_str_annular_,theta_,d_annular_pr,1,D79,D78)</f>
        <v>30.087288262779062</v>
      </c>
      <c r="R78" s="36"/>
    </row>
    <row r="79" spans="3:18" outlineLevel="1" x14ac:dyDescent="0.2">
      <c r="C79" s="26">
        <f t="shared" si="1"/>
        <v>1300</v>
      </c>
      <c r="D79" s="26">
        <f t="shared" si="0"/>
        <v>79</v>
      </c>
      <c r="F79" s="20">
        <f>[1]!MF_p_pipe_atma(Q_,fw_,C80,C79,F80,PVT_str_,theta_,Dtub_,,D80,D79)</f>
        <v>25.326038951144799</v>
      </c>
      <c r="J79" s="44">
        <f>[1]!MF_gas_fraction_d(Q79,D79,fw_,PVT_str_annular_)</f>
        <v>0.85688279685414181</v>
      </c>
      <c r="K79" s="45">
        <f>[1]!MF_gas_fraction_d(M79,D79,fw_,PVT_str_)</f>
        <v>0</v>
      </c>
      <c r="L79" s="20">
        <f>[1]!MF_p_pipe_atma(Q_,fw_,C78,C79,L78,PVT_str_,theta_,Dtub_,1,D78,D79)</f>
        <v>101.3677838263166</v>
      </c>
      <c r="M79" s="20">
        <f>[1]!MF_p_pipe_atma(Q_,fw_,C80,C79,M80,PVT_str_,theta_,Dtub_,1,D80,D79)</f>
        <v>102.54452649083898</v>
      </c>
      <c r="Q79" s="20">
        <f>[1]!MF_p_pipe_atma(Q_annular_,fw_,C80,C79,Q80,PVT_str_annular_,theta_,d_annular_pr,1,D80,D79)</f>
        <v>32.232663143608264</v>
      </c>
      <c r="R79" s="36"/>
    </row>
    <row r="80" spans="3:18" outlineLevel="1" x14ac:dyDescent="0.2">
      <c r="C80" s="26">
        <f t="shared" si="1"/>
        <v>1400</v>
      </c>
      <c r="D80" s="26">
        <f t="shared" si="0"/>
        <v>82</v>
      </c>
      <c r="F80" s="20">
        <f>[1]!MF_p_pipe_atma(Q_,fw_,C81,C80,F81,PVT_str_,theta_,Dtub_,,D81,D80)</f>
        <v>30.822120784843342</v>
      </c>
      <c r="J80" s="44">
        <f>[1]!MF_gas_fraction_d(Q80,D80,fw_,PVT_str_annular_)</f>
        <v>0.84776500193926363</v>
      </c>
      <c r="K80" s="45">
        <f>[1]!MF_gas_fraction_d(M80,D80,fw_,PVT_str_)</f>
        <v>0</v>
      </c>
      <c r="L80" s="20">
        <f>[1]!MF_p_pipe_atma(Q_,fw_,C79,C80,L79,PVT_str_,theta_,Dtub_,1,D79,D80)</f>
        <v>109.79800067484256</v>
      </c>
      <c r="M80" s="20">
        <f>[1]!MF_p_pipe_atma(Q_,fw_,C81,C80,M81,PVT_str_,theta_,Dtub_,1,D81,D80)</f>
        <v>110.9758429081766</v>
      </c>
      <c r="Q80" s="20">
        <f>[1]!MF_p_pipe_atma(Q_annular_,fw_,C81,C80,Q81,PVT_str_annular_,theta_,d_annular_pr,1,D81,D80)</f>
        <v>34.474373474530317</v>
      </c>
      <c r="R80" s="36"/>
    </row>
    <row r="81" spans="1:26" outlineLevel="1" x14ac:dyDescent="0.2">
      <c r="B81" s="18" t="s">
        <v>25</v>
      </c>
      <c r="C81" s="26">
        <f t="shared" si="1"/>
        <v>1500</v>
      </c>
      <c r="D81" s="26">
        <f t="shared" si="0"/>
        <v>85</v>
      </c>
      <c r="F81" s="20">
        <f>[1]!MF_p_pipe_atma(Q_,fw_,C82,C81,F82,PVT_str_,theta_,Dtub_,,D82,D81)</f>
        <v>36.815457599614305</v>
      </c>
      <c r="G81" s="50">
        <f>[1]!MF_ksep_natural_d(Q_,wc_,Pintake_,Tintake_,Dintake_,Dcas_,PVT_str_)</f>
        <v>0.64699257829740076</v>
      </c>
      <c r="H81" s="50">
        <f>[1]!MF_ksep_total_d(G81,KsepGasSep_)</f>
        <v>0.96469925782974009</v>
      </c>
      <c r="I81" s="44">
        <f>[1]!MF_gas_fraction_d(F81,D81,fw_,PVT_str_)</f>
        <v>0.3430490539657618</v>
      </c>
      <c r="J81" s="44">
        <f>[1]!MF_gas_fraction_d(Q81,D81,fw_,PVT_str_annular_)</f>
        <v>0.83831511516545543</v>
      </c>
      <c r="K81" s="45">
        <f>[1]!MF_gas_fraction_d(M81,D81,fw_,PVT_str_)</f>
        <v>0</v>
      </c>
      <c r="L81" s="20">
        <f>[1]!MF_p_pipe_atma(Q_,fw_,C80,C81,L80,PVT_str_,theta_,Dtub_,1,D80,D81)</f>
        <v>118.2285023016034</v>
      </c>
      <c r="M81" s="32">
        <f>O81+F81</f>
        <v>119.4073407043558</v>
      </c>
      <c r="N81" s="38"/>
      <c r="O81" s="19">
        <f>[1]!ESP_dP_atm(Q_,fw_,Pintake_,NumStage_,Freq_,PumpID_,PVT_str_,Tintake_,0,1,,D63)</f>
        <v>82.591883104741498</v>
      </c>
      <c r="P81" s="39">
        <f>L81-F81</f>
        <v>81.413044701989094</v>
      </c>
      <c r="Q81" s="31">
        <f>F81</f>
        <v>36.815457599614305</v>
      </c>
      <c r="R81" s="41"/>
    </row>
    <row r="82" spans="1:26" outlineLevel="1" x14ac:dyDescent="0.2">
      <c r="C82" s="26">
        <f t="shared" si="1"/>
        <v>1600</v>
      </c>
      <c r="D82" s="26">
        <f t="shared" si="0"/>
        <v>88</v>
      </c>
      <c r="E82" s="6"/>
      <c r="F82" s="28">
        <f>[1]!MF_p_pipe_atma(Q_,fw_,C83,C82,F83,PVT_str_,theta_,Dtub_,,D83,D82)</f>
        <v>43.273705416457595</v>
      </c>
      <c r="I82" s="44">
        <f>[1]!MF_gas_fraction_d(F82,D82,fw_,PVT_str_)</f>
        <v>0.22679829979647245</v>
      </c>
      <c r="J82" s="46"/>
      <c r="K82" s="47"/>
      <c r="L82" s="48"/>
      <c r="M82" s="6"/>
    </row>
    <row r="83" spans="1:26" outlineLevel="1" x14ac:dyDescent="0.2">
      <c r="C83" s="26">
        <f t="shared" si="1"/>
        <v>1700</v>
      </c>
      <c r="D83" s="26">
        <f t="shared" si="0"/>
        <v>91</v>
      </c>
      <c r="E83" s="6"/>
      <c r="F83" s="20">
        <f>[1]!MF_p_pipe_atma(Q_,fw_,C84,C83,F84,PVT_str_,theta_,Dtub_,,D84,D83)</f>
        <v>50.318015471521939</v>
      </c>
      <c r="I83" s="44">
        <f>[1]!MF_gas_fraction_d(F83,D83,fw_,PVT_str_)</f>
        <v>9.8413249784674986E-2</v>
      </c>
      <c r="J83" s="46"/>
      <c r="K83" s="47"/>
      <c r="L83" s="48"/>
      <c r="M83" s="6"/>
    </row>
    <row r="84" spans="1:26" outlineLevel="1" x14ac:dyDescent="0.2">
      <c r="C84" s="26">
        <f t="shared" si="1"/>
        <v>1800</v>
      </c>
      <c r="D84" s="26">
        <f t="shared" si="0"/>
        <v>94</v>
      </c>
      <c r="E84" s="6"/>
      <c r="F84" s="20">
        <f>[1]!MF_p_pipe_atma(Q_,fw_,C85,C84,F85,PVT_str_,theta_,Dtub_,,D85,D84)</f>
        <v>58.367707375039274</v>
      </c>
      <c r="I84" s="44">
        <f>[1]!MF_gas_fraction_d(F84,D84,fw_,PVT_str_)</f>
        <v>0</v>
      </c>
      <c r="J84" s="46"/>
      <c r="K84" s="47"/>
      <c r="L84" s="48"/>
      <c r="M84" s="6"/>
    </row>
    <row r="85" spans="1:26" outlineLevel="1" x14ac:dyDescent="0.2">
      <c r="C85" s="26">
        <f t="shared" si="1"/>
        <v>1900</v>
      </c>
      <c r="D85" s="26">
        <f t="shared" si="0"/>
        <v>97</v>
      </c>
      <c r="E85" s="6"/>
      <c r="F85" s="20">
        <f>[1]!MF_p_pipe_atma(Q_,fw_,C86,C85,F86,PVT_str_,theta_,Dtub_,,D86,D85)</f>
        <v>66.676991588901558</v>
      </c>
      <c r="I85" s="44">
        <f>[1]!MF_gas_fraction_d(F85,D85,fw_,PVT_str_)</f>
        <v>0</v>
      </c>
      <c r="J85" s="46"/>
      <c r="K85" s="47"/>
      <c r="L85" s="48"/>
      <c r="M85" s="6"/>
    </row>
    <row r="86" spans="1:26" outlineLevel="1" x14ac:dyDescent="0.2">
      <c r="C86" s="26">
        <f t="shared" si="1"/>
        <v>2000</v>
      </c>
      <c r="D86" s="26">
        <f>Tres_</f>
        <v>100</v>
      </c>
      <c r="E86" s="6"/>
      <c r="F86" s="27">
        <f>Pwf_</f>
        <v>75</v>
      </c>
      <c r="I86" s="44">
        <f>[1]!MF_gas_fraction_d(F86,D86,fw_,PVT_str_)</f>
        <v>0</v>
      </c>
      <c r="J86" s="46"/>
      <c r="K86" s="47"/>
      <c r="L86" s="48"/>
      <c r="M86" s="6"/>
    </row>
    <row r="87" spans="1:26" outlineLevel="1" x14ac:dyDescent="0.2">
      <c r="I87" s="46"/>
      <c r="J87" s="46"/>
      <c r="K87" s="47"/>
      <c r="L87" s="33"/>
    </row>
    <row r="88" spans="1:26" outlineLevel="1" x14ac:dyDescent="0.2">
      <c r="I88" s="46"/>
      <c r="J88" s="46"/>
      <c r="K88" s="47"/>
      <c r="L88" s="33"/>
    </row>
    <row r="89" spans="1:26" outlineLevel="1" x14ac:dyDescent="0.2">
      <c r="I89" s="46"/>
      <c r="J89" s="46"/>
      <c r="K89" s="47"/>
      <c r="L89" s="33"/>
    </row>
    <row r="90" spans="1:26" outlineLevel="1" x14ac:dyDescent="0.2">
      <c r="I90" s="46"/>
      <c r="J90" s="33"/>
      <c r="K90" s="47"/>
      <c r="L90" s="33"/>
    </row>
    <row r="91" spans="1:26" outlineLevel="1" x14ac:dyDescent="0.2">
      <c r="I91" s="46"/>
      <c r="J91" s="33"/>
      <c r="K91" s="47"/>
      <c r="L91" s="33"/>
    </row>
    <row r="92" spans="1:26" x14ac:dyDescent="0.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outlineLevel="1" x14ac:dyDescent="0.2">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spans="1:26" outlineLevel="1" x14ac:dyDescent="0.2">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outlineLevel="1" x14ac:dyDescent="0.2">
      <c r="A95" s="33"/>
      <c r="B95" s="33"/>
      <c r="C95" s="22"/>
      <c r="D95" s="22"/>
      <c r="E95" s="33"/>
      <c r="F95" s="33"/>
      <c r="G95" s="33"/>
      <c r="H95" s="33"/>
      <c r="I95" s="33"/>
      <c r="J95" s="33"/>
      <c r="K95" s="33"/>
      <c r="L95" s="33"/>
      <c r="M95" s="33"/>
      <c r="N95" s="33"/>
      <c r="O95" s="33"/>
      <c r="P95" s="33"/>
      <c r="Q95" s="33"/>
      <c r="R95" s="33"/>
      <c r="S95" s="33"/>
      <c r="T95" s="33"/>
      <c r="U95" s="33"/>
      <c r="V95" s="33"/>
      <c r="W95" s="33"/>
      <c r="X95" s="33"/>
      <c r="Y95" s="33"/>
      <c r="Z95" s="33"/>
    </row>
    <row r="96" spans="1:26" outlineLevel="1" x14ac:dyDescent="0.2">
      <c r="A96" s="33"/>
      <c r="B96" s="33"/>
      <c r="C96" s="22"/>
      <c r="D96" s="22"/>
      <c r="E96" s="33"/>
      <c r="F96" s="33"/>
      <c r="G96" s="33"/>
      <c r="H96" s="33"/>
      <c r="I96" s="33"/>
      <c r="J96" s="33"/>
      <c r="K96" s="33"/>
      <c r="L96" s="33"/>
      <c r="M96" s="33"/>
      <c r="N96" s="33"/>
      <c r="O96" s="33"/>
      <c r="P96" s="33"/>
      <c r="Q96" s="33"/>
      <c r="R96" s="33"/>
      <c r="S96" s="33"/>
      <c r="T96" s="33"/>
      <c r="U96" s="33"/>
      <c r="V96" s="33"/>
      <c r="W96" s="33"/>
      <c r="X96" s="33"/>
      <c r="Y96" s="33"/>
      <c r="Z96" s="33"/>
    </row>
    <row r="97" spans="1:26" outlineLevel="1" x14ac:dyDescent="0.2">
      <c r="A97" s="33"/>
      <c r="B97" s="33"/>
      <c r="C97" s="22"/>
      <c r="D97" s="22"/>
      <c r="E97" s="33"/>
      <c r="F97" s="33"/>
      <c r="G97" s="33"/>
      <c r="H97" s="33"/>
      <c r="I97" s="33"/>
      <c r="J97" s="33"/>
      <c r="K97" s="33"/>
      <c r="L97" s="33"/>
      <c r="M97" s="33"/>
      <c r="N97" s="33"/>
      <c r="O97" s="33"/>
      <c r="P97" s="33"/>
      <c r="Q97" s="33"/>
      <c r="R97" s="33"/>
      <c r="S97" s="33"/>
      <c r="T97" s="33"/>
      <c r="U97" s="33"/>
      <c r="V97" s="33"/>
      <c r="W97" s="33"/>
      <c r="X97" s="33"/>
      <c r="Y97" s="33"/>
      <c r="Z97" s="33"/>
    </row>
    <row r="98" spans="1:26" outlineLevel="1" x14ac:dyDescent="0.2">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spans="1:26" outlineLevel="1" x14ac:dyDescent="0.2">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spans="1:26" outlineLevel="1" x14ac:dyDescent="0.2">
      <c r="A100" s="33"/>
      <c r="B100" s="33"/>
      <c r="C100" s="34"/>
      <c r="D100" s="34"/>
      <c r="E100" s="35"/>
      <c r="F100" s="35"/>
      <c r="G100" s="35"/>
      <c r="H100" s="35"/>
      <c r="I100" s="35"/>
      <c r="J100" s="35"/>
      <c r="K100" s="35"/>
      <c r="L100" s="35"/>
      <c r="M100" s="35"/>
      <c r="N100" s="35"/>
      <c r="O100" s="35"/>
      <c r="P100" s="35"/>
      <c r="Q100" s="33"/>
      <c r="R100" s="33"/>
      <c r="S100" s="33"/>
      <c r="T100" s="33"/>
      <c r="U100" s="33"/>
      <c r="V100" s="33"/>
      <c r="W100" s="33"/>
      <c r="X100" s="33"/>
      <c r="Y100" s="33"/>
      <c r="Z100" s="33"/>
    </row>
    <row r="101" spans="1:26" outlineLevel="1" x14ac:dyDescent="0.2">
      <c r="A101" s="33"/>
      <c r="B101" s="33"/>
      <c r="C101" s="22"/>
      <c r="D101" s="22"/>
      <c r="E101" s="36"/>
      <c r="F101" s="36"/>
      <c r="G101" s="33"/>
      <c r="H101" s="33"/>
      <c r="I101" s="33"/>
      <c r="J101" s="33"/>
      <c r="K101" s="33"/>
      <c r="L101" s="33"/>
      <c r="M101" s="33"/>
      <c r="N101" s="36"/>
      <c r="O101" s="36"/>
      <c r="P101" s="36"/>
      <c r="Q101" s="33"/>
      <c r="R101" s="33"/>
      <c r="S101" s="33"/>
      <c r="T101" s="33"/>
      <c r="U101" s="33"/>
      <c r="V101" s="33"/>
      <c r="W101" s="33"/>
      <c r="X101" s="33"/>
      <c r="Y101" s="33"/>
      <c r="Z101" s="33"/>
    </row>
    <row r="102" spans="1:26" outlineLevel="1" x14ac:dyDescent="0.2">
      <c r="A102" s="33"/>
      <c r="B102" s="33"/>
      <c r="C102" s="22"/>
      <c r="D102" s="22"/>
      <c r="E102" s="36"/>
      <c r="F102" s="36"/>
      <c r="G102" s="33"/>
      <c r="H102" s="33"/>
      <c r="I102" s="33"/>
      <c r="J102" s="33"/>
      <c r="K102" s="33"/>
      <c r="L102" s="33"/>
      <c r="M102" s="33"/>
      <c r="N102" s="36"/>
      <c r="O102" s="36"/>
      <c r="P102" s="36"/>
      <c r="Q102" s="33"/>
      <c r="R102" s="33"/>
      <c r="S102" s="33"/>
      <c r="T102" s="33"/>
      <c r="U102" s="33"/>
      <c r="V102" s="33"/>
      <c r="W102" s="33"/>
      <c r="X102" s="33"/>
      <c r="Y102" s="33"/>
      <c r="Z102" s="33"/>
    </row>
    <row r="103" spans="1:26" outlineLevel="1" x14ac:dyDescent="0.2">
      <c r="A103" s="33"/>
      <c r="B103" s="33"/>
      <c r="C103" s="22"/>
      <c r="D103" s="22"/>
      <c r="E103" s="36"/>
      <c r="F103" s="36"/>
      <c r="G103" s="33"/>
      <c r="H103" s="33"/>
      <c r="I103" s="33"/>
      <c r="J103" s="33"/>
      <c r="K103" s="33"/>
      <c r="L103" s="33"/>
      <c r="M103" s="33"/>
      <c r="N103" s="36"/>
      <c r="O103" s="36"/>
      <c r="P103" s="36"/>
      <c r="Q103" s="33"/>
      <c r="R103" s="33"/>
      <c r="S103" s="33"/>
      <c r="T103" s="33"/>
      <c r="U103" s="33"/>
      <c r="V103" s="33"/>
      <c r="W103" s="33"/>
      <c r="X103" s="33"/>
      <c r="Y103" s="33"/>
      <c r="Z103" s="33"/>
    </row>
    <row r="104" spans="1:26" outlineLevel="1" x14ac:dyDescent="0.2">
      <c r="A104" s="33"/>
      <c r="B104" s="33"/>
      <c r="C104" s="22"/>
      <c r="D104" s="22"/>
      <c r="E104" s="36"/>
      <c r="F104" s="36"/>
      <c r="G104" s="33"/>
      <c r="H104" s="33"/>
      <c r="I104" s="33"/>
      <c r="J104" s="33"/>
      <c r="K104" s="33"/>
      <c r="L104" s="33"/>
      <c r="M104" s="33"/>
      <c r="N104" s="36"/>
      <c r="O104" s="36"/>
      <c r="P104" s="36"/>
      <c r="Q104" s="33"/>
      <c r="R104" s="33"/>
      <c r="S104" s="33"/>
      <c r="T104" s="33"/>
      <c r="U104" s="33"/>
      <c r="V104" s="33"/>
      <c r="W104" s="33"/>
      <c r="X104" s="33"/>
      <c r="Y104" s="33"/>
      <c r="Z104" s="33"/>
    </row>
    <row r="105" spans="1:26" outlineLevel="1" x14ac:dyDescent="0.2">
      <c r="A105" s="33"/>
      <c r="B105" s="33"/>
      <c r="C105" s="22"/>
      <c r="D105" s="22"/>
      <c r="E105" s="36"/>
      <c r="F105" s="36"/>
      <c r="G105" s="33"/>
      <c r="H105" s="33"/>
      <c r="I105" s="33"/>
      <c r="J105" s="33"/>
      <c r="K105" s="33"/>
      <c r="L105" s="33"/>
      <c r="M105" s="33"/>
      <c r="N105" s="36"/>
      <c r="O105" s="36"/>
      <c r="P105" s="36"/>
      <c r="Q105" s="33"/>
      <c r="R105" s="33"/>
      <c r="S105" s="33"/>
      <c r="T105" s="33"/>
      <c r="U105" s="33"/>
      <c r="V105" s="33"/>
      <c r="W105" s="33"/>
      <c r="X105" s="33"/>
      <c r="Y105" s="33"/>
      <c r="Z105" s="33"/>
    </row>
    <row r="106" spans="1:26" outlineLevel="1" x14ac:dyDescent="0.2">
      <c r="A106" s="33"/>
      <c r="B106" s="33"/>
      <c r="C106" s="22"/>
      <c r="D106" s="22"/>
      <c r="E106" s="36"/>
      <c r="F106" s="36"/>
      <c r="G106" s="33"/>
      <c r="H106" s="33"/>
      <c r="I106" s="33"/>
      <c r="J106" s="33"/>
      <c r="K106" s="33"/>
      <c r="L106" s="33"/>
      <c r="M106" s="33"/>
      <c r="N106" s="36"/>
      <c r="O106" s="36"/>
      <c r="P106" s="36"/>
      <c r="Q106" s="33"/>
      <c r="R106" s="33"/>
      <c r="S106" s="33"/>
      <c r="T106" s="33"/>
      <c r="U106" s="33"/>
      <c r="V106" s="33"/>
      <c r="W106" s="33"/>
      <c r="X106" s="33"/>
      <c r="Y106" s="33"/>
      <c r="Z106" s="33"/>
    </row>
    <row r="107" spans="1:26" outlineLevel="1" x14ac:dyDescent="0.2">
      <c r="A107" s="33"/>
      <c r="B107" s="33"/>
      <c r="C107" s="22"/>
      <c r="D107" s="22"/>
      <c r="E107" s="36"/>
      <c r="F107" s="36"/>
      <c r="G107" s="33"/>
      <c r="H107" s="33"/>
      <c r="I107" s="33"/>
      <c r="J107" s="33"/>
      <c r="K107" s="33"/>
      <c r="L107" s="33"/>
      <c r="M107" s="33"/>
      <c r="N107" s="36"/>
      <c r="O107" s="36"/>
      <c r="P107" s="36"/>
      <c r="Q107" s="33"/>
      <c r="R107" s="33"/>
      <c r="S107" s="33"/>
      <c r="T107" s="33"/>
      <c r="U107" s="33"/>
      <c r="V107" s="33"/>
      <c r="W107" s="33"/>
      <c r="X107" s="33"/>
      <c r="Y107" s="33"/>
      <c r="Z107" s="33"/>
    </row>
    <row r="108" spans="1:26" outlineLevel="1" x14ac:dyDescent="0.2">
      <c r="A108" s="33"/>
      <c r="B108" s="33"/>
      <c r="C108" s="22"/>
      <c r="D108" s="22"/>
      <c r="E108" s="36"/>
      <c r="F108" s="36"/>
      <c r="G108" s="33"/>
      <c r="H108" s="33"/>
      <c r="I108" s="33"/>
      <c r="J108" s="33"/>
      <c r="K108" s="33"/>
      <c r="L108" s="33"/>
      <c r="M108" s="33"/>
      <c r="N108" s="36"/>
      <c r="O108" s="36"/>
      <c r="P108" s="36"/>
      <c r="Q108" s="33"/>
      <c r="R108" s="33"/>
      <c r="S108" s="33"/>
      <c r="T108" s="33"/>
      <c r="U108" s="33"/>
      <c r="V108" s="33"/>
      <c r="W108" s="33"/>
      <c r="X108" s="33"/>
      <c r="Y108" s="33"/>
      <c r="Z108" s="33"/>
    </row>
    <row r="109" spans="1:26" outlineLevel="1" x14ac:dyDescent="0.2">
      <c r="A109" s="33"/>
      <c r="B109" s="33"/>
      <c r="C109" s="22"/>
      <c r="D109" s="22"/>
      <c r="E109" s="36"/>
      <c r="F109" s="36"/>
      <c r="G109" s="33"/>
      <c r="H109" s="33"/>
      <c r="I109" s="33"/>
      <c r="J109" s="33"/>
      <c r="K109" s="33"/>
      <c r="L109" s="33"/>
      <c r="M109" s="33"/>
      <c r="N109" s="36"/>
      <c r="O109" s="36"/>
      <c r="P109" s="36"/>
      <c r="Q109" s="33"/>
      <c r="R109" s="33"/>
      <c r="S109" s="33"/>
      <c r="T109" s="33"/>
      <c r="U109" s="33"/>
      <c r="V109" s="33"/>
      <c r="W109" s="33"/>
      <c r="X109" s="33"/>
      <c r="Y109" s="33"/>
      <c r="Z109" s="33"/>
    </row>
    <row r="110" spans="1:26" outlineLevel="1" x14ac:dyDescent="0.2">
      <c r="A110" s="33"/>
      <c r="B110" s="33"/>
      <c r="C110" s="22"/>
      <c r="D110" s="22"/>
      <c r="E110" s="36"/>
      <c r="F110" s="36"/>
      <c r="G110" s="33"/>
      <c r="H110" s="33"/>
      <c r="I110" s="33"/>
      <c r="J110" s="33"/>
      <c r="K110" s="33"/>
      <c r="L110" s="33"/>
      <c r="M110" s="33"/>
      <c r="N110" s="36"/>
      <c r="O110" s="36"/>
      <c r="P110" s="36"/>
      <c r="Q110" s="33"/>
      <c r="R110" s="33"/>
      <c r="S110" s="33"/>
      <c r="T110" s="33"/>
      <c r="U110" s="33"/>
      <c r="V110" s="33"/>
      <c r="W110" s="33"/>
      <c r="X110" s="33"/>
      <c r="Y110" s="33"/>
      <c r="Z110" s="33"/>
    </row>
    <row r="111" spans="1:26" outlineLevel="1" x14ac:dyDescent="0.2">
      <c r="A111" s="33"/>
      <c r="B111" s="33"/>
      <c r="C111" s="22"/>
      <c r="D111" s="22"/>
      <c r="E111" s="36"/>
      <c r="F111" s="36"/>
      <c r="G111" s="33"/>
      <c r="H111" s="33"/>
      <c r="I111" s="33"/>
      <c r="J111" s="33"/>
      <c r="K111" s="33"/>
      <c r="L111" s="33"/>
      <c r="M111" s="33"/>
      <c r="N111" s="36"/>
      <c r="O111" s="36"/>
      <c r="P111" s="36"/>
      <c r="Q111" s="33"/>
      <c r="R111" s="33"/>
      <c r="S111" s="33"/>
      <c r="T111" s="33"/>
      <c r="U111" s="33"/>
      <c r="V111" s="33"/>
      <c r="W111" s="33"/>
      <c r="X111" s="33"/>
      <c r="Y111" s="33"/>
      <c r="Z111" s="33"/>
    </row>
    <row r="112" spans="1:26" outlineLevel="1" x14ac:dyDescent="0.2">
      <c r="A112" s="33"/>
      <c r="B112" s="33"/>
      <c r="C112" s="22"/>
      <c r="D112" s="22"/>
      <c r="E112" s="36"/>
      <c r="F112" s="36"/>
      <c r="G112" s="33"/>
      <c r="H112" s="33"/>
      <c r="I112" s="33"/>
      <c r="J112" s="33"/>
      <c r="K112" s="33"/>
      <c r="L112" s="33"/>
      <c r="M112" s="33"/>
      <c r="N112" s="36"/>
      <c r="O112" s="36"/>
      <c r="P112" s="36"/>
      <c r="Q112" s="33"/>
      <c r="R112" s="33"/>
      <c r="S112" s="33"/>
      <c r="T112" s="33"/>
      <c r="U112" s="33"/>
      <c r="V112" s="33"/>
      <c r="W112" s="33"/>
      <c r="X112" s="33"/>
      <c r="Y112" s="33"/>
      <c r="Z112" s="33"/>
    </row>
    <row r="113" spans="1:26" outlineLevel="1" x14ac:dyDescent="0.2">
      <c r="A113" s="33"/>
      <c r="B113" s="33"/>
      <c r="C113" s="22"/>
      <c r="D113" s="22"/>
      <c r="E113" s="36"/>
      <c r="F113" s="36"/>
      <c r="G113" s="33"/>
      <c r="H113" s="33"/>
      <c r="I113" s="33"/>
      <c r="J113" s="33"/>
      <c r="K113" s="33"/>
      <c r="L113" s="33"/>
      <c r="M113" s="33"/>
      <c r="N113" s="36"/>
      <c r="O113" s="36"/>
      <c r="P113" s="36"/>
      <c r="Q113" s="33"/>
      <c r="R113" s="33"/>
      <c r="S113" s="33"/>
      <c r="T113" s="33"/>
      <c r="U113" s="33"/>
      <c r="V113" s="33"/>
      <c r="W113" s="33"/>
      <c r="X113" s="33"/>
      <c r="Y113" s="33"/>
      <c r="Z113" s="33"/>
    </row>
    <row r="114" spans="1:26" outlineLevel="1" x14ac:dyDescent="0.2">
      <c r="A114" s="33"/>
      <c r="B114" s="33"/>
      <c r="C114" s="22"/>
      <c r="D114" s="22"/>
      <c r="E114" s="36"/>
      <c r="F114" s="36"/>
      <c r="G114" s="33"/>
      <c r="H114" s="33"/>
      <c r="I114" s="33"/>
      <c r="J114" s="33"/>
      <c r="K114" s="33"/>
      <c r="L114" s="33"/>
      <c r="M114" s="33"/>
      <c r="N114" s="36"/>
      <c r="O114" s="36"/>
      <c r="P114" s="36"/>
      <c r="Q114" s="33"/>
      <c r="R114" s="33"/>
      <c r="S114" s="33"/>
      <c r="T114" s="33"/>
      <c r="U114" s="33"/>
      <c r="V114" s="33"/>
      <c r="W114" s="33"/>
      <c r="X114" s="33"/>
      <c r="Y114" s="33"/>
      <c r="Z114" s="33"/>
    </row>
    <row r="115" spans="1:26" outlineLevel="1" x14ac:dyDescent="0.2">
      <c r="A115" s="33"/>
      <c r="B115" s="33"/>
      <c r="C115" s="22"/>
      <c r="D115" s="22"/>
      <c r="E115" s="36"/>
      <c r="F115" s="36"/>
      <c r="G115" s="33"/>
      <c r="H115" s="33"/>
      <c r="I115" s="33"/>
      <c r="J115" s="33"/>
      <c r="K115" s="33"/>
      <c r="L115" s="33"/>
      <c r="M115" s="33"/>
      <c r="N115" s="36"/>
      <c r="O115" s="36"/>
      <c r="P115" s="36"/>
      <c r="Q115" s="33"/>
      <c r="R115" s="33"/>
      <c r="S115" s="33"/>
      <c r="T115" s="33"/>
      <c r="U115" s="33"/>
      <c r="V115" s="33"/>
      <c r="W115" s="33"/>
      <c r="X115" s="33"/>
      <c r="Y115" s="33"/>
      <c r="Z115" s="33"/>
    </row>
    <row r="116" spans="1:26" outlineLevel="1" x14ac:dyDescent="0.2">
      <c r="A116" s="33"/>
      <c r="B116" s="33"/>
      <c r="C116" s="22"/>
      <c r="D116" s="22"/>
      <c r="E116" s="36"/>
      <c r="F116" s="36"/>
      <c r="G116" s="36"/>
      <c r="H116" s="33"/>
      <c r="I116" s="33"/>
      <c r="J116" s="33"/>
      <c r="K116" s="33"/>
      <c r="L116" s="33"/>
      <c r="M116" s="33"/>
      <c r="N116" s="37"/>
      <c r="O116" s="36"/>
      <c r="P116" s="36"/>
      <c r="Q116" s="33"/>
      <c r="R116" s="33"/>
      <c r="S116" s="33"/>
      <c r="T116" s="33"/>
      <c r="U116" s="33"/>
      <c r="V116" s="33"/>
      <c r="W116" s="33"/>
      <c r="X116" s="33"/>
      <c r="Y116" s="33"/>
      <c r="Z116" s="33"/>
    </row>
    <row r="117" spans="1:26" outlineLevel="1" x14ac:dyDescent="0.2">
      <c r="A117" s="33"/>
      <c r="B117" s="33"/>
      <c r="C117" s="22"/>
      <c r="D117" s="22"/>
      <c r="E117" s="36"/>
      <c r="F117" s="36"/>
      <c r="G117" s="36"/>
      <c r="H117" s="33"/>
      <c r="I117" s="33"/>
      <c r="J117" s="33"/>
      <c r="K117" s="33"/>
      <c r="L117" s="33"/>
      <c r="M117" s="33"/>
      <c r="N117" s="33"/>
      <c r="O117" s="36"/>
      <c r="P117" s="33"/>
      <c r="Q117" s="33"/>
      <c r="R117" s="33"/>
      <c r="S117" s="33"/>
      <c r="T117" s="33"/>
      <c r="U117" s="33"/>
      <c r="V117" s="33"/>
      <c r="W117" s="33"/>
      <c r="X117" s="33"/>
      <c r="Y117" s="33"/>
      <c r="Z117" s="33"/>
    </row>
    <row r="118" spans="1:26" outlineLevel="1" x14ac:dyDescent="0.2">
      <c r="A118" s="33"/>
      <c r="B118" s="33"/>
      <c r="C118" s="22"/>
      <c r="D118" s="22"/>
      <c r="E118" s="36"/>
      <c r="F118" s="36"/>
      <c r="G118" s="33"/>
      <c r="H118" s="33"/>
      <c r="I118" s="33"/>
      <c r="J118" s="33"/>
      <c r="K118" s="33"/>
      <c r="L118" s="33"/>
      <c r="M118" s="33"/>
      <c r="N118" s="33"/>
      <c r="O118" s="36"/>
      <c r="P118" s="33"/>
      <c r="Q118" s="33"/>
      <c r="R118" s="33"/>
      <c r="S118" s="33"/>
      <c r="T118" s="33"/>
      <c r="U118" s="33"/>
      <c r="V118" s="33"/>
      <c r="W118" s="33"/>
      <c r="X118" s="33"/>
      <c r="Y118" s="33"/>
      <c r="Z118" s="33"/>
    </row>
    <row r="119" spans="1:26" outlineLevel="1" x14ac:dyDescent="0.2">
      <c r="A119" s="33"/>
      <c r="B119" s="33"/>
      <c r="C119" s="22"/>
      <c r="D119" s="22"/>
      <c r="E119" s="36"/>
      <c r="F119" s="36"/>
      <c r="G119" s="33"/>
      <c r="H119" s="33"/>
      <c r="I119" s="33"/>
      <c r="J119" s="33"/>
      <c r="K119" s="33"/>
      <c r="L119" s="33"/>
      <c r="M119" s="33"/>
      <c r="N119" s="33"/>
      <c r="O119" s="36"/>
      <c r="P119" s="33"/>
      <c r="Q119" s="33"/>
      <c r="R119" s="33"/>
      <c r="S119" s="33"/>
      <c r="T119" s="33"/>
      <c r="U119" s="33"/>
      <c r="V119" s="33"/>
      <c r="W119" s="33"/>
      <c r="X119" s="33"/>
      <c r="Y119" s="33"/>
      <c r="Z119" s="33"/>
    </row>
    <row r="120" spans="1:26" outlineLevel="1" x14ac:dyDescent="0.2">
      <c r="A120" s="33"/>
      <c r="B120" s="33"/>
      <c r="C120" s="22"/>
      <c r="D120" s="22"/>
      <c r="E120" s="36"/>
      <c r="F120" s="36"/>
      <c r="G120" s="33"/>
      <c r="H120" s="33"/>
      <c r="I120" s="33"/>
      <c r="J120" s="33"/>
      <c r="K120" s="33"/>
      <c r="L120" s="33"/>
      <c r="M120" s="33"/>
      <c r="N120" s="33"/>
      <c r="O120" s="36"/>
      <c r="P120" s="33"/>
      <c r="Q120" s="33"/>
      <c r="R120" s="33"/>
      <c r="S120" s="33"/>
      <c r="T120" s="33"/>
      <c r="U120" s="33"/>
      <c r="V120" s="33"/>
      <c r="W120" s="33"/>
      <c r="X120" s="33"/>
      <c r="Y120" s="33"/>
      <c r="Z120" s="33"/>
    </row>
    <row r="121" spans="1:26" outlineLevel="1" x14ac:dyDescent="0.2">
      <c r="A121" s="33"/>
      <c r="B121" s="33"/>
      <c r="C121" s="22"/>
      <c r="D121" s="22"/>
      <c r="E121" s="36"/>
      <c r="F121" s="22"/>
      <c r="G121" s="33"/>
      <c r="H121" s="33"/>
      <c r="I121" s="33"/>
      <c r="J121" s="33"/>
      <c r="K121" s="33"/>
      <c r="L121" s="33"/>
      <c r="M121" s="33"/>
      <c r="N121" s="33"/>
      <c r="O121" s="36"/>
      <c r="P121" s="33"/>
      <c r="Q121" s="33"/>
      <c r="R121" s="33"/>
      <c r="S121" s="33"/>
      <c r="T121" s="33"/>
      <c r="U121" s="33"/>
      <c r="V121" s="33"/>
      <c r="W121" s="33"/>
      <c r="X121" s="33"/>
      <c r="Y121" s="33"/>
      <c r="Z121" s="33"/>
    </row>
    <row r="122" spans="1:26" outlineLevel="1" x14ac:dyDescent="0.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spans="1:26" outlineLevel="1" x14ac:dyDescent="0.2">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spans="1:26" x14ac:dyDescent="0.2">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spans="1:26" x14ac:dyDescent="0.2">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83" spans="14:14" x14ac:dyDescent="0.2">
      <c r="N183" t="s">
        <v>14</v>
      </c>
    </row>
    <row r="194" spans="14:14" x14ac:dyDescent="0.2">
      <c r="N194" s="7"/>
    </row>
  </sheetData>
  <mergeCells count="7">
    <mergeCell ref="G63:M63"/>
    <mergeCell ref="G41:AB41"/>
    <mergeCell ref="G42:AB42"/>
    <mergeCell ref="G44:AB44"/>
    <mergeCell ref="G45:AB45"/>
    <mergeCell ref="G48:AB48"/>
    <mergeCell ref="G47:AB47"/>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49</vt:i4>
      </vt:variant>
    </vt:vector>
  </HeadingPairs>
  <TitlesOfParts>
    <vt:vector size="50" baseType="lpstr">
      <vt:lpstr>well</vt:lpstr>
      <vt:lpstr>well!Bob_</vt:lpstr>
      <vt:lpstr>d_annular_pr</vt:lpstr>
      <vt:lpstr>well!Dcas_</vt:lpstr>
      <vt:lpstr>well!Dintake_</vt:lpstr>
      <vt:lpstr>well!Dtub_</vt:lpstr>
      <vt:lpstr>well!Dtub_out_</vt:lpstr>
      <vt:lpstr>ESPstr</vt:lpstr>
      <vt:lpstr>well!Freq_</vt:lpstr>
      <vt:lpstr>well!Freq1_</vt:lpstr>
      <vt:lpstr>fw_</vt:lpstr>
      <vt:lpstr>well!gamma_gas_</vt:lpstr>
      <vt:lpstr>well!gamma_oil_</vt:lpstr>
      <vt:lpstr>well!gamma_wat_</vt:lpstr>
      <vt:lpstr>well!Head_ESP_</vt:lpstr>
      <vt:lpstr>well!Hmes_</vt:lpstr>
      <vt:lpstr>well!Hpump_</vt:lpstr>
      <vt:lpstr>k_split_liquid</vt:lpstr>
      <vt:lpstr>well!Kdegr_</vt:lpstr>
      <vt:lpstr>well!KsepGasSep_</vt:lpstr>
      <vt:lpstr>mu_</vt:lpstr>
      <vt:lpstr>well!N_</vt:lpstr>
      <vt:lpstr>well!NumStage_</vt:lpstr>
      <vt:lpstr>well!Pb_</vt:lpstr>
      <vt:lpstr>well!Pbuf_</vt:lpstr>
      <vt:lpstr>well!Pdis_</vt:lpstr>
      <vt:lpstr>well!PI_</vt:lpstr>
      <vt:lpstr>well!Pintake_</vt:lpstr>
      <vt:lpstr>PKsep</vt:lpstr>
      <vt:lpstr>well!Pres_</vt:lpstr>
      <vt:lpstr>well!PumpID_</vt:lpstr>
      <vt:lpstr>PVT_str_</vt:lpstr>
      <vt:lpstr>PVT_str_annular_</vt:lpstr>
      <vt:lpstr>well!Pwf_</vt:lpstr>
      <vt:lpstr>well!Pwf1_</vt:lpstr>
      <vt:lpstr>well!Q_</vt:lpstr>
      <vt:lpstr>Q_annular_</vt:lpstr>
      <vt:lpstr>well!Q_ESP_</vt:lpstr>
      <vt:lpstr>Q_total_</vt:lpstr>
      <vt:lpstr>well!Qmax</vt:lpstr>
      <vt:lpstr>well!Qreal_</vt:lpstr>
      <vt:lpstr>well!Rp_</vt:lpstr>
      <vt:lpstr>well!Rsb_</vt:lpstr>
      <vt:lpstr>well!Tgrad</vt:lpstr>
      <vt:lpstr>theta_</vt:lpstr>
      <vt:lpstr>well!Tintake_</vt:lpstr>
      <vt:lpstr>TKsep</vt:lpstr>
      <vt:lpstr>well!Tres_</vt:lpstr>
      <vt:lpstr>well!Udl_</vt:lpstr>
      <vt:lpstr>well!wc_</vt:lpstr>
    </vt:vector>
  </TitlesOfParts>
  <Company>CAF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Rinat</dc:creator>
  <cp:lastModifiedBy>Ринат Хабибуллин</cp:lastModifiedBy>
  <cp:lastPrinted>2007-08-27T05:31:44Z</cp:lastPrinted>
  <dcterms:created xsi:type="dcterms:W3CDTF">2005-04-11T05:46:28Z</dcterms:created>
  <dcterms:modified xsi:type="dcterms:W3CDTF">2019-07-14T11:09:53Z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