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amples\"/>
    </mc:Choice>
  </mc:AlternateContent>
  <xr:revisionPtr revIDLastSave="0" documentId="13_ncr:1_{6FE2EDC5-A5B3-41BC-9FB5-33A24F63B3BB}" xr6:coauthVersionLast="45" xr6:coauthVersionMax="45" xr10:uidLastSave="{00000000-0000-0000-0000-000000000000}"/>
  <bookViews>
    <workbookView xWindow="-120" yWindow="-120" windowWidth="38640" windowHeight="2124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VT_str_">IPR!$C$31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0" l="1"/>
  <c r="G1" i="110"/>
  <c r="C17" i="110"/>
  <c r="C31" i="110"/>
  <c r="C25" i="110"/>
  <c r="C26" i="110"/>
  <c r="D36" i="110"/>
  <c r="E17" i="110" l="1"/>
  <c r="E36" i="110"/>
  <c r="M36" i="110"/>
  <c r="E16" i="110" l="1"/>
  <c r="E13" i="110"/>
  <c r="E11" i="110"/>
  <c r="E10" i="110"/>
  <c r="E9" i="110"/>
  <c r="E8" i="110"/>
  <c r="E7" i="110"/>
  <c r="L36" i="110"/>
  <c r="C37" i="110" l="1"/>
  <c r="D37" i="110"/>
  <c r="E37" i="110"/>
  <c r="C38" i="110" l="1"/>
  <c r="M37" i="110"/>
  <c r="L37" i="110"/>
  <c r="D38" i="110"/>
  <c r="M38" i="110"/>
  <c r="C39" i="110" l="1"/>
  <c r="E38" i="110"/>
  <c r="D39" i="110"/>
  <c r="M39" i="110" s="1"/>
  <c r="E39" i="110"/>
  <c r="C40" i="110" l="1"/>
  <c r="L38" i="110"/>
  <c r="D40" i="110"/>
  <c r="L39" i="110"/>
  <c r="M40" i="110"/>
  <c r="C41" i="110" l="1"/>
  <c r="E40" i="110"/>
  <c r="L40" i="110" s="1"/>
  <c r="D41" i="110"/>
  <c r="E41" i="110" s="1"/>
  <c r="C42" i="110" l="1"/>
  <c r="L41" i="110"/>
  <c r="M41" i="110"/>
  <c r="D42" i="110"/>
  <c r="E42" i="110"/>
  <c r="M42" i="110"/>
  <c r="C43" i="110" l="1"/>
  <c r="D43" i="110"/>
  <c r="L42" i="110"/>
  <c r="E43" i="110"/>
  <c r="M43" i="110"/>
  <c r="C44" i="110" l="1"/>
  <c r="L43" i="110"/>
  <c r="D44" i="110"/>
  <c r="C45" i="110" l="1"/>
  <c r="M44" i="110"/>
  <c r="E44" i="110"/>
  <c r="D45" i="110"/>
  <c r="E45" i="110" s="1"/>
  <c r="C46" i="110" l="1"/>
  <c r="L44" i="110"/>
  <c r="M45" i="110"/>
  <c r="L45" i="110"/>
  <c r="D46" i="110"/>
  <c r="M46" i="110" s="1"/>
  <c r="C47" i="110" l="1"/>
  <c r="D47" i="110"/>
  <c r="E46" i="110"/>
  <c r="M47" i="110"/>
  <c r="C48" i="110" l="1"/>
  <c r="E47" i="110"/>
  <c r="L46" i="110"/>
  <c r="D48" i="110"/>
  <c r="E48" i="110" s="1"/>
  <c r="L47" i="110"/>
  <c r="C49" i="110" l="1"/>
  <c r="M48" i="110"/>
  <c r="D49" i="110"/>
  <c r="E49" i="110" s="1"/>
  <c r="L48" i="110"/>
  <c r="C50" i="110" l="1"/>
  <c r="M49" i="110"/>
  <c r="L49" i="110"/>
  <c r="D50" i="110"/>
  <c r="C51" i="110" l="1"/>
  <c r="M50" i="110"/>
  <c r="E50" i="110"/>
  <c r="D51" i="110"/>
  <c r="M51" i="110"/>
  <c r="E51" i="110"/>
  <c r="C52" i="110" l="1"/>
  <c r="L50" i="110"/>
  <c r="L51" i="110"/>
  <c r="D52" i="110"/>
  <c r="M52" i="110" s="1"/>
  <c r="C53" i="110" l="1"/>
  <c r="E52" i="110"/>
  <c r="D53" i="110"/>
  <c r="E53" i="110" s="1"/>
  <c r="C54" i="110" l="1"/>
  <c r="D54" i="110"/>
  <c r="M53" i="110"/>
  <c r="L53" i="110"/>
  <c r="L52" i="110"/>
  <c r="E54" i="110"/>
  <c r="C55" i="110" l="1"/>
  <c r="L54" i="110"/>
  <c r="M54" i="110"/>
  <c r="D55" i="110"/>
  <c r="M55" i="110"/>
  <c r="E55" i="110"/>
  <c r="C56" i="110" l="1"/>
  <c r="L55" i="110"/>
  <c r="D56" i="110"/>
  <c r="M56" i="110" s="1"/>
  <c r="E56" i="110" l="1"/>
</calcChain>
</file>

<file path=xl/sharedStrings.xml><?xml version="1.0" encoding="utf-8"?>
<sst xmlns="http://schemas.openxmlformats.org/spreadsheetml/2006/main" count="52" uniqueCount="42">
  <si>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</si>
  <si>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</si>
  <si>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</si>
  <si>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</si>
  <si>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</si>
  <si>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</si>
  <si>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</si>
  <si>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</si>
  <si>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</si>
  <si>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</si>
  <si>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</si>
  <si>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</si>
  <si>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</si>
  <si>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</si>
  <si>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</si>
  <si>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</si>
  <si>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</si>
  <si>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</si>
  <si>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</si>
  <si>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</si>
  <si>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</si>
  <si>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</si>
  <si>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</si>
  <si>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</si>
  <si>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</si>
  <si>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</si>
  <si>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</si>
  <si>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</si>
  <si>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</si>
  <si>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</si>
  <si>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</si>
  <si>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</si>
  <si>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</si>
  <si>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</si>
  <si>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</si>
  <si>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</si>
  <si>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</si>
  <si>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</si>
  <si>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</si>
  <si>
    <t>PVTstr</t>
  </si>
  <si>
    <t>Q ГЖС</t>
  </si>
  <si>
    <t>Доля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</si>
</sst>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b/>
      <sz val="10"/>
      <name val="Arial Cy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4" fillId="0" borderId="0" xfId="0" applyFont="1"/>
    <xf numFmtId="0" fontId="0" fillId="5" borderId="2" xfId="0" applyFill="1" applyBorder="1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2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 vertical="center"/>
    </xf>
    <xf numFmtId="2" fontId="0" fillId="7" borderId="2" xfId="0" applyNumberFormat="1" applyFont="1" applyFill="1" applyBorder="1" applyAlignment="1">
      <alignment horizontal="center"/>
    </xf>
    <xf numFmtId="1" fontId="0" fillId="7" borderId="2" xfId="0" applyNumberFormat="1" applyFont="1" applyFill="1" applyBorder="1" applyAlignment="1">
      <alignment horizont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IPR!$C$36:$C$56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IPR!$E$36:$E$56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138.86246436441616</c:v>
                </c:pt>
                <c:pt idx="15">
                  <c:v>148.78121181901739</c:v>
                </c:pt>
                <c:pt idx="16">
                  <c:v>158.69995927361862</c:v>
                </c:pt>
                <c:pt idx="17">
                  <c:v>168.61870672821951</c:v>
                </c:pt>
                <c:pt idx="18">
                  <c:v>178.53745418282074</c:v>
                </c:pt>
                <c:pt idx="19">
                  <c:v>188.45620163742197</c:v>
                </c:pt>
                <c:pt idx="20">
                  <c:v>198.37494909202306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ser>
          <c:idx val="3"/>
          <c:order val="3"/>
          <c:tx>
            <c:v>ГЖС от давления</c:v>
          </c:tx>
          <c:xVal>
            <c:numRef>
              <c:f>IPR!$L$36:$L$56</c:f>
              <c:numCache>
                <c:formatCode>0</c:formatCode>
                <c:ptCount val="21"/>
                <c:pt idx="0">
                  <c:v>0</c:v>
                </c:pt>
                <c:pt idx="1">
                  <c:v>11.369480273926047</c:v>
                </c:pt>
                <c:pt idx="2">
                  <c:v>22.755726411610283</c:v>
                </c:pt>
                <c:pt idx="3">
                  <c:v>34.160717482328714</c:v>
                </c:pt>
                <c:pt idx="4">
                  <c:v>45.586824441121927</c:v>
                </c:pt>
                <c:pt idx="5">
                  <c:v>57.036908214118228</c:v>
                </c:pt>
                <c:pt idx="6">
                  <c:v>68.514448794621998</c:v>
                </c:pt>
                <c:pt idx="7">
                  <c:v>80.023717424070071</c:v>
                </c:pt>
                <c:pt idx="8">
                  <c:v>91.570009620730346</c:v>
                </c:pt>
                <c:pt idx="9">
                  <c:v>103.15996571161351</c:v>
                </c:pt>
                <c:pt idx="10">
                  <c:v>114.80201975798941</c:v>
                </c:pt>
                <c:pt idx="11">
                  <c:v>126.507041162972</c:v>
                </c:pt>
                <c:pt idx="12">
                  <c:v>138.28927286883359</c:v>
                </c:pt>
                <c:pt idx="13">
                  <c:v>150.16773942848292</c:v>
                </c:pt>
                <c:pt idx="14">
                  <c:v>168.09411887438162</c:v>
                </c:pt>
                <c:pt idx="15">
                  <c:v>189.7818482430749</c:v>
                </c:pt>
                <c:pt idx="16">
                  <c:v>217.33157026860897</c:v>
                </c:pt>
                <c:pt idx="17">
                  <c:v>255.66074585936946</c:v>
                </c:pt>
                <c:pt idx="18">
                  <c:v>317.73047354511971</c:v>
                </c:pt>
                <c:pt idx="19">
                  <c:v>457.42694238338601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62-B3CF-2406567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3"/>
          <c:order val="0"/>
          <c:xVal>
            <c:numRef>
              <c:f>IPR!$M$36:$M$56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4.7405492764113481E-2</c:v>
                </c:pt>
                <c:pt idx="15">
                  <c:v>0.10606398003000826</c:v>
                </c:pt>
                <c:pt idx="16">
                  <c:v>0.17716080918997171</c:v>
                </c:pt>
                <c:pt idx="17">
                  <c:v>0.26624346318470665</c:v>
                </c:pt>
                <c:pt idx="18">
                  <c:v>0.3836613043519102</c:v>
                </c:pt>
                <c:pt idx="19">
                  <c:v>0.55565884481981209</c:v>
                </c:pt>
                <c:pt idx="20">
                  <c:v>0.99999999999999623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7-4E77-AD3E-9AA2B0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IPR!$C$36:$C$56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A-4731-8948-B9E2A56CCEE2}"/>
            </c:ext>
          </c:extLst>
        </c:ser>
        <c:ser>
          <c:idx val="1"/>
          <c:order val="1"/>
          <c:xVal>
            <c:numRef>
              <c:f>IPR!$E$36:$E$56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138.86246436441616</c:v>
                </c:pt>
                <c:pt idx="15">
                  <c:v>148.78121181901739</c:v>
                </c:pt>
                <c:pt idx="16">
                  <c:v>158.69995927361862</c:v>
                </c:pt>
                <c:pt idx="17">
                  <c:v>168.61870672821951</c:v>
                </c:pt>
                <c:pt idx="18">
                  <c:v>178.53745418282074</c:v>
                </c:pt>
                <c:pt idx="19">
                  <c:v>188.45620163742197</c:v>
                </c:pt>
                <c:pt idx="20">
                  <c:v>198.37494909202306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A-4731-8948-B9E2A56CCEE2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A-4731-8948-B9E2A56C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14</xdr:col>
      <xdr:colOff>600075</xdr:colOff>
      <xdr:row>20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275391" cy="31568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 typeface="Arial" panose="020B0604020202020204" pitchFamily="34" charset="0"/>
            <a:buNone/>
          </a:pPr>
          <a:r>
            <a:rPr lang="ru-RU" sz="1100"/>
            <a:t>Упражнение показывает как построить индикаторную</a:t>
          </a:r>
          <a:r>
            <a:rPr lang="ru-RU" sz="1100" baseline="0"/>
            <a:t> кривую (по Вогелю с учетом обводненности) с использованием функций Унифлок </a:t>
          </a:r>
          <a:r>
            <a:rPr lang="en-US" sz="1100" baseline="0"/>
            <a:t>VBA.</a:t>
          </a:r>
        </a:p>
        <a:p>
          <a:pPr marL="0" indent="0">
            <a:buFont typeface="Arial" panose="020B0604020202020204" pitchFamily="34" charset="0"/>
            <a:buNone/>
          </a:pPr>
          <a:endParaRPr lang="en-US" sz="1100" baseline="0"/>
        </a:p>
        <a:p>
          <a:pPr marL="0" indent="0">
            <a:buFont typeface="Arial" panose="020B0604020202020204" pitchFamily="34" charset="0"/>
            <a:buNone/>
          </a:pPr>
          <a:r>
            <a:rPr lang="ru-RU" sz="1100" baseline="0"/>
            <a:t>Выполните следующие задания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Рассчитайте продуктивность скважины</a:t>
          </a:r>
          <a:r>
            <a:rPr lang="en-US" sz="1100"/>
            <a:t> PI</a:t>
          </a:r>
          <a:r>
            <a:rPr lang="ru-RU" sz="1100"/>
            <a:t> по данным эксплуатации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Рассчитайте максимальный дебит скважины </a:t>
          </a:r>
          <a:r>
            <a:rPr lang="en-US" sz="1100"/>
            <a:t>AOF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en-US"/>
            <a:t> </a:t>
          </a:r>
          <a:r>
            <a:rPr lang="en-US" sz="1100"/>
            <a:t>) </a:t>
          </a:r>
          <a:r>
            <a:rPr lang="ru-RU" sz="1100"/>
            <a:t>для калибровки</a:t>
          </a:r>
          <a:r>
            <a:rPr lang="ru-RU" sz="1100" baseline="0"/>
            <a:t> графиков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флюида. Расчет провести двумя способами - рассчитать забойное давление по дебиту и наоборот.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ГЖС от забойного давления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забойного давления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Используйте</a:t>
          </a:r>
          <a:r>
            <a:rPr lang="ru-RU" sz="1100" baseline="0"/>
            <a:t> функции</a:t>
          </a: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IPR_pi_sm3dayatm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IPR_qliq_sm3day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IPR_pwf_atma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MF_q_mix_rc_m3day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MF_gas_fraction_d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256229</xdr:colOff>
      <xdr:row>56</xdr:row>
      <xdr:rowOff>100423</xdr:rowOff>
    </xdr:from>
    <xdr:to>
      <xdr:col>8</xdr:col>
      <xdr:colOff>342900</xdr:colOff>
      <xdr:row>80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251572</xdr:colOff>
      <xdr:row>56</xdr:row>
      <xdr:rowOff>105334</xdr:rowOff>
    </xdr:from>
    <xdr:to>
      <xdr:col>23</xdr:col>
      <xdr:colOff>371476</xdr:colOff>
      <xdr:row>80</xdr:row>
      <xdr:rowOff>140502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ED0DBD-D908-4217-B04D-442446C7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56</xdr:row>
      <xdr:rowOff>95250</xdr:rowOff>
    </xdr:from>
    <xdr:to>
      <xdr:col>16</xdr:col>
      <xdr:colOff>152400</xdr:colOff>
      <xdr:row>80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6E7A69-BFCF-430D-9C81-7C5ACB31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6</xdr:row>
      <xdr:rowOff>38100</xdr:rowOff>
    </xdr:from>
    <xdr:to>
      <xdr:col>23</xdr:col>
      <xdr:colOff>600075</xdr:colOff>
      <xdr:row>20</xdr:row>
      <xdr:rowOff>116408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BE7372B-E544-4692-8384-65723D0CE9F5}"/>
            </a:ext>
          </a:extLst>
        </xdr:cNvPr>
        <xdr:cNvSpPr txBox="1"/>
      </xdr:nvSpPr>
      <xdr:spPr>
        <a:xfrm>
          <a:off x="10201275" y="1009650"/>
          <a:ext cx="5372100" cy="317393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упражению 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Какие данные нужны для оценки продуктивность скважины?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Зависит ли вид индикаторной кривой от газового фактора?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Почему расход ГЖС на забое скважины больше чем расход жидкости? От каких параметров зависит разница?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Как индикаторная кривая зависит от обводненности? Почему?</a:t>
          </a:r>
          <a:endParaRPr lang="ru-RU">
            <a:effectLst/>
          </a:endParaRPr>
        </a:p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*Постройте график зависимости забойного давления на скважине от дебит жидкости из пласта в пластовых условиях. Будет ли от отличаться от построенного ранее? От чего будет зависеть разница?</a:t>
          </a:r>
        </a:p>
      </xdr:txBody>
    </xdr:sp>
    <xdr:clientData/>
  </xdr:twoCellAnchor>
  <xdr:twoCellAnchor>
    <xdr:from>
      <xdr:col>4</xdr:col>
      <xdr:colOff>152400</xdr:colOff>
      <xdr:row>23</xdr:row>
      <xdr:rowOff>28575</xdr:rowOff>
    </xdr:from>
    <xdr:to>
      <xdr:col>8</xdr:col>
      <xdr:colOff>338418</xdr:colOff>
      <xdr:row>26</xdr:row>
      <xdr:rowOff>47625</xdr:rowOff>
    </xdr:to>
    <xdr:sp macro="" textlink="">
      <xdr:nvSpPr>
        <xdr:cNvPr id="8" name="Стрелка: влево 7">
          <a:extLst>
            <a:ext uri="{FF2B5EF4-FFF2-40B4-BE49-F238E27FC236}">
              <a16:creationId xmlns:a16="http://schemas.microsoft.com/office/drawing/2014/main" id="{3942C70E-D5DF-4C8D-9B43-645DA9B21221}"/>
            </a:ext>
          </a:extLst>
        </xdr:cNvPr>
        <xdr:cNvSpPr/>
      </xdr:nvSpPr>
      <xdr:spPr>
        <a:xfrm>
          <a:off x="2857500" y="4648200"/>
          <a:ext cx="3100668" cy="762000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</a:t>
          </a:r>
          <a:r>
            <a:rPr lang="ru-RU" sz="1100"/>
            <a:t>Рассчитайте</a:t>
          </a:r>
          <a:r>
            <a:rPr lang="ru-RU" sz="1100" baseline="0"/>
            <a:t> </a:t>
          </a:r>
          <a:r>
            <a:rPr lang="en-US" sz="1100" baseline="0"/>
            <a:t>PI </a:t>
          </a:r>
          <a:r>
            <a:rPr lang="ru-RU" sz="1100" baseline="0"/>
            <a:t>и </a:t>
          </a:r>
          <a:r>
            <a:rPr lang="en-US" sz="1100" baseline="0"/>
            <a:t>AOF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en-US"/>
            <a:t> </a:t>
          </a:r>
          <a:r>
            <a:rPr lang="en-US" sz="1100" baseline="0"/>
            <a:t>)</a:t>
          </a:r>
          <a:endParaRPr lang="ru-RU" sz="1100"/>
        </a:p>
      </xdr:txBody>
    </xdr:sp>
    <xdr:clientData/>
  </xdr:twoCellAnchor>
  <xdr:twoCellAnchor>
    <xdr:from>
      <xdr:col>5</xdr:col>
      <xdr:colOff>257175</xdr:colOff>
      <xdr:row>38</xdr:row>
      <xdr:rowOff>28575</xdr:rowOff>
    </xdr:from>
    <xdr:to>
      <xdr:col>9</xdr:col>
      <xdr:colOff>586068</xdr:colOff>
      <xdr:row>47</xdr:row>
      <xdr:rowOff>158296</xdr:rowOff>
    </xdr:to>
    <xdr:sp macro="" textlink="">
      <xdr:nvSpPr>
        <xdr:cNvPr id="10" name="Стрелка: влево 9">
          <a:extLst>
            <a:ext uri="{FF2B5EF4-FFF2-40B4-BE49-F238E27FC236}">
              <a16:creationId xmlns:a16="http://schemas.microsoft.com/office/drawing/2014/main" id="{945F04C4-F870-4C63-8738-F63EA095467E}"/>
            </a:ext>
          </a:extLst>
        </xdr:cNvPr>
        <xdr:cNvSpPr/>
      </xdr:nvSpPr>
      <xdr:spPr>
        <a:xfrm>
          <a:off x="3714750" y="8039100"/>
          <a:ext cx="3100668" cy="1587046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  <xdr:twoCellAnchor>
    <xdr:from>
      <xdr:col>13</xdr:col>
      <xdr:colOff>114300</xdr:colOff>
      <xdr:row>38</xdr:row>
      <xdr:rowOff>47625</xdr:rowOff>
    </xdr:from>
    <xdr:to>
      <xdr:col>18</xdr:col>
      <xdr:colOff>166968</xdr:colOff>
      <xdr:row>48</xdr:row>
      <xdr:rowOff>15421</xdr:rowOff>
    </xdr:to>
    <xdr:sp macro="" textlink="">
      <xdr:nvSpPr>
        <xdr:cNvPr id="11" name="Стрелка: влево 10">
          <a:extLst>
            <a:ext uri="{FF2B5EF4-FFF2-40B4-BE49-F238E27FC236}">
              <a16:creationId xmlns:a16="http://schemas.microsoft.com/office/drawing/2014/main" id="{1C953E48-C65A-4224-AADF-D4E7DDB17C9B}"/>
            </a:ext>
          </a:extLst>
        </xdr:cNvPr>
        <xdr:cNvSpPr/>
      </xdr:nvSpPr>
      <xdr:spPr>
        <a:xfrm>
          <a:off x="8991600" y="8058150"/>
          <a:ext cx="3100668" cy="1587046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IPR_pi_sm3dayatm"/>
      <definedName name="IPR_pwf_atma"/>
      <definedName name="IPR_qliq_sm3day"/>
      <definedName name="MF_gas_fraction_d"/>
      <definedName name="MF_q_mix_rc_m3day"/>
      <definedName name="PVT_encode_string"/>
      <definedName name="PVT_pb_atm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W56"/>
  <sheetViews>
    <sheetView tabSelected="1" topLeftCell="A18" zoomScale="115" zoomScaleNormal="115" workbookViewId="0">
      <selection activeCell="H24" sqref="H24"/>
    </sheetView>
  </sheetViews>
  <sheetFormatPr defaultRowHeight="12.75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35</v>
      </c>
      <c r="G1" t="str">
        <f>[1]!getUFVersion()</f>
        <v>7.17</v>
      </c>
    </row>
    <row r="2" spans="1:7" x14ac:dyDescent="0.2">
      <c r="A2" t="s">
        <v>34</v>
      </c>
    </row>
    <row r="6" spans="1:7" x14ac:dyDescent="0.2">
      <c r="A6" s="1" t="s">
        <v>7</v>
      </c>
    </row>
    <row r="7" spans="1:7" ht="18.75" x14ac:dyDescent="0.35">
      <c r="B7" s="3" t="s">
        <v>8</v>
      </c>
      <c r="C7" s="2">
        <v>0.88</v>
      </c>
      <c r="D7" s="4"/>
      <c r="E7" s="20">
        <f>gamma_oil_*1000</f>
        <v>880</v>
      </c>
      <c r="F7" s="10" t="s">
        <v>36</v>
      </c>
    </row>
    <row r="8" spans="1:7" ht="18.75" x14ac:dyDescent="0.35">
      <c r="B8" s="5" t="s">
        <v>9</v>
      </c>
      <c r="C8" s="2">
        <v>1</v>
      </c>
      <c r="D8" s="4"/>
      <c r="E8" s="20">
        <f>gamma_wat_*1000</f>
        <v>1000</v>
      </c>
      <c r="F8" s="10" t="s">
        <v>36</v>
      </c>
    </row>
    <row r="9" spans="1:7" ht="18.75" x14ac:dyDescent="0.35">
      <c r="B9" s="5" t="s">
        <v>10</v>
      </c>
      <c r="C9" s="2">
        <v>0.8</v>
      </c>
      <c r="D9" s="4"/>
      <c r="E9" s="20">
        <f>gamma_gas_*1.22</f>
        <v>0.97599999999999998</v>
      </c>
      <c r="F9" s="10" t="s">
        <v>36</v>
      </c>
    </row>
    <row r="10" spans="1:7" ht="18.75" x14ac:dyDescent="0.35">
      <c r="B10" s="6" t="s">
        <v>11</v>
      </c>
      <c r="C10" s="2">
        <v>80</v>
      </c>
      <c r="D10" s="5" t="s">
        <v>12</v>
      </c>
      <c r="E10" s="20">
        <f>Rsb_/gamma_oil_</f>
        <v>90.909090909090907</v>
      </c>
      <c r="F10" s="10" t="s">
        <v>37</v>
      </c>
    </row>
    <row r="11" spans="1:7" ht="18.75" x14ac:dyDescent="0.35">
      <c r="B11" s="6" t="s">
        <v>13</v>
      </c>
      <c r="C11" s="2">
        <v>80</v>
      </c>
      <c r="D11" s="5" t="s">
        <v>12</v>
      </c>
      <c r="E11" s="20">
        <f>Rsb_/gamma_oil_</f>
        <v>90.909090909090907</v>
      </c>
      <c r="F11" s="10" t="s">
        <v>37</v>
      </c>
    </row>
    <row r="12" spans="1:7" ht="18" x14ac:dyDescent="0.35">
      <c r="B12" s="5" t="s">
        <v>14</v>
      </c>
      <c r="C12" s="2">
        <v>120</v>
      </c>
      <c r="D12" s="5" t="s">
        <v>15</v>
      </c>
      <c r="E12" s="20">
        <f>Pb_cal_*1.01325/10</f>
        <v>12.159000000000001</v>
      </c>
      <c r="F12" s="10" t="s">
        <v>16</v>
      </c>
    </row>
    <row r="13" spans="1:7" ht="18" x14ac:dyDescent="0.35">
      <c r="B13" s="5" t="s">
        <v>17</v>
      </c>
      <c r="C13" s="2">
        <v>100</v>
      </c>
      <c r="D13" s="8" t="s">
        <v>28</v>
      </c>
      <c r="E13" s="20">
        <f>Tres_*9/5+32</f>
        <v>212</v>
      </c>
      <c r="F13" s="10" t="s">
        <v>18</v>
      </c>
    </row>
    <row r="14" spans="1:7" ht="18.75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9">
        <f>fw_/100</f>
        <v>0.22</v>
      </c>
      <c r="F16" s="10" t="s">
        <v>38</v>
      </c>
    </row>
    <row r="17" spans="1:23" ht="18" x14ac:dyDescent="0.35">
      <c r="B17" s="5" t="s">
        <v>22</v>
      </c>
      <c r="C17" s="9">
        <f>[1]!PVT_pb_atma(Tres_,gamma_gas_,gamma_oil_,gamma_wat_,Rsb_,Rp_,Pb_cal_,Tres_,Bob_,muob_)</f>
        <v>119.99999999999999</v>
      </c>
      <c r="D17" s="5" t="s">
        <v>15</v>
      </c>
      <c r="E17" s="20">
        <f>Pb_*1.01325/10</f>
        <v>12.158999999999999</v>
      </c>
      <c r="F17" s="10" t="s">
        <v>16</v>
      </c>
    </row>
    <row r="19" spans="1:23" x14ac:dyDescent="0.2">
      <c r="A19" s="1" t="s">
        <v>5</v>
      </c>
      <c r="B19" s="1"/>
      <c r="C19" s="1"/>
      <c r="D19" s="1"/>
    </row>
    <row r="20" spans="1:23" ht="18" customHeight="1" x14ac:dyDescent="0.3">
      <c r="B20" s="7" t="s">
        <v>24</v>
      </c>
      <c r="C20" s="2">
        <v>100</v>
      </c>
      <c r="D20" s="5" t="s">
        <v>30</v>
      </c>
    </row>
    <row r="21" spans="1:23" ht="18" customHeight="1" x14ac:dyDescent="0.3">
      <c r="B21" s="7" t="s">
        <v>25</v>
      </c>
      <c r="C21" s="2">
        <v>150</v>
      </c>
      <c r="D21" s="5" t="s">
        <v>29</v>
      </c>
    </row>
    <row r="23" spans="1:23" x14ac:dyDescent="0.2">
      <c r="A23" s="1" t="s">
        <v>0</v>
      </c>
    </row>
    <row r="24" spans="1:23" ht="19.5" customHeight="1" x14ac:dyDescent="0.3">
      <c r="B24" s="7" t="s">
        <v>27</v>
      </c>
      <c r="C24" s="2">
        <v>250</v>
      </c>
      <c r="D24" s="5" t="s">
        <v>29</v>
      </c>
    </row>
    <row r="25" spans="1:23" ht="19.5" customHeight="1" x14ac:dyDescent="0.25">
      <c r="B25" s="7" t="s">
        <v>26</v>
      </c>
      <c r="C25" s="16">
        <f>[1]!IPR_pi_sm3dayatm(qltest_,Pwftest_,Pres_,fw_,Pb_)</f>
        <v>1</v>
      </c>
      <c r="D25" s="5" t="s">
        <v>31</v>
      </c>
    </row>
    <row r="26" spans="1:23" ht="19.5" customHeight="1" x14ac:dyDescent="0.3">
      <c r="B26" s="5" t="s">
        <v>32</v>
      </c>
      <c r="C26" s="17">
        <f>[1]!IPR_qliq_sm3day(PI_,Pres_,0,fw_,Pb_)</f>
        <v>198.37494909202309</v>
      </c>
      <c r="D26" s="5" t="s">
        <v>30</v>
      </c>
    </row>
    <row r="28" spans="1:23" x14ac:dyDescent="0.2">
      <c r="A28" s="11" t="s">
        <v>33</v>
      </c>
    </row>
    <row r="29" spans="1:23" ht="15" x14ac:dyDescent="0.25">
      <c r="B29" s="7" t="s">
        <v>4</v>
      </c>
      <c r="C29" s="2">
        <v>20</v>
      </c>
      <c r="D29" s="4"/>
    </row>
    <row r="31" spans="1:23" ht="15" x14ac:dyDescent="0.25">
      <c r="B31" s="7" t="s">
        <v>39</v>
      </c>
      <c r="C31" s="12" t="str">
        <f>[1]!PVT_encode_string(gamma_gas_,gamma_oil_,gamma_wat_,Rsb_,Rp_,Pb_cal_,Tres_,Bob_,muob_)</f>
        <v>gamma_gas:0.800;gamma_oil:0.880;gamma_wat:1.000;rsb_m3m3:80.000;rp_m3m3:80.000;pb_atma:120.000;tres_C:100.000;bob_m3m3:1.200;muob_cP:1.000;PVTcorr:0;ksep_fr:0.000;p_ksep_atma:-1.000;t_ksep_C:-1.000;gas_only:False;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5"/>
      <c r="V31" s="15"/>
      <c r="W31" s="15"/>
    </row>
    <row r="35" spans="3:13" x14ac:dyDescent="0.2">
      <c r="C35" s="5" t="s">
        <v>1</v>
      </c>
      <c r="D35" s="4" t="s">
        <v>2</v>
      </c>
      <c r="E35" s="4" t="s">
        <v>1</v>
      </c>
      <c r="L35" s="4" t="s">
        <v>40</v>
      </c>
      <c r="M35" s="4" t="s">
        <v>41</v>
      </c>
    </row>
    <row r="36" spans="3:13" x14ac:dyDescent="0.2">
      <c r="C36" s="18">
        <v>0</v>
      </c>
      <c r="D36" s="17">
        <f>[1]!IPR_pwf_atma(PI_,Pres_,C36,fw_,Pb_)</f>
        <v>250</v>
      </c>
      <c r="E36" s="17">
        <f>[1]!IPR_qliq_sm3day(PI_,Pres_,D36,fw_,Pb_)</f>
        <v>0</v>
      </c>
      <c r="L36" s="17">
        <f>[1]!MF_q_mix_rc_m3day(E36,fw_,D36,Tres_,PVT_str_)</f>
        <v>0</v>
      </c>
      <c r="M36" s="16">
        <f>[1]!MF_gas_fraction_d(D36,Tres_,fw_,PVT_str_)</f>
        <v>0</v>
      </c>
    </row>
    <row r="37" spans="3:13" x14ac:dyDescent="0.2">
      <c r="C37" s="18">
        <f t="shared" ref="C37:C56" si="0">C36+qmax_/N_</f>
        <v>9.9187474546011547</v>
      </c>
      <c r="D37" s="17">
        <f>[1]!IPR_pwf_atma(PI_,Pres_,C37,fw_,Pb_)</f>
        <v>240.08125254539885</v>
      </c>
      <c r="E37" s="17">
        <f>[1]!IPR_qliq_sm3day(PI_,Pres_,D37,fw_,Pb_)</f>
        <v>9.9187474546011458</v>
      </c>
      <c r="L37" s="17">
        <f>[1]!MF_q_mix_rc_m3day(E37,fw_,D37,Tres_,PVT_str_)</f>
        <v>11.369480273926047</v>
      </c>
      <c r="M37" s="16">
        <f>[1]!MF_gas_fraction_d(D37,Tres_,fw_,PVT_str_)</f>
        <v>0</v>
      </c>
    </row>
    <row r="38" spans="3:13" x14ac:dyDescent="0.2">
      <c r="C38" s="18">
        <f t="shared" si="0"/>
        <v>19.837494909202309</v>
      </c>
      <c r="D38" s="17">
        <f>[1]!IPR_pwf_atma(PI_,Pres_,C38,fw_,Pb_)</f>
        <v>230.16250509079768</v>
      </c>
      <c r="E38" s="17">
        <f>[1]!IPR_qliq_sm3day(PI_,Pres_,D38,fw_,Pb_)</f>
        <v>19.83749490920232</v>
      </c>
      <c r="L38" s="17">
        <f>[1]!MF_q_mix_rc_m3day(E38,fw_,D38,Tres_,PVT_str_)</f>
        <v>22.755726411610283</v>
      </c>
      <c r="M38" s="16">
        <f>[1]!MF_gas_fraction_d(D38,Tres_,fw_,PVT_str_)</f>
        <v>0</v>
      </c>
    </row>
    <row r="39" spans="3:13" x14ac:dyDescent="0.2">
      <c r="C39" s="18">
        <f t="shared" si="0"/>
        <v>29.756242363803466</v>
      </c>
      <c r="D39" s="17">
        <f>[1]!IPR_pwf_atma(PI_,Pres_,C39,fw_,Pb_)</f>
        <v>220.24375763619653</v>
      </c>
      <c r="E39" s="17">
        <f>[1]!IPR_qliq_sm3day(PI_,Pres_,D39,fw_,Pb_)</f>
        <v>29.756242363803466</v>
      </c>
      <c r="L39" s="17">
        <f>[1]!MF_q_mix_rc_m3day(E39,fw_,D39,Tres_,PVT_str_)</f>
        <v>34.160717482328714</v>
      </c>
      <c r="M39" s="16">
        <f>[1]!MF_gas_fraction_d(D39,Tres_,fw_,PVT_str_)</f>
        <v>0</v>
      </c>
    </row>
    <row r="40" spans="3:13" x14ac:dyDescent="0.2">
      <c r="C40" s="18">
        <f t="shared" si="0"/>
        <v>39.674989818404619</v>
      </c>
      <c r="D40" s="17">
        <f>[1]!IPR_pwf_atma(PI_,Pres_,C40,fw_,Pb_)</f>
        <v>210.32501018159539</v>
      </c>
      <c r="E40" s="17">
        <f>[1]!IPR_qliq_sm3day(PI_,Pres_,D40,fw_,Pb_)</f>
        <v>39.674989818404612</v>
      </c>
      <c r="L40" s="17">
        <f>[1]!MF_q_mix_rc_m3day(E40,fw_,D40,Tres_,PVT_str_)</f>
        <v>45.586824441121927</v>
      </c>
      <c r="M40" s="16">
        <f>[1]!MF_gas_fraction_d(D40,Tres_,fw_,PVT_str_)</f>
        <v>0</v>
      </c>
    </row>
    <row r="41" spans="3:13" x14ac:dyDescent="0.2">
      <c r="C41" s="18">
        <f t="shared" si="0"/>
        <v>49.593737273005772</v>
      </c>
      <c r="D41" s="17">
        <f>[1]!IPR_pwf_atma(PI_,Pres_,C41,fw_,Pb_)</f>
        <v>200.40626272699421</v>
      </c>
      <c r="E41" s="17">
        <f>[1]!IPR_qliq_sm3day(PI_,Pres_,D41,fw_,Pb_)</f>
        <v>49.593737273005786</v>
      </c>
      <c r="L41" s="17">
        <f>[1]!MF_q_mix_rc_m3day(E41,fw_,D41,Tres_,PVT_str_)</f>
        <v>57.036908214118228</v>
      </c>
      <c r="M41" s="16">
        <f>[1]!MF_gas_fraction_d(D41,Tres_,fw_,PVT_str_)</f>
        <v>0</v>
      </c>
    </row>
    <row r="42" spans="3:13" x14ac:dyDescent="0.2">
      <c r="C42" s="18">
        <f t="shared" si="0"/>
        <v>59.512484727606925</v>
      </c>
      <c r="D42" s="17">
        <f>[1]!IPR_pwf_atma(PI_,Pres_,C42,fw_,Pb_)</f>
        <v>190.48751527239307</v>
      </c>
      <c r="E42" s="17">
        <f>[1]!IPR_qliq_sm3day(PI_,Pres_,D42,fw_,Pb_)</f>
        <v>59.512484727606932</v>
      </c>
      <c r="L42" s="17">
        <f>[1]!MF_q_mix_rc_m3day(E42,fw_,D42,Tres_,PVT_str_)</f>
        <v>68.514448794621998</v>
      </c>
      <c r="M42" s="16">
        <f>[1]!MF_gas_fraction_d(D42,Tres_,fw_,PVT_str_)</f>
        <v>0</v>
      </c>
    </row>
    <row r="43" spans="3:13" x14ac:dyDescent="0.2">
      <c r="C43" s="18">
        <f t="shared" si="0"/>
        <v>69.431232182208078</v>
      </c>
      <c r="D43" s="17">
        <f>[1]!IPR_pwf_atma(PI_,Pres_,C43,fw_,Pb_)</f>
        <v>180.56876781779192</v>
      </c>
      <c r="E43" s="17">
        <f>[1]!IPR_qliq_sm3day(PI_,Pres_,D43,fw_,Pb_)</f>
        <v>69.431232182208078</v>
      </c>
      <c r="L43" s="17">
        <f>[1]!MF_q_mix_rc_m3day(E43,fw_,D43,Tres_,PVT_str_)</f>
        <v>80.023717424070071</v>
      </c>
      <c r="M43" s="16">
        <f>[1]!MF_gas_fraction_d(D43,Tres_,fw_,PVT_str_)</f>
        <v>0</v>
      </c>
    </row>
    <row r="44" spans="3:13" x14ac:dyDescent="0.2">
      <c r="C44" s="18">
        <f t="shared" si="0"/>
        <v>79.349979636809238</v>
      </c>
      <c r="D44" s="17">
        <f>[1]!IPR_pwf_atma(PI_,Pres_,C44,fw_,Pb_)</f>
        <v>170.65002036319078</v>
      </c>
      <c r="E44" s="17">
        <f>[1]!IPR_qliq_sm3day(PI_,Pres_,D44,fw_,Pb_)</f>
        <v>79.349979636809223</v>
      </c>
      <c r="L44" s="17">
        <f>[1]!MF_q_mix_rc_m3day(E44,fw_,D44,Tres_,PVT_str_)</f>
        <v>91.570009620730346</v>
      </c>
      <c r="M44" s="16">
        <f>[1]!MF_gas_fraction_d(D44,Tres_,fw_,PVT_str_)</f>
        <v>0</v>
      </c>
    </row>
    <row r="45" spans="3:13" x14ac:dyDescent="0.2">
      <c r="C45" s="18">
        <f t="shared" si="0"/>
        <v>89.268727091410398</v>
      </c>
      <c r="D45" s="17">
        <f>[1]!IPR_pwf_atma(PI_,Pres_,C45,fw_,Pb_)</f>
        <v>160.7312729085896</v>
      </c>
      <c r="E45" s="17">
        <f>[1]!IPR_qliq_sm3day(PI_,Pres_,D45,fw_,Pb_)</f>
        <v>89.268727091410398</v>
      </c>
      <c r="L45" s="17">
        <f>[1]!MF_q_mix_rc_m3day(E45,fw_,D45,Tres_,PVT_str_)</f>
        <v>103.15996571161351</v>
      </c>
      <c r="M45" s="16">
        <f>[1]!MF_gas_fraction_d(D45,Tres_,fw_,PVT_str_)</f>
        <v>0</v>
      </c>
    </row>
    <row r="46" spans="3:13" x14ac:dyDescent="0.2">
      <c r="C46" s="18">
        <f t="shared" si="0"/>
        <v>99.187474546011558</v>
      </c>
      <c r="D46" s="17">
        <f>[1]!IPR_pwf_atma(PI_,Pres_,C46,fw_,Pb_)</f>
        <v>150.81252545398843</v>
      </c>
      <c r="E46" s="17">
        <f>[1]!IPR_qliq_sm3day(PI_,Pres_,D46,fw_,Pb_)</f>
        <v>99.187474546011572</v>
      </c>
      <c r="L46" s="17">
        <f>[1]!MF_q_mix_rc_m3day(E46,fw_,D46,Tres_,PVT_str_)</f>
        <v>114.80201975798941</v>
      </c>
      <c r="M46" s="16">
        <f>[1]!MF_gas_fraction_d(D46,Tres_,fw_,PVT_str_)</f>
        <v>0</v>
      </c>
    </row>
    <row r="47" spans="3:13" x14ac:dyDescent="0.2">
      <c r="C47" s="18">
        <f t="shared" si="0"/>
        <v>109.10622200061272</v>
      </c>
      <c r="D47" s="17">
        <f>[1]!IPR_pwf_atma(PI_,Pres_,C47,fw_,Pb_)</f>
        <v>140.89377799938728</v>
      </c>
      <c r="E47" s="17">
        <f>[1]!IPR_qliq_sm3day(PI_,Pres_,D47,fw_,Pb_)</f>
        <v>109.10622200061272</v>
      </c>
      <c r="L47" s="17">
        <f>[1]!MF_q_mix_rc_m3day(E47,fw_,D47,Tres_,PVT_str_)</f>
        <v>126.507041162972</v>
      </c>
      <c r="M47" s="16">
        <f>[1]!MF_gas_fraction_d(D47,Tres_,fw_,PVT_str_)</f>
        <v>0</v>
      </c>
    </row>
    <row r="48" spans="3:13" x14ac:dyDescent="0.2">
      <c r="C48" s="18">
        <f t="shared" si="0"/>
        <v>119.02496945521388</v>
      </c>
      <c r="D48" s="17">
        <f>[1]!IPR_pwf_atma(PI_,Pres_,C48,fw_,Pb_)</f>
        <v>130.97503054478614</v>
      </c>
      <c r="E48" s="17">
        <f>[1]!IPR_qliq_sm3day(PI_,Pres_,D48,fw_,Pb_)</f>
        <v>119.02496945521386</v>
      </c>
      <c r="L48" s="17">
        <f>[1]!MF_q_mix_rc_m3day(E48,fw_,D48,Tres_,PVT_str_)</f>
        <v>138.28927286883359</v>
      </c>
      <c r="M48" s="16">
        <f>[1]!MF_gas_fraction_d(D48,Tres_,fw_,PVT_str_)</f>
        <v>0</v>
      </c>
    </row>
    <row r="49" spans="3:13" x14ac:dyDescent="0.2">
      <c r="C49" s="18">
        <f t="shared" si="0"/>
        <v>128.94371690981504</v>
      </c>
      <c r="D49" s="17">
        <f>[1]!IPR_pwf_atma(PI_,Pres_,C49,fw_,Pb_)</f>
        <v>121.05628309018496</v>
      </c>
      <c r="E49" s="17">
        <f>[1]!IPR_qliq_sm3day(PI_,Pres_,D49,fw_,Pb_)</f>
        <v>128.94371690981504</v>
      </c>
      <c r="L49" s="17">
        <f>[1]!MF_q_mix_rc_m3day(E49,fw_,D49,Tres_,PVT_str_)</f>
        <v>150.16773942848292</v>
      </c>
      <c r="M49" s="16">
        <f>[1]!MF_gas_fraction_d(D49,Tres_,fw_,PVT_str_)</f>
        <v>0</v>
      </c>
    </row>
    <row r="50" spans="3:13" x14ac:dyDescent="0.2">
      <c r="C50" s="18">
        <f t="shared" si="0"/>
        <v>138.86246436441618</v>
      </c>
      <c r="D50" s="17">
        <f>[1]!IPR_pwf_atma(PI_,Pres_,C50,fw_,Pb_)</f>
        <v>110.89439013405213</v>
      </c>
      <c r="E50" s="17">
        <f>[1]!IPR_qliq_sm3day(PI_,Pres_,D50,fw_,Pb_)</f>
        <v>138.86246436441616</v>
      </c>
      <c r="L50" s="17">
        <f>[1]!MF_q_mix_rc_m3day(E50,fw_,D50,Tres_,PVT_str_)</f>
        <v>168.09411887438162</v>
      </c>
      <c r="M50" s="16">
        <f>[1]!MF_gas_fraction_d(D50,Tres_,fw_,PVT_str_)</f>
        <v>4.7405492764113481E-2</v>
      </c>
    </row>
    <row r="51" spans="3:13" x14ac:dyDescent="0.2">
      <c r="C51" s="18">
        <f t="shared" si="0"/>
        <v>148.78121181901733</v>
      </c>
      <c r="D51" s="17">
        <f>[1]!IPR_pwf_atma(PI_,Pres_,C51,fw_,Pb_)</f>
        <v>100.02727433529387</v>
      </c>
      <c r="E51" s="17">
        <f>[1]!IPR_qliq_sm3day(PI_,Pres_,D51,fw_,Pb_)</f>
        <v>148.78121181901739</v>
      </c>
      <c r="L51" s="17">
        <f>[1]!MF_q_mix_rc_m3day(E51,fw_,D51,Tres_,PVT_str_)</f>
        <v>189.7818482430749</v>
      </c>
      <c r="M51" s="16">
        <f>[1]!MF_gas_fraction_d(D51,Tres_,fw_,PVT_str_)</f>
        <v>0.10606398003000826</v>
      </c>
    </row>
    <row r="52" spans="3:13" x14ac:dyDescent="0.2">
      <c r="C52" s="18">
        <f t="shared" si="0"/>
        <v>158.69995927361848</v>
      </c>
      <c r="D52" s="17">
        <f>[1]!IPR_pwf_atma(PI_,Pres_,C52,fw_,Pb_)</f>
        <v>88.220870330268156</v>
      </c>
      <c r="E52" s="17">
        <f>[1]!IPR_qliq_sm3day(PI_,Pres_,D52,fw_,Pb_)</f>
        <v>158.69995927361862</v>
      </c>
      <c r="L52" s="17">
        <f>[1]!MF_q_mix_rc_m3day(E52,fw_,D52,Tres_,PVT_str_)</f>
        <v>217.33157026860897</v>
      </c>
      <c r="M52" s="16">
        <f>[1]!MF_gas_fraction_d(D52,Tres_,fw_,PVT_str_)</f>
        <v>0.17716080918997171</v>
      </c>
    </row>
    <row r="53" spans="3:13" x14ac:dyDescent="0.2">
      <c r="C53" s="18">
        <f t="shared" si="0"/>
        <v>168.61870672821962</v>
      </c>
      <c r="D53" s="17">
        <f>[1]!IPR_pwf_atma(PI_,Pres_,C53,fw_,Pb_)</f>
        <v>75.082562520816197</v>
      </c>
      <c r="E53" s="17">
        <f>[1]!IPR_qliq_sm3day(PI_,Pres_,D53,fw_,Pb_)</f>
        <v>168.61870672821951</v>
      </c>
      <c r="L53" s="17">
        <f>[1]!MF_q_mix_rc_m3day(E53,fw_,D53,Tres_,PVT_str_)</f>
        <v>255.66074585936946</v>
      </c>
      <c r="M53" s="16">
        <f>[1]!MF_gas_fraction_d(D53,Tres_,fw_,PVT_str_)</f>
        <v>0.26624346318470665</v>
      </c>
    </row>
    <row r="54" spans="3:13" x14ac:dyDescent="0.2">
      <c r="C54" s="18">
        <f t="shared" si="0"/>
        <v>178.53745418282077</v>
      </c>
      <c r="D54" s="17">
        <f>[1]!IPR_pwf_atma(PI_,Pres_,C54,fw_,Pb_)</f>
        <v>59.833402917957891</v>
      </c>
      <c r="E54" s="17">
        <f>[1]!IPR_qliq_sm3day(PI_,Pres_,D54,fw_,Pb_)</f>
        <v>178.53745418282074</v>
      </c>
      <c r="L54" s="17">
        <f>[1]!MF_q_mix_rc_m3day(E54,fw_,D54,Tres_,PVT_str_)</f>
        <v>317.73047354511971</v>
      </c>
      <c r="M54" s="16">
        <f>[1]!MF_gas_fraction_d(D54,Tres_,fw_,PVT_str_)</f>
        <v>0.3836613043519102</v>
      </c>
    </row>
    <row r="55" spans="3:13" x14ac:dyDescent="0.2">
      <c r="C55" s="18">
        <f t="shared" si="0"/>
        <v>188.45620163742191</v>
      </c>
      <c r="D55" s="17">
        <f>[1]!IPR_pwf_atma(PI_,Pres_,C55,fw_,Pb_)</f>
        <v>40.383204097085397</v>
      </c>
      <c r="E55" s="17">
        <f>[1]!IPR_qliq_sm3day(PI_,Pres_,D55,fw_,Pb_)</f>
        <v>188.45620163742197</v>
      </c>
      <c r="L55" s="17">
        <f>[1]!MF_q_mix_rc_m3day(E55,fw_,D55,Tres_,PVT_str_)</f>
        <v>457.42694238338601</v>
      </c>
      <c r="M55" s="16">
        <f>[1]!MF_gas_fraction_d(D55,Tres_,fw_,PVT_str_)</f>
        <v>0.55565884481981209</v>
      </c>
    </row>
    <row r="56" spans="3:13" x14ac:dyDescent="0.2">
      <c r="C56" s="18">
        <f t="shared" si="0"/>
        <v>198.37494909202306</v>
      </c>
      <c r="D56" s="17">
        <f>[1]!IPR_pwf_atma(PI_,Pres_,C56,fw_,Pb_)</f>
        <v>2.8374524951857438E-13</v>
      </c>
      <c r="E56" s="17">
        <f>[1]!IPR_qliq_sm3day(PI_,Pres_,D56,fw_,Pb_)</f>
        <v>198.37494909202306</v>
      </c>
      <c r="L56" s="17"/>
      <c r="M56" s="16">
        <f>[1]!MF_gas_fraction_d(D56,Tres_,fw_,PVT_str_)</f>
        <v>0.99999999999999623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PVT_str_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2020-04-04T18:04:32Z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