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FILES\Khalikov.RS\Desktop\"/>
    </mc:Choice>
  </mc:AlternateContent>
  <bookViews>
    <workbookView xWindow="-105" yWindow="-105" windowWidth="25815" windowHeight="14160"/>
  </bookViews>
  <sheets>
    <sheet name="Лист1" sheetId="1" r:id="rId1"/>
  </sheets>
  <externalReferences>
    <externalReference r:id="rId2"/>
  </externalReferences>
  <definedNames>
    <definedName name="Bob_cal">Лист1!$C$12</definedName>
    <definedName name="fw">Лист1!$C$13</definedName>
    <definedName name="Hmes">Лист1!$C$18</definedName>
    <definedName name="Hmes_Hvert">Лист1!$C$19</definedName>
    <definedName name="Htube">Лист1!$C$20</definedName>
    <definedName name="IDcas">Лист1!$C$22</definedName>
    <definedName name="IDtub">Лист1!$C$24</definedName>
    <definedName name="ODtub">Лист1!$C$23</definedName>
    <definedName name="Pb_cal">Лист1!$C$10</definedName>
    <definedName name="Pbuf">Лист1!$C$25</definedName>
    <definedName name="Pcas">Лист1!$C$26</definedName>
    <definedName name="Pwf">Лист1!$C$27</definedName>
    <definedName name="q">Лист1!$C$31</definedName>
    <definedName name="qgas">Лист1!$C$32</definedName>
    <definedName name="Rp">Лист1!$C$9</definedName>
    <definedName name="Rsb">Лист1!$C$8</definedName>
    <definedName name="Tbuf">Лист1!$C$29</definedName>
    <definedName name="Tres">Лист1!$C$11</definedName>
    <definedName name="Tres_" localSheetId="0">Лист1!$C$13</definedName>
    <definedName name="Twf">Лист1!$C$28</definedName>
    <definedName name="γg">Лист1!$C$7</definedName>
    <definedName name="γo">Лист1!$C$5</definedName>
    <definedName name="γw">Лист1!$C$6</definedName>
    <definedName name="θ">Лист1!$C$21</definedName>
    <definedName name="μob_cal">Лист1!$C$14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48" i="1" l="1"/>
  <c r="AX49" i="1"/>
  <c r="AX50" i="1"/>
  <c r="AX51" i="1"/>
  <c r="AX47" i="1"/>
  <c r="AW36" i="1"/>
  <c r="BB24" i="1"/>
  <c r="AX38" i="1"/>
  <c r="AX39" i="1" s="1"/>
  <c r="AX40" i="1" s="1"/>
  <c r="AX41" i="1" s="1"/>
  <c r="AX42" i="1" s="1"/>
  <c r="AX43" i="1" s="1"/>
  <c r="AX44" i="1" s="1"/>
  <c r="AX45" i="1" s="1"/>
  <c r="AX46" i="1" s="1"/>
  <c r="AX37" i="1"/>
  <c r="AR37" i="1"/>
  <c r="V37" i="1"/>
  <c r="AR36" i="1"/>
  <c r="V36" i="1"/>
  <c r="AH35" i="1"/>
  <c r="AH34" i="1"/>
  <c r="W33" i="1"/>
  <c r="AY50" i="1"/>
  <c r="AY48" i="1"/>
  <c r="AY44" i="1"/>
  <c r="AY51" i="1"/>
  <c r="AY49" i="1"/>
  <c r="AY47" i="1"/>
  <c r="AY45" i="1"/>
  <c r="AY43" i="1"/>
  <c r="AY41" i="1"/>
  <c r="AY39" i="1"/>
  <c r="AY37" i="1"/>
  <c r="AH37" i="1"/>
  <c r="AY36" i="1"/>
  <c r="AH36" i="1"/>
  <c r="AG35" i="1"/>
  <c r="AG34" i="1"/>
  <c r="V33" i="1"/>
  <c r="AY31" i="1" a="1"/>
  <c r="J8" i="1"/>
  <c r="E56" i="1"/>
  <c r="E51" i="1"/>
  <c r="E49" i="1"/>
  <c r="G48" i="1"/>
  <c r="E47" i="1"/>
  <c r="E45" i="1"/>
  <c r="G44" i="1"/>
  <c r="E43" i="1"/>
  <c r="I41" i="1"/>
  <c r="AY40" i="1"/>
  <c r="I55" i="1"/>
  <c r="E55" i="1"/>
  <c r="G54" i="1"/>
  <c r="I53" i="1"/>
  <c r="E53" i="1"/>
  <c r="AG37" i="1"/>
  <c r="AG36" i="1"/>
  <c r="W35" i="1"/>
  <c r="W34" i="1"/>
  <c r="W32" i="1"/>
  <c r="J7" i="1"/>
  <c r="I56" i="1"/>
  <c r="D55" i="1"/>
  <c r="G52" i="1"/>
  <c r="I51" i="1"/>
  <c r="G50" i="1"/>
  <c r="I47" i="1"/>
  <c r="AY46" i="1"/>
  <c r="I43" i="1"/>
  <c r="AY42" i="1"/>
  <c r="I39" i="1"/>
  <c r="AY38" i="1"/>
  <c r="AS37" i="1"/>
  <c r="G1" i="1"/>
  <c r="AS36" i="1"/>
  <c r="G36" i="1"/>
  <c r="V35" i="1"/>
  <c r="V34" i="1"/>
  <c r="W37" i="1"/>
  <c r="V32" i="1"/>
  <c r="G37" i="1"/>
  <c r="W36" i="1"/>
  <c r="E36" i="1"/>
  <c r="I36" i="1"/>
  <c r="E37" i="1"/>
  <c r="I37" i="1"/>
  <c r="E38" i="1"/>
  <c r="I38" i="1"/>
  <c r="G39" i="1"/>
  <c r="E40" i="1"/>
  <c r="I40" i="1"/>
  <c r="G41" i="1"/>
  <c r="E42" i="1"/>
  <c r="I42" i="1"/>
  <c r="G43" i="1"/>
  <c r="E44" i="1"/>
  <c r="I44" i="1"/>
  <c r="G45" i="1"/>
  <c r="E46" i="1"/>
  <c r="I46" i="1"/>
  <c r="G47" i="1"/>
  <c r="E48" i="1"/>
  <c r="I48" i="1"/>
  <c r="G49" i="1"/>
  <c r="E50" i="1"/>
  <c r="I50" i="1"/>
  <c r="G51" i="1"/>
  <c r="E52" i="1"/>
  <c r="I52" i="1"/>
  <c r="G56" i="1"/>
  <c r="G38" i="1"/>
  <c r="E39" i="1"/>
  <c r="G40" i="1"/>
  <c r="E41" i="1"/>
  <c r="G42" i="1"/>
  <c r="I45" i="1"/>
  <c r="G46" i="1"/>
  <c r="I49" i="1"/>
  <c r="G53" i="1"/>
  <c r="E54" i="1"/>
  <c r="P32" i="1" s="1"/>
  <c r="I54" i="1"/>
  <c r="G55" i="1"/>
  <c r="D36" i="1"/>
  <c r="D37" i="1"/>
  <c r="D38" i="1"/>
  <c r="D40" i="1"/>
  <c r="D42" i="1"/>
  <c r="D44" i="1"/>
  <c r="D46" i="1"/>
  <c r="D48" i="1"/>
  <c r="D50" i="1"/>
  <c r="D52" i="1"/>
  <c r="D53" i="1"/>
  <c r="D54" i="1"/>
  <c r="D39" i="1"/>
  <c r="D41" i="1"/>
  <c r="D43" i="1"/>
  <c r="D45" i="1"/>
  <c r="D47" i="1"/>
  <c r="D49" i="1"/>
  <c r="D51" i="1"/>
  <c r="D56" i="1"/>
  <c r="P34" i="1"/>
  <c r="P35" i="1"/>
  <c r="P37" i="1"/>
  <c r="AL36" i="1"/>
  <c r="P36" i="1"/>
  <c r="AL37" i="1"/>
  <c r="BB32" i="1" l="1"/>
  <c r="BC31" i="1"/>
  <c r="AY31" i="1"/>
  <c r="BA32" i="1"/>
  <c r="BB31" i="1"/>
  <c r="AZ32" i="1"/>
  <c r="BA31" i="1"/>
  <c r="BC32" i="1"/>
  <c r="AY32" i="1"/>
  <c r="AZ31" i="1"/>
  <c r="AW37" i="1"/>
  <c r="C28" i="1"/>
  <c r="AW38" i="1" l="1"/>
  <c r="E11" i="1"/>
  <c r="E10" i="1"/>
  <c r="E9" i="1"/>
  <c r="E8" i="1"/>
  <c r="E7" i="1"/>
  <c r="E6" i="1"/>
  <c r="E5" i="1"/>
  <c r="AW39" i="1" l="1"/>
  <c r="AW40" i="1" l="1"/>
  <c r="AW41" i="1" l="1"/>
  <c r="AW42" i="1" l="1"/>
  <c r="AU36" i="1"/>
  <c r="Y37" i="1"/>
  <c r="AU37" i="1"/>
  <c r="Y36" i="1"/>
  <c r="AW43" i="1" l="1"/>
  <c r="Y34" i="1"/>
  <c r="AW44" i="1" l="1"/>
  <c r="Y35" i="1"/>
  <c r="AW45" i="1" l="1"/>
  <c r="Y32" i="1" l="1"/>
  <c r="AW46" i="1" l="1"/>
  <c r="AW47" i="1" l="1"/>
  <c r="AW48" i="1" l="1"/>
  <c r="AW49" i="1" l="1"/>
  <c r="AW50" i="1" l="1"/>
  <c r="AW51" i="1" l="1"/>
  <c r="AA35" i="1" l="1"/>
  <c r="AA34" i="1"/>
  <c r="P33" i="1"/>
  <c r="AA37" i="1"/>
  <c r="AA36" i="1"/>
  <c r="Q32" i="1"/>
  <c r="X32" i="1"/>
  <c r="R32" i="1" a="1"/>
  <c r="R32" i="1"/>
  <c r="S32" i="1"/>
  <c r="U32" i="1"/>
  <c r="F36" i="1"/>
  <c r="F37" i="1"/>
  <c r="F38" i="1"/>
  <c r="F40" i="1"/>
  <c r="F42" i="1"/>
  <c r="T32" i="1"/>
  <c r="F41" i="1"/>
  <c r="F39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Q33" i="1"/>
  <c r="X33" i="1"/>
  <c r="BA38" i="1"/>
  <c r="BA40" i="1"/>
  <c r="BA42" i="1"/>
  <c r="BA44" i="1"/>
  <c r="BA46" i="1"/>
  <c r="BA48" i="1"/>
  <c r="BA36" i="1"/>
  <c r="BB36" i="1"/>
  <c r="BA37" i="1"/>
  <c r="BA39" i="1"/>
  <c r="BB39" i="1"/>
  <c r="BA41" i="1"/>
  <c r="BB41" i="1"/>
  <c r="BA43" i="1"/>
  <c r="BA45" i="1"/>
  <c r="BB45" i="1"/>
  <c r="BA47" i="1"/>
  <c r="R33" i="1" a="1"/>
  <c r="T33" i="1"/>
  <c r="R33" i="1"/>
  <c r="S33" i="1"/>
  <c r="U33" i="1"/>
  <c r="AB34" i="1"/>
  <c r="AI34" i="1"/>
  <c r="AC34" i="1" a="1"/>
  <c r="AE34" i="1"/>
  <c r="AC34" i="1"/>
  <c r="AD34" i="1"/>
  <c r="AF34" i="1"/>
  <c r="H36" i="1"/>
  <c r="H37" i="1"/>
  <c r="H38" i="1"/>
  <c r="H40" i="1"/>
  <c r="H42" i="1"/>
  <c r="H44" i="1"/>
  <c r="H46" i="1"/>
  <c r="H39" i="1"/>
  <c r="H41" i="1"/>
  <c r="H43" i="1"/>
  <c r="H45" i="1"/>
  <c r="H47" i="1"/>
  <c r="BB38" i="1"/>
  <c r="BB40" i="1"/>
  <c r="BB42" i="1"/>
  <c r="BB44" i="1"/>
  <c r="BB46" i="1"/>
  <c r="BB48" i="1"/>
  <c r="BB37" i="1"/>
  <c r="BB43" i="1"/>
  <c r="BB47" i="1"/>
  <c r="H48" i="1"/>
  <c r="H49" i="1"/>
  <c r="H50" i="1"/>
  <c r="H51" i="1"/>
  <c r="H52" i="1"/>
  <c r="H53" i="1"/>
  <c r="H54" i="1"/>
  <c r="H55" i="1"/>
  <c r="F56" i="1"/>
  <c r="H56" i="1"/>
  <c r="AJ36" i="1"/>
  <c r="AJ37" i="1"/>
  <c r="AJ35" i="1"/>
  <c r="AJ34" i="1"/>
  <c r="Z32" i="1"/>
  <c r="Y33" i="1"/>
  <c r="AK34" i="1"/>
  <c r="Z33" i="1"/>
  <c r="BB53" i="1"/>
  <c r="BB54" i="1"/>
  <c r="K26" i="1"/>
  <c r="AM36" i="1"/>
  <c r="AT36" i="1"/>
  <c r="AV36" i="1"/>
  <c r="AB35" i="1"/>
  <c r="AI35" i="1"/>
  <c r="AK35" i="1"/>
  <c r="AB36" i="1"/>
  <c r="AI36" i="1"/>
  <c r="AK36" i="1"/>
  <c r="Q35" i="1"/>
  <c r="X35" i="1"/>
  <c r="Z35" i="1"/>
  <c r="Q34" i="1"/>
  <c r="X34" i="1"/>
  <c r="Z34" i="1"/>
  <c r="Q36" i="1"/>
  <c r="X36" i="1"/>
  <c r="Z36" i="1"/>
  <c r="AN36" i="1" a="1"/>
  <c r="AO36" i="1"/>
  <c r="AQ36" i="1"/>
  <c r="J50" i="1"/>
  <c r="J51" i="1"/>
  <c r="J52" i="1"/>
  <c r="J53" i="1"/>
  <c r="J54" i="1"/>
  <c r="J55" i="1"/>
  <c r="J56" i="1"/>
  <c r="BC46" i="1"/>
  <c r="BD46" i="1"/>
  <c r="BC42" i="1"/>
  <c r="BD42" i="1"/>
  <c r="BC47" i="1"/>
  <c r="BD47" i="1"/>
  <c r="BC45" i="1"/>
  <c r="BD45" i="1"/>
  <c r="BC43" i="1"/>
  <c r="BD43" i="1"/>
  <c r="BC41" i="1"/>
  <c r="BD41" i="1"/>
  <c r="BC39" i="1"/>
  <c r="BD39" i="1"/>
  <c r="BC37" i="1"/>
  <c r="BD37" i="1"/>
  <c r="BC36" i="1"/>
  <c r="BD36" i="1"/>
  <c r="BC48" i="1"/>
  <c r="BD48" i="1"/>
  <c r="BC44" i="1"/>
  <c r="BD44" i="1"/>
  <c r="BC40" i="1"/>
  <c r="BD40" i="1"/>
  <c r="BC38" i="1"/>
  <c r="BD38" i="1"/>
  <c r="AC36" i="1" a="1"/>
  <c r="AD36" i="1"/>
  <c r="AF36" i="1"/>
  <c r="AC36" i="1"/>
  <c r="AE36" i="1"/>
  <c r="M20" i="1"/>
  <c r="AC35" i="1" a="1"/>
  <c r="AD35" i="1"/>
  <c r="AF35" i="1"/>
  <c r="AC35" i="1"/>
  <c r="AE35" i="1"/>
  <c r="R36" i="1" a="1"/>
  <c r="S36" i="1"/>
  <c r="U36" i="1"/>
  <c r="T36" i="1"/>
  <c r="R36" i="1"/>
  <c r="AN36" i="1"/>
  <c r="AP36" i="1"/>
  <c r="J48" i="1"/>
  <c r="J46" i="1"/>
  <c r="J44" i="1"/>
  <c r="J42" i="1"/>
  <c r="J40" i="1"/>
  <c r="J38" i="1"/>
  <c r="J37" i="1"/>
  <c r="J36" i="1"/>
  <c r="J49" i="1"/>
  <c r="J47" i="1"/>
  <c r="J45" i="1"/>
  <c r="J43" i="1"/>
  <c r="J41" i="1"/>
  <c r="J39" i="1"/>
  <c r="R34" i="1" a="1"/>
  <c r="S34" i="1"/>
  <c r="U34" i="1"/>
  <c r="R34" i="1"/>
  <c r="T34" i="1"/>
  <c r="R35" i="1" a="1"/>
  <c r="S35" i="1"/>
  <c r="U35" i="1"/>
  <c r="R35" i="1"/>
  <c r="T35" i="1"/>
  <c r="M19" i="1"/>
  <c r="AM37" i="1"/>
  <c r="AT37" i="1"/>
  <c r="BE37" i="1"/>
  <c r="BF37" i="1"/>
  <c r="BE41" i="1"/>
  <c r="BF41" i="1"/>
  <c r="BE45" i="1"/>
  <c r="BF45" i="1"/>
  <c r="BE49" i="1"/>
  <c r="BF49" i="1"/>
  <c r="BE51" i="1"/>
  <c r="BF51" i="1"/>
  <c r="AN37" i="1" a="1"/>
  <c r="AO37" i="1"/>
  <c r="AP37" i="1"/>
  <c r="AN37" i="1"/>
  <c r="AQ37" i="1"/>
  <c r="Q37" i="1"/>
  <c r="R37" i="1" a="1"/>
  <c r="S37" i="1"/>
  <c r="T37" i="1"/>
  <c r="R37" i="1"/>
  <c r="U37" i="1"/>
  <c r="BE47" i="1"/>
  <c r="BF47" i="1"/>
  <c r="BE43" i="1"/>
  <c r="BF43" i="1"/>
  <c r="BE39" i="1"/>
  <c r="BF39" i="1"/>
  <c r="BE36" i="1"/>
  <c r="BF36" i="1"/>
  <c r="BE38" i="1"/>
  <c r="BF38" i="1"/>
  <c r="BE40" i="1"/>
  <c r="BF40" i="1"/>
  <c r="BE42" i="1"/>
  <c r="BF42" i="1"/>
  <c r="BE44" i="1"/>
  <c r="BF44" i="1"/>
  <c r="BE46" i="1"/>
  <c r="BF46" i="1"/>
  <c r="BE48" i="1"/>
  <c r="BF48" i="1"/>
  <c r="BE50" i="1"/>
  <c r="BF50" i="1"/>
  <c r="M21" i="1"/>
  <c r="AB37" i="1"/>
  <c r="AC37" i="1" a="1"/>
  <c r="AD37" i="1"/>
  <c r="AC37" i="1"/>
  <c r="AE37" i="1"/>
  <c r="AF37" i="1"/>
  <c r="X37" i="1"/>
  <c r="Z37" i="1"/>
  <c r="AV37" i="1"/>
  <c r="AI37" i="1"/>
  <c r="AK37" i="1"/>
  <c r="BF53" i="1"/>
  <c r="BE56" i="1"/>
  <c r="BF56" i="1"/>
  <c r="K28" i="1"/>
  <c r="BF54" i="1" a="1"/>
  <c r="BG54" i="1"/>
  <c r="BF54" i="1"/>
  <c r="BF55" i="1"/>
  <c r="BG55" i="1"/>
  <c r="BD53" i="1"/>
  <c r="BD54" i="1"/>
  <c r="K27" i="1"/>
</calcChain>
</file>

<file path=xl/sharedStrings.xml><?xml version="1.0" encoding="utf-8"?>
<sst xmlns="http://schemas.openxmlformats.org/spreadsheetml/2006/main" count="143" uniqueCount="95">
  <si>
    <t>PVT</t>
  </si>
  <si>
    <t>Упражнения по работе с макросами Unifloc VBA</t>
  </si>
  <si>
    <t>версия</t>
  </si>
  <si>
    <t>Анализ работы газлифтной скважины</t>
  </si>
  <si>
    <t>Физико - химические свойства флюида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</si>
  <si>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</si>
  <si>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</si>
  <si>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</si>
  <si>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</si>
  <si>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</si>
  <si>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</si>
  <si>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</si>
  <si>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</si>
  <si>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</si>
  <si>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</si>
  <si>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</si>
  <si>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</si>
  <si>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</si>
  <si>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</si>
  <si>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</si>
  <si>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</si>
  <si>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</si>
  <si>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</si>
  <si>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</si>
  <si>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Данные по скважине</t>
  </si>
  <si>
    <r>
      <t>H</t>
    </r>
    <r>
      <rPr>
        <vertAlign val="subscript"/>
        <sz val="10"/>
        <rFont val="Arial Cyr"/>
        <charset val="204"/>
      </rPr>
      <t>mes</t>
    </r>
  </si>
  <si>
    <t>м</t>
  </si>
  <si>
    <r>
      <t>H</t>
    </r>
    <r>
      <rPr>
        <vertAlign val="subscript"/>
        <sz val="10"/>
        <rFont val="Arial Cyr"/>
        <charset val="204"/>
      </rPr>
      <t>mes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</si>
  <si>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tube</t>
    </r>
  </si>
  <si>
    <t>θ</t>
  </si>
  <si>
    <t>°</t>
  </si>
  <si>
    <r>
      <t>ID</t>
    </r>
    <r>
      <rPr>
        <vertAlign val="subscript"/>
        <sz val="10"/>
        <rFont val="Arial Cyr"/>
        <charset val="204"/>
      </rPr>
      <t>cas</t>
    </r>
  </si>
  <si>
    <t>мм</t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</si>
  <si>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</si>
  <si>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</si>
  <si>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P</t>
    </r>
    <r>
      <rPr>
        <vertAlign val="subscript"/>
        <sz val="10"/>
        <rFont val="Arial Cyr"/>
        <charset val="204"/>
      </rPr>
      <t>buf</t>
    </r>
  </si>
  <si>
    <t>атм</t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</si>
  <si>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</si>
  <si>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</si>
  <si>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r>
      <t>T</t>
    </r>
    <r>
      <rPr>
        <vertAlign val="subscript"/>
        <sz val="10"/>
        <rFont val="Arial Cyr"/>
        <charset val="204"/>
      </rPr>
      <t>wf</t>
    </r>
  </si>
  <si>
    <t>C</t>
  </si>
  <si>
    <r>
      <t>T</t>
    </r>
    <r>
      <rPr>
        <vertAlign val="subscript"/>
        <sz val="10"/>
        <rFont val="Arial Cyr"/>
        <charset val="204"/>
      </rPr>
      <t>buf</t>
    </r>
  </si>
  <si>
    <t>Глубина</t>
  </si>
  <si>
    <t>Диаметр</t>
  </si>
  <si>
    <t>Давление зарядки</t>
  </si>
  <si>
    <t>атма</t>
  </si>
  <si>
    <t>q</t>
  </si>
  <si>
    <t>qgas</t>
  </si>
  <si>
    <t>Hmes, m</t>
  </si>
  <si>
    <t>Pж/г, атм</t>
  </si>
  <si>
    <t>Pзатр, атм</t>
  </si>
  <si>
    <t>gas</t>
  </si>
  <si>
    <t>Диаметр вкрутки</t>
  </si>
  <si>
    <t>Рзатр</t>
  </si>
  <si>
    <t>Клапан 1</t>
  </si>
  <si>
    <t xml:space="preserve">Время </t>
  </si>
  <si>
    <t>Рвх</t>
  </si>
  <si>
    <t>Рвых</t>
  </si>
  <si>
    <t>Расх</t>
  </si>
  <si>
    <t>Расх крит</t>
  </si>
  <si>
    <t>q_gas_sm3day</t>
  </si>
  <si>
    <t>p_crit_atma</t>
  </si>
  <si>
    <t>critical flow</t>
  </si>
  <si>
    <t>Откроется</t>
  </si>
  <si>
    <t>Ptub2</t>
  </si>
  <si>
    <t>Давление запуска ГК1</t>
  </si>
  <si>
    <t>Давление перед запуском ГК2</t>
  </si>
  <si>
    <t>Рзатр2</t>
  </si>
  <si>
    <t>Р сильфон</t>
  </si>
  <si>
    <t>Роткр макс</t>
  </si>
  <si>
    <t>Роткр раб</t>
  </si>
  <si>
    <t>Работает</t>
  </si>
  <si>
    <t>Клапан 2</t>
  </si>
  <si>
    <t>Давление запуска ГК 2</t>
  </si>
  <si>
    <t>Qliq</t>
  </si>
  <si>
    <t>Qgi</t>
  </si>
  <si>
    <t>d_valve_i</t>
  </si>
  <si>
    <t>Pi</t>
  </si>
  <si>
    <t>p_i_0</t>
  </si>
  <si>
    <t>Линия закачки</t>
  </si>
  <si>
    <t>ГЛ1</t>
  </si>
  <si>
    <t>Ptub3</t>
  </si>
  <si>
    <t>Давление перед запуском ГК3</t>
  </si>
  <si>
    <t>Давление запуска ГК3</t>
  </si>
  <si>
    <t>Клапан 3</t>
  </si>
  <si>
    <t>Рзатр3</t>
  </si>
  <si>
    <t>Рtub4</t>
  </si>
  <si>
    <t>ГЛ2</t>
  </si>
  <si>
    <t>ГЛ3</t>
  </si>
  <si>
    <t>ГЛ1 Н</t>
  </si>
  <si>
    <t>ГЛ2 Н</t>
  </si>
  <si>
    <t>ГЛ3 Н</t>
  </si>
  <si>
    <t>Расход газа</t>
  </si>
  <si>
    <t>Давление затрубное</t>
  </si>
  <si>
    <t>Pcrit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</si>
</sst>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8" fillId="0" borderId="0" xfId="0" applyFont="1"/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8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1" xfId="0" applyBorder="1"/>
    <xf numFmtId="2" fontId="0" fillId="0" borderId="11" xfId="0" applyNumberFormat="1" applyFill="1" applyBorder="1" applyAlignment="1">
      <alignment horizontal="center"/>
    </xf>
    <xf numFmtId="0" fontId="0" fillId="0" borderId="12" xfId="0" applyBorder="1"/>
    <xf numFmtId="2" fontId="0" fillId="0" borderId="13" xfId="0" applyNumberFormat="1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16" xfId="0" applyBorder="1"/>
    <xf numFmtId="2" fontId="0" fillId="0" borderId="16" xfId="0" applyNumberForma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164" fontId="0" fillId="0" borderId="10" xfId="0" applyNumberFormat="1" applyBorder="1" applyAlignment="1">
      <alignment horizontal="center"/>
    </xf>
    <xf numFmtId="0" fontId="0" fillId="0" borderId="11" xfId="0" applyFill="1" applyBorder="1"/>
    <xf numFmtId="1" fontId="0" fillId="0" borderId="11" xfId="0" applyNumberFormat="1" applyFill="1" applyBorder="1" applyAlignment="1">
      <alignment horizontal="center"/>
    </xf>
    <xf numFmtId="0" fontId="0" fillId="0" borderId="13" xfId="0" applyBorder="1"/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0" borderId="22" xfId="0" applyBorder="1"/>
    <xf numFmtId="2" fontId="0" fillId="0" borderId="22" xfId="0" applyNumberFormat="1" applyFill="1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right"/>
    </xf>
    <xf numFmtId="165" fontId="0" fillId="3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Лист1!$D$35</c:f>
              <c:strCache>
                <c:ptCount val="1"/>
                <c:pt idx="0">
                  <c:v>Pж/г, атм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Лист1!$D$36:$D$56</c:f>
              <c:numCache>
                <c:formatCode>0</c:formatCode>
                <c:ptCount val="21"/>
                <c:pt idx="0">
                  <c:v>20</c:v>
                </c:pt>
                <c:pt idx="1">
                  <c:v>29.668623447233408</c:v>
                </c:pt>
                <c:pt idx="2">
                  <c:v>39.33820614314984</c:v>
                </c:pt>
                <c:pt idx="3">
                  <c:v>49.008841008891551</c:v>
                </c:pt>
                <c:pt idx="4">
                  <c:v>58.680621066574481</c:v>
                </c:pt>
                <c:pt idx="5">
                  <c:v>68.353639448290224</c:v>
                </c:pt>
                <c:pt idx="6">
                  <c:v>78.027989405137617</c:v>
                </c:pt>
                <c:pt idx="7">
                  <c:v>87.70376431628641</c:v>
                </c:pt>
                <c:pt idx="8">
                  <c:v>97.381057698075608</c:v>
                </c:pt>
                <c:pt idx="9">
                  <c:v>107.05996321314883</c:v>
                </c:pt>
                <c:pt idx="10">
                  <c:v>116.74057467962936</c:v>
                </c:pt>
                <c:pt idx="11">
                  <c:v>121.58154950759223</c:v>
                </c:pt>
                <c:pt idx="12">
                  <c:v>136.10729157205139</c:v>
                </c:pt>
                <c:pt idx="13">
                  <c:v>145.79358549481856</c:v>
                </c:pt>
                <c:pt idx="14">
                  <c:v>150.63750765152622</c:v>
                </c:pt>
                <c:pt idx="15">
                  <c:v>165.17251696624723</c:v>
                </c:pt>
                <c:pt idx="16">
                  <c:v>174.86534419584086</c:v>
                </c:pt>
                <c:pt idx="17">
                  <c:v>184.56053923734385</c:v>
                </c:pt>
                <c:pt idx="18">
                  <c:v>194.25819748862313</c:v>
                </c:pt>
                <c:pt idx="19">
                  <c:v>203.95841458781166</c:v>
                </c:pt>
                <c:pt idx="20">
                  <c:v>213.6612864230238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F-46A3-9441-D94E919E6769}"/>
            </c:ext>
          </c:extLst>
        </c:ser>
        <c:ser>
          <c:idx val="1"/>
          <c:order val="1"/>
          <c:tx>
            <c:strRef>
              <c:f>Лист1!$E$35</c:f>
              <c:strCache>
                <c:ptCount val="1"/>
                <c:pt idx="0">
                  <c:v>Pзатр, атм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Лист1!$E$36:$E$56</c:f>
              <c:numCache>
                <c:formatCode>0</c:formatCode>
                <c:ptCount val="21"/>
                <c:pt idx="0">
                  <c:v>89.8</c:v>
                </c:pt>
                <c:pt idx="1">
                  <c:v>90.479794364410168</c:v>
                </c:pt>
                <c:pt idx="2">
                  <c:v>91.164658242328684</c:v>
                </c:pt>
                <c:pt idx="3">
                  <c:v>91.854623611929142</c:v>
                </c:pt>
                <c:pt idx="4">
                  <c:v>92.549722495798491</c:v>
                </c:pt>
                <c:pt idx="5">
                  <c:v>93.249986957769707</c:v>
                </c:pt>
                <c:pt idx="6">
                  <c:v>93.955449099734324</c:v>
                </c:pt>
                <c:pt idx="7">
                  <c:v>94.666141058437873</c:v>
                </c:pt>
                <c:pt idx="8">
                  <c:v>95.382095002261778</c:v>
                </c:pt>
                <c:pt idx="9">
                  <c:v>96.103343127995259</c:v>
                </c:pt>
                <c:pt idx="10">
                  <c:v>96.829917657601143</c:v>
                </c:pt>
                <c:pt idx="11">
                  <c:v>97.195212399306527</c:v>
                </c:pt>
                <c:pt idx="12">
                  <c:v>98.299174922732647</c:v>
                </c:pt>
                <c:pt idx="13">
                  <c:v>99.041922198938821</c:v>
                </c:pt>
                <c:pt idx="14">
                  <c:v>99.415339623050627</c:v>
                </c:pt>
                <c:pt idx="15">
                  <c:v>100.54381548711321</c:v>
                </c:pt>
                <c:pt idx="16">
                  <c:v>101.30302610374977</c:v>
                </c:pt>
                <c:pt idx="17">
                  <c:v>102.06778911184486</c:v>
                </c:pt>
                <c:pt idx="18">
                  <c:v>102.8381368190072</c:v>
                </c:pt>
                <c:pt idx="19">
                  <c:v>103.61410152937215</c:v>
                </c:pt>
                <c:pt idx="20">
                  <c:v>104.39571554056559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DF-46A3-9441-D94E919E6769}"/>
            </c:ext>
          </c:extLst>
        </c:ser>
        <c:ser>
          <c:idx val="2"/>
          <c:order val="2"/>
          <c:tx>
            <c:strRef>
              <c:f>Лист1!$F$35</c:f>
              <c:strCache>
                <c:ptCount val="1"/>
                <c:pt idx="0">
                  <c:v>Ptub2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Лист1!$F$36:$F$56</c:f>
              <c:numCache>
                <c:formatCode>General</c:formatCode>
                <c:ptCount val="21"/>
                <c:pt idx="0">
                  <c:v>20</c:v>
                </c:pt>
                <c:pt idx="1">
                  <c:v>21.740433485280644</c:v>
                </c:pt>
                <c:pt idx="2">
                  <c:v>23.599943585436595</c:v>
                </c:pt>
                <c:pt idx="3">
                  <c:v>25.583387741310446</c:v>
                </c:pt>
                <c:pt idx="4">
                  <c:v>27.695391694274662</c:v>
                </c:pt>
                <c:pt idx="5">
                  <c:v>29.940297572329584</c:v>
                </c:pt>
                <c:pt idx="6">
                  <c:v>32.322112892421472</c:v>
                </c:pt>
                <c:pt idx="7">
                  <c:v>41.991975076351302</c:v>
                </c:pt>
                <c:pt idx="8">
                  <c:v>51.662914947398853</c:v>
                </c:pt>
                <c:pt idx="9">
                  <c:v>61.335025556962847</c:v>
                </c:pt>
                <c:pt idx="10">
                  <c:v>71.008400068893152</c:v>
                </c:pt>
                <c:pt idx="11">
                  <c:v>75.845590434921149</c:v>
                </c:pt>
                <c:pt idx="12">
                  <c:v>90.359314071781213</c:v>
                </c:pt>
                <c:pt idx="13">
                  <c:v>100.037040534222</c:v>
                </c:pt>
                <c:pt idx="14">
                  <c:v>104.87651210169845</c:v>
                </c:pt>
                <c:pt idx="15">
                  <c:v>119.39750091226416</c:v>
                </c:pt>
                <c:pt idx="16">
                  <c:v>129.08042271990135</c:v>
                </c:pt>
                <c:pt idx="17">
                  <c:v>138.76526448930454</c:v>
                </c:pt>
                <c:pt idx="18">
                  <c:v>148.45212061244851</c:v>
                </c:pt>
                <c:pt idx="19">
                  <c:v>158.14108567651286</c:v>
                </c:pt>
                <c:pt idx="20">
                  <c:v>167.83225447330855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DF-46A3-9441-D94E919E6769}"/>
            </c:ext>
          </c:extLst>
        </c:ser>
        <c:ser>
          <c:idx val="3"/>
          <c:order val="3"/>
          <c:tx>
            <c:strRef>
              <c:f>Лист1!$G$35</c:f>
              <c:strCache>
                <c:ptCount val="1"/>
                <c:pt idx="0">
                  <c:v>Рзатр2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Лист1!$G$36:$G$56</c:f>
              <c:numCache>
                <c:formatCode>General</c:formatCode>
                <c:ptCount val="21"/>
                <c:pt idx="0">
                  <c:v>88.6</c:v>
                </c:pt>
                <c:pt idx="1">
                  <c:v>89.270831586468304</c:v>
                </c:pt>
                <c:pt idx="2">
                  <c:v>89.946675770089115</c:v>
                </c:pt>
                <c:pt idx="3">
                  <c:v>90.627564442032067</c:v>
                </c:pt>
                <c:pt idx="4">
                  <c:v>91.313529543469826</c:v>
                </c:pt>
                <c:pt idx="5">
                  <c:v>92.004603062454223</c:v>
                </c:pt>
                <c:pt idx="6">
                  <c:v>92.700817030766871</c:v>
                </c:pt>
                <c:pt idx="7">
                  <c:v>93.402203520747364</c:v>
                </c:pt>
                <c:pt idx="8">
                  <c:v>94.108794642101628</c:v>
                </c:pt>
                <c:pt idx="9">
                  <c:v>94.820622538694295</c:v>
                </c:pt>
                <c:pt idx="10">
                  <c:v>95.53771938532806</c:v>
                </c:pt>
                <c:pt idx="11">
                  <c:v>95.898253727201123</c:v>
                </c:pt>
                <c:pt idx="12">
                  <c:v>96.987848763236201</c:v>
                </c:pt>
                <c:pt idx="13">
                  <c:v>97.720945769716067</c:v>
                </c:pt>
                <c:pt idx="14">
                  <c:v>98.089516465945366</c:v>
                </c:pt>
                <c:pt idx="15">
                  <c:v>99.203365745625646</c:v>
                </c:pt>
                <c:pt idx="16">
                  <c:v>99.952753288625232</c:v>
                </c:pt>
                <c:pt idx="17">
                  <c:v>100.70763560011252</c:v>
                </c:pt>
                <c:pt idx="18">
                  <c:v>101.46804498621768</c:v>
                </c:pt>
                <c:pt idx="19">
                  <c:v>102.23401375512009</c:v>
                </c:pt>
                <c:pt idx="20">
                  <c:v>103.00557421393663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DF-46A3-9441-D94E919E6769}"/>
            </c:ext>
          </c:extLst>
        </c:ser>
        <c:ser>
          <c:idx val="4"/>
          <c:order val="4"/>
          <c:tx>
            <c:strRef>
              <c:f>Лист1!$H$35</c:f>
              <c:strCache>
                <c:ptCount val="1"/>
                <c:pt idx="0">
                  <c:v>Ptub3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Лист1!$H$36:$H$56</c:f>
              <c:numCache>
                <c:formatCode>General</c:formatCode>
                <c:ptCount val="21"/>
                <c:pt idx="0">
                  <c:v>20</c:v>
                </c:pt>
                <c:pt idx="1">
                  <c:v>20.961359349800688</c:v>
                </c:pt>
                <c:pt idx="2">
                  <c:v>21.960152576129239</c:v>
                </c:pt>
                <c:pt idx="3">
                  <c:v>22.997683623418357</c:v>
                </c:pt>
                <c:pt idx="4">
                  <c:v>24.075272889211313</c:v>
                </c:pt>
                <c:pt idx="5">
                  <c:v>25.194255987382874</c:v>
                </c:pt>
                <c:pt idx="6">
                  <c:v>26.35598227870436</c:v>
                </c:pt>
                <c:pt idx="7">
                  <c:v>27.561813165220482</c:v>
                </c:pt>
                <c:pt idx="8">
                  <c:v>28.813120145191949</c:v>
                </c:pt>
                <c:pt idx="9">
                  <c:v>30.111282626065222</c:v>
                </c:pt>
                <c:pt idx="10">
                  <c:v>31.457685494040536</c:v>
                </c:pt>
                <c:pt idx="11">
                  <c:v>32.149410695198874</c:v>
                </c:pt>
                <c:pt idx="12">
                  <c:v>46.654574063070299</c:v>
                </c:pt>
                <c:pt idx="13">
                  <c:v>56.326066769748394</c:v>
                </c:pt>
                <c:pt idx="14">
                  <c:v>61.162263165299734</c:v>
                </c:pt>
                <c:pt idx="15">
                  <c:v>75.672792329996611</c:v>
                </c:pt>
                <c:pt idx="16">
                  <c:v>85.348211752018159</c:v>
                </c:pt>
                <c:pt idx="17">
                  <c:v>95.025126866464305</c:v>
                </c:pt>
                <c:pt idx="18">
                  <c:v>104.70363129951976</c:v>
                </c:pt>
                <c:pt idx="19">
                  <c:v>114.38381883061155</c:v>
                </c:pt>
                <c:pt idx="20">
                  <c:v>124.06578340161575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9-4DFC-9FA9-466CC4E7ECE9}"/>
            </c:ext>
          </c:extLst>
        </c:ser>
        <c:ser>
          <c:idx val="5"/>
          <c:order val="5"/>
          <c:tx>
            <c:strRef>
              <c:f>Лист1!$I$35</c:f>
              <c:strCache>
                <c:ptCount val="1"/>
                <c:pt idx="0">
                  <c:v>Рзатр3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Лист1!$I$36:$I$56</c:f>
              <c:numCache>
                <c:formatCode>General</c:formatCode>
                <c:ptCount val="21"/>
                <c:pt idx="0">
                  <c:v>79.400000000000006</c:v>
                </c:pt>
                <c:pt idx="1">
                  <c:v>80.001567227457002</c:v>
                </c:pt>
                <c:pt idx="2">
                  <c:v>80.607691230137107</c:v>
                </c:pt>
                <c:pt idx="3">
                  <c:v>81.218402842515886</c:v>
                </c:pt>
                <c:pt idx="4">
                  <c:v>81.833732990213846</c:v>
                </c:pt>
                <c:pt idx="5">
                  <c:v>82.453712687473015</c:v>
                </c:pt>
                <c:pt idx="6">
                  <c:v>83.078373034582754</c:v>
                </c:pt>
                <c:pt idx="7">
                  <c:v>83.707745215255812</c:v>
                </c:pt>
                <c:pt idx="8">
                  <c:v>84.341860493955323</c:v>
                </c:pt>
                <c:pt idx="9">
                  <c:v>84.980750213174318</c:v>
                </c:pt>
                <c:pt idx="10">
                  <c:v>85.624445790668574</c:v>
                </c:pt>
                <c:pt idx="11">
                  <c:v>85.948105614206099</c:v>
                </c:pt>
                <c:pt idx="12">
                  <c:v>86.926380550902806</c:v>
                </c:pt>
                <c:pt idx="13">
                  <c:v>87.584682919941301</c:v>
                </c:pt>
                <c:pt idx="14">
                  <c:v>87.915681705798633</c:v>
                </c:pt>
                <c:pt idx="15">
                  <c:v>88.916116084163491</c:v>
                </c:pt>
                <c:pt idx="16">
                  <c:v>89.589310439189859</c:v>
                </c:pt>
                <c:pt idx="17">
                  <c:v>90.267532442620691</c:v>
                </c:pt>
                <c:pt idx="18">
                  <c:v>90.950814009622491</c:v>
                </c:pt>
                <c:pt idx="19">
                  <c:v>91.639187103893221</c:v>
                </c:pt>
                <c:pt idx="20">
                  <c:v>92.332683734526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B9-4DFC-9FA9-466CC4E7ECE9}"/>
            </c:ext>
          </c:extLst>
        </c:ser>
        <c:ser>
          <c:idx val="6"/>
          <c:order val="6"/>
          <c:tx>
            <c:strRef>
              <c:f>Лист1!$J$35</c:f>
              <c:strCache>
                <c:ptCount val="1"/>
                <c:pt idx="0">
                  <c:v>Рtub4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Лист1!$J$36:$J$56</c:f>
              <c:numCache>
                <c:formatCode>General</c:formatCode>
                <c:ptCount val="21"/>
                <c:pt idx="0">
                  <c:v>20</c:v>
                </c:pt>
                <c:pt idx="1">
                  <c:v>20.615718896998697</c:v>
                </c:pt>
                <c:pt idx="2">
                  <c:v>21.238424917245457</c:v>
                </c:pt>
                <c:pt idx="3">
                  <c:v>21.868452802756359</c:v>
                </c:pt>
                <c:pt idx="4">
                  <c:v>22.506127338561921</c:v>
                </c:pt>
                <c:pt idx="5">
                  <c:v>23.151764650167706</c:v>
                </c:pt>
                <c:pt idx="6">
                  <c:v>23.80567332301095</c:v>
                </c:pt>
                <c:pt idx="7">
                  <c:v>24.468155371181137</c:v>
                </c:pt>
                <c:pt idx="8">
                  <c:v>25.139507077747531</c:v>
                </c:pt>
                <c:pt idx="9">
                  <c:v>25.820019725100757</c:v>
                </c:pt>
                <c:pt idx="10">
                  <c:v>26.509980230552021</c:v>
                </c:pt>
                <c:pt idx="11">
                  <c:v>26.858592035876775</c:v>
                </c:pt>
                <c:pt idx="12">
                  <c:v>27.919373909395308</c:v>
                </c:pt>
                <c:pt idx="13">
                  <c:v>28.639363725527865</c:v>
                </c:pt>
                <c:pt idx="14">
                  <c:v>29.003302301872022</c:v>
                </c:pt>
                <c:pt idx="15">
                  <c:v>43.507959227943992</c:v>
                </c:pt>
                <c:pt idx="16">
                  <c:v>53.179076475994819</c:v>
                </c:pt>
                <c:pt idx="17">
                  <c:v>62.851379059661824</c:v>
                </c:pt>
                <c:pt idx="18">
                  <c:v>72.524960161242021</c:v>
                </c:pt>
                <c:pt idx="19">
                  <c:v>82.199913085943763</c:v>
                </c:pt>
                <c:pt idx="20">
                  <c:v>91.876331270965053</c:v>
                </c:pt>
              </c:numCache>
            </c:numRef>
          </c:xVal>
          <c:yVal>
            <c:numRef>
              <c:f>Лист1!$C$36:$C$56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1050</c:v>
                </c:pt>
                <c:pt idx="12">
                  <c:v>1200</c:v>
                </c:pt>
                <c:pt idx="13">
                  <c:v>1300</c:v>
                </c:pt>
                <c:pt idx="14">
                  <c:v>1350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B9-4DFC-9FA9-466CC4E7E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282576"/>
        <c:axId val="1429261360"/>
      </c:scatterChart>
      <c:valAx>
        <c:axId val="14292825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9261360"/>
        <c:crosses val="autoZero"/>
        <c:crossBetween val="midCat"/>
      </c:valAx>
      <c:valAx>
        <c:axId val="1429261360"/>
        <c:scaling>
          <c:orientation val="maxMin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 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928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Узел на</a:t>
            </a:r>
            <a:r>
              <a:rPr lang="ru-RU" baseline="0"/>
              <a:t> входе в газлифтный клапан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Лист1!$AY$35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Лист1!$AY$36:$AY$51</c:f>
              <c:numCache>
                <c:formatCode>0.0</c:formatCode>
                <c:ptCount val="16"/>
                <c:pt idx="0">
                  <c:v>89.999999999925336</c:v>
                </c:pt>
                <c:pt idx="1">
                  <c:v>89.987052772608507</c:v>
                </c:pt>
                <c:pt idx="2">
                  <c:v>89.948181731641682</c:v>
                </c:pt>
                <c:pt idx="3">
                  <c:v>89.883308586986928</c:v>
                </c:pt>
                <c:pt idx="4">
                  <c:v>89.792296330946868</c:v>
                </c:pt>
                <c:pt idx="5">
                  <c:v>89.674978597031995</c:v>
                </c:pt>
                <c:pt idx="6">
                  <c:v>89.531120514904188</c:v>
                </c:pt>
                <c:pt idx="7">
                  <c:v>89.360389351584303</c:v>
                </c:pt>
                <c:pt idx="8">
                  <c:v>89.162452374093334</c:v>
                </c:pt>
                <c:pt idx="9">
                  <c:v>88.936898559339426</c:v>
                </c:pt>
                <c:pt idx="10">
                  <c:v>88.683238594118109</c:v>
                </c:pt>
                <c:pt idx="11">
                  <c:v>86.970250927747031</c:v>
                </c:pt>
                <c:pt idx="12">
                  <c:v>84.426996615952476</c:v>
                </c:pt>
                <c:pt idx="13">
                  <c:v>80.846476600695809</c:v>
                </c:pt>
                <c:pt idx="14">
                  <c:v>75.799113033468018</c:v>
                </c:pt>
                <c:pt idx="15">
                  <c:v>68.111963445458642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4-4E99-8C2B-5106743E4CCB}"/>
            </c:ext>
          </c:extLst>
        </c:ser>
        <c:ser>
          <c:idx val="1"/>
          <c:order val="1"/>
          <c:tx>
            <c:strRef>
              <c:f>Лист1!$BA$35</c:f>
              <c:strCache>
                <c:ptCount val="1"/>
                <c:pt idx="0">
                  <c:v>ГЛ1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Лист1!$BA$36:$BA$51</c:f>
              <c:numCache>
                <c:formatCode>0.0</c:formatCode>
                <c:ptCount val="16"/>
                <c:pt idx="0">
                  <c:v>92.151409477759458</c:v>
                </c:pt>
                <c:pt idx="1">
                  <c:v>92.151409477759458</c:v>
                </c:pt>
                <c:pt idx="2">
                  <c:v>92.151409477759458</c:v>
                </c:pt>
                <c:pt idx="3">
                  <c:v>92.151409477759458</c:v>
                </c:pt>
                <c:pt idx="4">
                  <c:v>92.151409477759458</c:v>
                </c:pt>
                <c:pt idx="5">
                  <c:v>102.67432312878108</c:v>
                </c:pt>
                <c:pt idx="6">
                  <c:v>123.20873353149193</c:v>
                </c:pt>
                <c:pt idx="7">
                  <c:v>143.74671203331701</c:v>
                </c:pt>
                <c:pt idx="8">
                  <c:v>164.28112243602789</c:v>
                </c:pt>
                <c:pt idx="9">
                  <c:v>184.8155328387387</c:v>
                </c:pt>
                <c:pt idx="10">
                  <c:v>205.34994324144952</c:v>
                </c:pt>
                <c:pt idx="11">
                  <c:v>308.02556335411799</c:v>
                </c:pt>
                <c:pt idx="12">
                  <c:v>410.70118346678646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04-4E99-8C2B-5106743E4CCB}"/>
            </c:ext>
          </c:extLst>
        </c:ser>
        <c:ser>
          <c:idx val="2"/>
          <c:order val="2"/>
          <c:tx>
            <c:strRef>
              <c:f>Лист1!$BC$35</c:f>
              <c:strCache>
                <c:ptCount val="1"/>
                <c:pt idx="0">
                  <c:v>ГЛ2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Лист1!$BC$36:$BC$51</c:f>
              <c:numCache>
                <c:formatCode>0.0</c:formatCode>
                <c:ptCount val="16"/>
                <c:pt idx="0">
                  <c:v>85.346139232079139</c:v>
                </c:pt>
                <c:pt idx="1">
                  <c:v>85.346139232079139</c:v>
                </c:pt>
                <c:pt idx="2">
                  <c:v>85.346139232079139</c:v>
                </c:pt>
                <c:pt idx="3">
                  <c:v>85.346139232079139</c:v>
                </c:pt>
                <c:pt idx="4">
                  <c:v>85.346139232079139</c:v>
                </c:pt>
                <c:pt idx="5">
                  <c:v>85.346139232079139</c:v>
                </c:pt>
                <c:pt idx="6">
                  <c:v>85.346139232079139</c:v>
                </c:pt>
                <c:pt idx="7">
                  <c:v>85.346139232079139</c:v>
                </c:pt>
                <c:pt idx="8">
                  <c:v>85.346139232079139</c:v>
                </c:pt>
                <c:pt idx="9">
                  <c:v>85.346139232079139</c:v>
                </c:pt>
                <c:pt idx="10">
                  <c:v>91.267875244154908</c:v>
                </c:pt>
                <c:pt idx="11">
                  <c:v>136.90108339667592</c:v>
                </c:pt>
                <c:pt idx="12">
                  <c:v>182.53429154919689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04-4E99-8C2B-5106743E4CCB}"/>
            </c:ext>
          </c:extLst>
        </c:ser>
        <c:ser>
          <c:idx val="3"/>
          <c:order val="3"/>
          <c:tx>
            <c:strRef>
              <c:f>Лист1!$BE$35</c:f>
              <c:strCache>
                <c:ptCount val="1"/>
                <c:pt idx="0">
                  <c:v>ГЛ3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Лист1!$BE$36:$BE$51</c:f>
              <c:numCache>
                <c:formatCode>0.0</c:formatCode>
                <c:ptCount val="16"/>
                <c:pt idx="0">
                  <c:v>29.003302302300391</c:v>
                </c:pt>
                <c:pt idx="1">
                  <c:v>29.086652793125502</c:v>
                </c:pt>
                <c:pt idx="2">
                  <c:v>29.337097297157936</c:v>
                </c:pt>
                <c:pt idx="3">
                  <c:v>29.755899125557875</c:v>
                </c:pt>
                <c:pt idx="4">
                  <c:v>30.345107650457855</c:v>
                </c:pt>
                <c:pt idx="5">
                  <c:v>31.107698672488677</c:v>
                </c:pt>
                <c:pt idx="6">
                  <c:v>32.04737790564343</c:v>
                </c:pt>
                <c:pt idx="7">
                  <c:v>33.168524830095762</c:v>
                </c:pt>
                <c:pt idx="8">
                  <c:v>34.476978752743868</c:v>
                </c:pt>
                <c:pt idx="9">
                  <c:v>35.978354391759055</c:v>
                </c:pt>
                <c:pt idx="10">
                  <c:v>37.679838586400649</c:v>
                </c:pt>
                <c:pt idx="11">
                  <c:v>49.4862433683587</c:v>
                </c:pt>
                <c:pt idx="12">
                  <c:v>65.712329706065447</c:v>
                </c:pt>
                <c:pt idx="13">
                  <c:v>82.140545897940257</c:v>
                </c:pt>
                <c:pt idx="14">
                  <c:v>98.568312912361364</c:v>
                </c:pt>
                <c:pt idx="15">
                  <c:v>114.99652910423617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04-4E99-8C2B-5106743E4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72992"/>
        <c:axId val="2049458848"/>
      </c:scatterChart>
      <c:valAx>
        <c:axId val="204947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 газа,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458848"/>
        <c:crosses val="autoZero"/>
        <c:crossBetween val="midCat"/>
      </c:valAx>
      <c:valAx>
        <c:axId val="2049458848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узле, атм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47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Узел</a:t>
            </a:r>
            <a:r>
              <a:rPr lang="ru-RU" baseline="0"/>
              <a:t> на устье (затрубное пространство)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Лист1!$AY$35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Лист1!$AW$36:$AW$51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Лист1!$AY$36:$AY$51</c:f>
              <c:numCache>
                <c:formatCode>0.0</c:formatCode>
                <c:ptCount val="16"/>
                <c:pt idx="0">
                  <c:v>89.999999999925336</c:v>
                </c:pt>
                <c:pt idx="1">
                  <c:v>89.987052772608507</c:v>
                </c:pt>
                <c:pt idx="2">
                  <c:v>89.948181731641682</c:v>
                </c:pt>
                <c:pt idx="3">
                  <c:v>89.883308586986928</c:v>
                </c:pt>
                <c:pt idx="4">
                  <c:v>89.792296330946868</c:v>
                </c:pt>
                <c:pt idx="5">
                  <c:v>89.674978597031995</c:v>
                </c:pt>
                <c:pt idx="6">
                  <c:v>89.531120514904188</c:v>
                </c:pt>
                <c:pt idx="7">
                  <c:v>89.360389351584303</c:v>
                </c:pt>
                <c:pt idx="8">
                  <c:v>89.162452374093334</c:v>
                </c:pt>
                <c:pt idx="9">
                  <c:v>88.936898559339426</c:v>
                </c:pt>
                <c:pt idx="10">
                  <c:v>88.683238594118109</c:v>
                </c:pt>
                <c:pt idx="11">
                  <c:v>86.970250927747031</c:v>
                </c:pt>
                <c:pt idx="12">
                  <c:v>84.426996615952476</c:v>
                </c:pt>
                <c:pt idx="13">
                  <c:v>80.846476600695809</c:v>
                </c:pt>
                <c:pt idx="14">
                  <c:v>75.799113033468018</c:v>
                </c:pt>
                <c:pt idx="15">
                  <c:v>68.111963445458642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2-4691-AC5B-CAA13D5EE540}"/>
            </c:ext>
          </c:extLst>
        </c:ser>
        <c:ser>
          <c:idx val="1"/>
          <c:order val="1"/>
          <c:tx>
            <c:strRef>
              <c:f>Лист1!$BB$35</c:f>
              <c:strCache>
                <c:ptCount val="1"/>
                <c:pt idx="0">
                  <c:v>ГЛ1 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Лист1!$BB$36:$BB$51</c:f>
              <c:numCache>
                <c:formatCode>0.0</c:formatCode>
                <c:ptCount val="16"/>
                <c:pt idx="0">
                  <c:v>88.556308130127761</c:v>
                </c:pt>
                <c:pt idx="1">
                  <c:v>88.556308130127761</c:v>
                </c:pt>
                <c:pt idx="2">
                  <c:v>88.556308130127761</c:v>
                </c:pt>
                <c:pt idx="3">
                  <c:v>88.556308130127761</c:v>
                </c:pt>
                <c:pt idx="4">
                  <c:v>88.556308130127761</c:v>
                </c:pt>
                <c:pt idx="5">
                  <c:v>98.686700333562698</c:v>
                </c:pt>
                <c:pt idx="6">
                  <c:v>118.48183987729567</c:v>
                </c:pt>
                <c:pt idx="7">
                  <c:v>138.32063852750625</c:v>
                </c:pt>
                <c:pt idx="8">
                  <c:v>158.20033739536001</c:v>
                </c:pt>
                <c:pt idx="9">
                  <c:v>178.12693718048962</c:v>
                </c:pt>
                <c:pt idx="10">
                  <c:v>198.10177090449488</c:v>
                </c:pt>
                <c:pt idx="11">
                  <c:v>298.68642751042279</c:v>
                </c:pt>
                <c:pt idx="12">
                  <c:v>400.11476547075245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2-4691-AC5B-CAA13D5EE540}"/>
            </c:ext>
          </c:extLst>
        </c:ser>
        <c:ser>
          <c:idx val="2"/>
          <c:order val="2"/>
          <c:tx>
            <c:strRef>
              <c:f>Лист1!$BD$35</c:f>
              <c:strCache>
                <c:ptCount val="1"/>
                <c:pt idx="0">
                  <c:v>ГЛ2 Н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Лист1!$BD$36:$BD$51</c:f>
              <c:numCache>
                <c:formatCode>0.0</c:formatCode>
                <c:ptCount val="16"/>
                <c:pt idx="0">
                  <c:v>79.590480996728914</c:v>
                </c:pt>
                <c:pt idx="1">
                  <c:v>79.590480996728914</c:v>
                </c:pt>
                <c:pt idx="2">
                  <c:v>79.590480996728914</c:v>
                </c:pt>
                <c:pt idx="3">
                  <c:v>79.590480996728914</c:v>
                </c:pt>
                <c:pt idx="4">
                  <c:v>79.590480996728914</c:v>
                </c:pt>
                <c:pt idx="5">
                  <c:v>79.590480996728914</c:v>
                </c:pt>
                <c:pt idx="6">
                  <c:v>79.590480996728914</c:v>
                </c:pt>
                <c:pt idx="7">
                  <c:v>79.590480996728914</c:v>
                </c:pt>
                <c:pt idx="8">
                  <c:v>79.590480996728914</c:v>
                </c:pt>
                <c:pt idx="9">
                  <c:v>79.590480996728914</c:v>
                </c:pt>
                <c:pt idx="10">
                  <c:v>85.123565443988554</c:v>
                </c:pt>
                <c:pt idx="11">
                  <c:v>127.92100494482793</c:v>
                </c:pt>
                <c:pt idx="12">
                  <c:v>171.06967226837435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22-4691-AC5B-CAA13D5EE540}"/>
            </c:ext>
          </c:extLst>
        </c:ser>
        <c:ser>
          <c:idx val="3"/>
          <c:order val="3"/>
          <c:tx>
            <c:strRef>
              <c:f>Лист1!$BF$35</c:f>
              <c:strCache>
                <c:ptCount val="1"/>
                <c:pt idx="0">
                  <c:v>ГЛ3 Н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Лист1!$AX$36:$AX$51</c:f>
              <c:numCache>
                <c:formatCode>0.0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25000</c:v>
                </c:pt>
                <c:pt idx="14">
                  <c:v>30000</c:v>
                </c:pt>
                <c:pt idx="15">
                  <c:v>35000</c:v>
                </c:pt>
              </c:numCache>
            </c:numRef>
          </c:xVal>
          <c:yVal>
            <c:numRef>
              <c:f>Лист1!$BF$36:$BF$51</c:f>
              <c:numCache>
                <c:formatCode>0.0</c:formatCode>
                <c:ptCount val="16"/>
                <c:pt idx="0">
                  <c:v>26.534320818723032</c:v>
                </c:pt>
                <c:pt idx="1">
                  <c:v>26.610448896805508</c:v>
                </c:pt>
                <c:pt idx="2">
                  <c:v>26.839189649294479</c:v>
                </c:pt>
                <c:pt idx="3">
                  <c:v>27.221689644457872</c:v>
                </c:pt>
                <c:pt idx="4">
                  <c:v>27.759808874091853</c:v>
                </c:pt>
                <c:pt idx="5">
                  <c:v>28.456249466248092</c:v>
                </c:pt>
                <c:pt idx="6">
                  <c:v>29.314376993314674</c:v>
                </c:pt>
                <c:pt idx="7">
                  <c:v>30.338170336496464</c:v>
                </c:pt>
                <c:pt idx="8">
                  <c:v>31.532940995800924</c:v>
                </c:pt>
                <c:pt idx="9">
                  <c:v>32.903797025911686</c:v>
                </c:pt>
                <c:pt idx="10">
                  <c:v>34.457286347911989</c:v>
                </c:pt>
                <c:pt idx="11">
                  <c:v>45.236066907538998</c:v>
                </c:pt>
                <c:pt idx="12">
                  <c:v>60.0562471192221</c:v>
                </c:pt>
                <c:pt idx="13">
                  <c:v>75.081672094215833</c:v>
                </c:pt>
                <c:pt idx="14">
                  <c:v>90.139509900245613</c:v>
                </c:pt>
                <c:pt idx="15">
                  <c:v>105.24029461485577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22-4691-AC5B-CAA13D5EE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72992"/>
        <c:axId val="2049458848"/>
      </c:scatterChart>
      <c:valAx>
        <c:axId val="204947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Расход газа, м3/сут</a:t>
                </a:r>
                <a:endParaRPr lang="ru-RU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458848"/>
        <c:crosses val="autoZero"/>
        <c:crossBetween val="midCat"/>
      </c:valAx>
      <c:valAx>
        <c:axId val="2049458848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Давление на узле, атм</a:t>
                </a:r>
                <a:endParaRPr lang="ru-RU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47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254575</xdr:colOff>
      <xdr:row>37</xdr:row>
      <xdr:rowOff>138439</xdr:rowOff>
    </xdr:from>
    <xdr:to>
      <xdr:col>22</xdr:col>
      <xdr:colOff>260974</xdr:colOff>
      <xdr:row>65</xdr:row>
      <xdr:rowOff>97765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272142</xdr:colOff>
      <xdr:row>46</xdr:row>
      <xdr:rowOff>13606</xdr:rowOff>
    </xdr:from>
    <xdr:to>
      <xdr:col>34</xdr:col>
      <xdr:colOff>40820</xdr:colOff>
      <xdr:row>74</xdr:row>
      <xdr:rowOff>13606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95251</xdr:colOff>
      <xdr:row>45</xdr:row>
      <xdr:rowOff>176892</xdr:rowOff>
    </xdr:from>
    <xdr:to>
      <xdr:col>42</xdr:col>
      <xdr:colOff>462644</xdr:colOff>
      <xdr:row>73</xdr:row>
      <xdr:rowOff>176892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FILES/Khalikov.RS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section"/>
      <definedName name="crv_solve"/>
      <definedName name="getUFVersion"/>
      <definedName name="GLV_IPO_p_open"/>
      <definedName name="GLV_p_atma"/>
      <definedName name="GLV_p_close_atma"/>
      <definedName name="GLV_q_gas_s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G56"/>
  <sheetViews>
    <sheetView tabSelected="1" topLeftCell="A10" zoomScale="70" zoomScaleNormal="70" workbookViewId="0">
      <selection activeCell="J38" sqref="J38"/>
    </sheetView>
  </sheetViews>
  <sheetFormatPr defaultRowHeight="15" x14ac:dyDescent="0.25"/>
  <cols>
    <col min="2" max="2" width="15" customWidth="1"/>
    <col min="5" max="5" width="10.42578125" bestFit="1" customWidth="1"/>
    <col min="9" max="9" width="10.5703125" customWidth="1"/>
    <col min="10" max="10" width="12" customWidth="1"/>
    <col min="11" max="11" width="14.28515625" customWidth="1"/>
    <col min="14" max="14" width="29.140625" bestFit="1" customWidth="1"/>
    <col min="15" max="16" width="11.28515625" customWidth="1"/>
    <col min="22" max="22" width="10.42578125" bestFit="1" customWidth="1"/>
    <col min="33" max="33" width="10.42578125" bestFit="1" customWidth="1"/>
    <col min="42" max="42" width="10.5703125" customWidth="1"/>
    <col min="54" max="54" width="10.140625" bestFit="1" customWidth="1"/>
    <col min="55" max="55" width="17.5703125" customWidth="1"/>
    <col min="57" max="57" width="16.85546875" customWidth="1"/>
  </cols>
  <sheetData>
    <row r="1" spans="1:32" x14ac:dyDescent="0.25">
      <c r="A1" s="1" t="s">
        <v>1</v>
      </c>
      <c r="D1" s="2"/>
      <c r="F1" t="s">
        <v>2</v>
      </c>
      <c r="G1" t="str">
        <f>[1]!getUFVersion()</f>
        <v>7.11</v>
      </c>
    </row>
    <row r="2" spans="1:32" x14ac:dyDescent="0.25">
      <c r="A2" t="s">
        <v>3</v>
      </c>
      <c r="D2" s="2"/>
    </row>
    <row r="4" spans="1:32" x14ac:dyDescent="0.25">
      <c r="B4" s="12" t="s">
        <v>4</v>
      </c>
      <c r="D4" s="2"/>
    </row>
    <row r="5" spans="1:32" ht="18.75" x14ac:dyDescent="0.35">
      <c r="A5" s="1"/>
      <c r="B5" s="3" t="s">
        <v>5</v>
      </c>
      <c r="C5" s="4">
        <v>0.87</v>
      </c>
      <c r="D5" s="5"/>
      <c r="E5" s="6">
        <f>γo*1000</f>
        <v>870</v>
      </c>
      <c r="F5" s="5" t="s">
        <v>6</v>
      </c>
    </row>
    <row r="6" spans="1:32" ht="18.75" x14ac:dyDescent="0.35">
      <c r="B6" s="5" t="s">
        <v>7</v>
      </c>
      <c r="C6" s="4">
        <v>1</v>
      </c>
      <c r="D6" s="5"/>
      <c r="E6" s="6">
        <f>γw*1000</f>
        <v>1000</v>
      </c>
      <c r="F6" s="5" t="s">
        <v>6</v>
      </c>
    </row>
    <row r="7" spans="1:32" ht="18.75" x14ac:dyDescent="0.35">
      <c r="B7" s="5" t="s">
        <v>8</v>
      </c>
      <c r="C7" s="4">
        <v>0.8</v>
      </c>
      <c r="D7" s="5"/>
      <c r="E7" s="6">
        <f>γg*1.22</f>
        <v>0.97599999999999998</v>
      </c>
      <c r="F7" s="5" t="s">
        <v>6</v>
      </c>
      <c r="I7" t="s">
        <v>0</v>
      </c>
      <c r="J7" t="str">
        <f>[1]!PVT_encode_string()</f>
        <v>gamma_gas:0,600;gamma_oil:0,860;gamma_wat:1,000;rsb_m3m3:100,000;rp_m3m3:-1,000;pb_atma:-1,000;tres_C:90,000;bob_m3m3:-1,000;muob_cP:-1,000;PVTcorr:0;ksep_fr:0,000;p_ksep_atma:-1,000;t_ksep_C:-1,000;gas_only:False;</v>
      </c>
    </row>
    <row r="8" spans="1:32" ht="18.75" x14ac:dyDescent="0.35">
      <c r="B8" s="7" t="s">
        <v>9</v>
      </c>
      <c r="C8" s="4">
        <v>80</v>
      </c>
      <c r="D8" s="5" t="s">
        <v>10</v>
      </c>
      <c r="E8" s="8">
        <f>Rsb/γo</f>
        <v>91.954022988505741</v>
      </c>
      <c r="F8" s="5" t="s">
        <v>11</v>
      </c>
      <c r="I8" t="s">
        <v>51</v>
      </c>
      <c r="J8" t="str">
        <f>[1]!PVT_encode_string(,,,,,,,,,,,,,1)</f>
        <v>gamma_gas:0,600;gamma_oil:0,860;gamma_wat:1,000;rsb_m3m3:100,000;rp_m3m3:-1,000;pb_atma:-1,000;tres_C:90,000;bob_m3m3:-1,000;muob_cP:-1,000;PVTcorr:0;ksep_fr:0,000;p_ksep_atma:-1,000;t_ksep_C:-1,000;gas_only:True;</v>
      </c>
    </row>
    <row r="9" spans="1:32" ht="18.75" x14ac:dyDescent="0.35">
      <c r="B9" s="7" t="s">
        <v>12</v>
      </c>
      <c r="C9" s="4">
        <v>80</v>
      </c>
      <c r="D9" s="5" t="s">
        <v>10</v>
      </c>
      <c r="E9" s="8">
        <f>Rp/γo</f>
        <v>91.954022988505741</v>
      </c>
      <c r="F9" s="5" t="s">
        <v>11</v>
      </c>
    </row>
    <row r="10" spans="1:32" ht="18" x14ac:dyDescent="0.35">
      <c r="B10" s="5" t="s">
        <v>13</v>
      </c>
      <c r="C10" s="4">
        <v>150</v>
      </c>
      <c r="D10" s="5" t="s">
        <v>14</v>
      </c>
      <c r="E10" s="8">
        <f>Pb_cal*1.01325</f>
        <v>151.98750000000001</v>
      </c>
      <c r="F10" s="5" t="s">
        <v>15</v>
      </c>
    </row>
    <row r="11" spans="1:32" ht="18" x14ac:dyDescent="0.35">
      <c r="B11" s="5" t="s">
        <v>16</v>
      </c>
      <c r="C11" s="4">
        <v>80</v>
      </c>
      <c r="D11" s="5" t="s">
        <v>17</v>
      </c>
      <c r="E11" s="8">
        <f>Tres*9/5+32</f>
        <v>176</v>
      </c>
      <c r="F11" s="5" t="s">
        <v>18</v>
      </c>
    </row>
    <row r="12" spans="1:32" ht="18.75" x14ac:dyDescent="0.35">
      <c r="B12" s="7" t="s">
        <v>19</v>
      </c>
      <c r="C12" s="4">
        <v>1.2</v>
      </c>
      <c r="D12" s="5" t="s">
        <v>10</v>
      </c>
    </row>
    <row r="13" spans="1:32" ht="15.75" x14ac:dyDescent="0.3">
      <c r="B13" s="7" t="s">
        <v>20</v>
      </c>
      <c r="C13" s="4">
        <v>0</v>
      </c>
      <c r="D13" s="5" t="s">
        <v>21</v>
      </c>
    </row>
    <row r="14" spans="1:32" ht="18" x14ac:dyDescent="0.35">
      <c r="B14" s="9" t="s">
        <v>22</v>
      </c>
      <c r="C14" s="4">
        <v>1</v>
      </c>
      <c r="D14" s="5" t="s">
        <v>23</v>
      </c>
    </row>
    <row r="16" spans="1:32" x14ac:dyDescent="0.25"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55" ht="30" x14ac:dyDescent="0.25">
      <c r="B17" s="12" t="s">
        <v>24</v>
      </c>
      <c r="C17" s="2"/>
      <c r="D17" s="2"/>
      <c r="G17" s="10" t="s">
        <v>42</v>
      </c>
      <c r="H17" s="10" t="s">
        <v>43</v>
      </c>
      <c r="I17" s="11" t="s">
        <v>52</v>
      </c>
      <c r="J17" s="11" t="s">
        <v>52</v>
      </c>
      <c r="K17" s="11" t="s">
        <v>44</v>
      </c>
      <c r="L17" s="31"/>
      <c r="M17" s="31"/>
      <c r="N17" s="32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55" ht="15.75" x14ac:dyDescent="0.3">
      <c r="B18" s="7" t="s">
        <v>25</v>
      </c>
      <c r="C18" s="4">
        <v>2000</v>
      </c>
      <c r="D18" s="5" t="s">
        <v>26</v>
      </c>
      <c r="G18" s="10" t="s">
        <v>26</v>
      </c>
      <c r="H18" s="10" t="s">
        <v>32</v>
      </c>
      <c r="K18" s="10" t="s">
        <v>45</v>
      </c>
      <c r="L18" s="30"/>
      <c r="M18" s="1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55" ht="15.75" x14ac:dyDescent="0.3">
      <c r="B19" s="7" t="s">
        <v>27</v>
      </c>
      <c r="C19" s="4">
        <v>0</v>
      </c>
      <c r="D19" s="5" t="s">
        <v>26</v>
      </c>
      <c r="G19" s="4">
        <v>600</v>
      </c>
      <c r="H19" s="4">
        <v>2</v>
      </c>
      <c r="K19" s="4">
        <v>89.4</v>
      </c>
      <c r="L19" s="30"/>
      <c r="M19" s="30">
        <f>[1]!crv_intersection($AY$36:$AY$51,$AX$36:$AX$51,$BB$36:$BB$48,$AX$36:$AX$48)</f>
        <v>89.778146502765537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55" ht="15.75" x14ac:dyDescent="0.3">
      <c r="B20" s="7" t="s">
        <v>28</v>
      </c>
      <c r="C20" s="4">
        <v>2000</v>
      </c>
      <c r="D20" s="5" t="s">
        <v>26</v>
      </c>
      <c r="G20" s="4">
        <v>1050</v>
      </c>
      <c r="H20" s="4">
        <v>3</v>
      </c>
      <c r="K20" s="4">
        <v>75</v>
      </c>
      <c r="L20" s="33"/>
      <c r="M20" s="30">
        <f>[1]!crv_intersection($AY$36:$AY$51,$AX$36:$AX$51,$BD$36:$BD$48,$AX$36:$AX$48)</f>
        <v>88.546244262889218</v>
      </c>
      <c r="N20" s="30"/>
      <c r="O20" s="30"/>
      <c r="P20" s="30"/>
      <c r="Q20" s="30"/>
      <c r="R20" s="34"/>
      <c r="S20" s="34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55" x14ac:dyDescent="0.25">
      <c r="B21" s="9" t="s">
        <v>29</v>
      </c>
      <c r="C21" s="4">
        <v>90</v>
      </c>
      <c r="D21" s="5" t="s">
        <v>30</v>
      </c>
      <c r="G21" s="4">
        <v>1350</v>
      </c>
      <c r="H21" s="4">
        <v>5</v>
      </c>
      <c r="K21" s="4">
        <v>5</v>
      </c>
      <c r="L21" s="30"/>
      <c r="M21" s="30">
        <f>[1]!crv_intersection($AY$36:$AY$51,$AX$36:$AX$51,$BF$36:$BF$51,$AX$36:$AX$51)</f>
        <v>79.399235973854815</v>
      </c>
      <c r="N21" s="30"/>
      <c r="O21" s="30"/>
      <c r="P21" s="30"/>
      <c r="Q21" s="30"/>
      <c r="R21" s="34"/>
      <c r="S21" s="34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55" ht="15.75" x14ac:dyDescent="0.3">
      <c r="B22" s="7" t="s">
        <v>31</v>
      </c>
      <c r="C22" s="4">
        <v>125</v>
      </c>
      <c r="D22" s="5" t="s">
        <v>32</v>
      </c>
      <c r="G22" s="4"/>
      <c r="H22" s="4"/>
      <c r="K22" s="4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55" ht="15.75" x14ac:dyDescent="0.3">
      <c r="B23" s="7" t="s">
        <v>33</v>
      </c>
      <c r="C23" s="4">
        <v>73</v>
      </c>
      <c r="D23" s="5" t="s">
        <v>32</v>
      </c>
      <c r="G23" s="4"/>
      <c r="H23" s="4"/>
      <c r="K23" s="4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55" ht="15.75" x14ac:dyDescent="0.3">
      <c r="B24" s="7" t="s">
        <v>34</v>
      </c>
      <c r="C24" s="4">
        <v>62</v>
      </c>
      <c r="D24" s="5" t="s">
        <v>32</v>
      </c>
      <c r="G24" s="4"/>
      <c r="H24" s="4"/>
      <c r="K24" s="4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BB24" t="e">
        <f>GLV_</f>
        <v>#NAME?</v>
      </c>
    </row>
    <row r="25" spans="2:55" ht="15.75" x14ac:dyDescent="0.3">
      <c r="B25" s="7" t="s">
        <v>35</v>
      </c>
      <c r="C25" s="4">
        <v>20</v>
      </c>
      <c r="D25" s="5" t="s">
        <v>36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55" ht="15.75" x14ac:dyDescent="0.3">
      <c r="B26" s="7" t="s">
        <v>37</v>
      </c>
      <c r="C26" s="76">
        <v>89.8</v>
      </c>
      <c r="D26" s="5" t="s">
        <v>36</v>
      </c>
      <c r="J26" s="67" t="s">
        <v>80</v>
      </c>
      <c r="K26" s="68">
        <f>BB54</f>
        <v>89.779554615101262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55" ht="15.75" x14ac:dyDescent="0.3">
      <c r="B27" s="7" t="s">
        <v>38</v>
      </c>
      <c r="C27" s="4">
        <v>100</v>
      </c>
      <c r="D27" s="5" t="s">
        <v>36</v>
      </c>
      <c r="J27" s="67" t="s">
        <v>87</v>
      </c>
      <c r="K27" s="68">
        <f>BD54</f>
        <v>88.573828161588253</v>
      </c>
    </row>
    <row r="28" spans="2:55" ht="16.5" thickBot="1" x14ac:dyDescent="0.35">
      <c r="B28" s="7" t="s">
        <v>39</v>
      </c>
      <c r="C28" s="6">
        <f>Tres</f>
        <v>80</v>
      </c>
      <c r="D28" s="5" t="s">
        <v>40</v>
      </c>
      <c r="J28" s="67" t="s">
        <v>88</v>
      </c>
      <c r="K28" s="68">
        <f>BF56</f>
        <v>79.395555060937255</v>
      </c>
    </row>
    <row r="29" spans="2:55" ht="15.75" x14ac:dyDescent="0.3">
      <c r="B29" s="7" t="s">
        <v>41</v>
      </c>
      <c r="C29" s="4">
        <v>20.2</v>
      </c>
      <c r="D29" s="5" t="s">
        <v>40</v>
      </c>
      <c r="P29" s="22" t="s">
        <v>54</v>
      </c>
      <c r="Q29" s="23"/>
      <c r="R29" s="23"/>
      <c r="S29" s="23"/>
      <c r="T29" s="23"/>
      <c r="U29" s="23"/>
      <c r="V29" s="23"/>
      <c r="W29" s="23"/>
      <c r="X29" s="23"/>
      <c r="Y29" s="23"/>
      <c r="Z29" s="24"/>
      <c r="AA29" s="22" t="s">
        <v>72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4"/>
      <c r="AL29" s="22" t="s">
        <v>84</v>
      </c>
      <c r="AM29" s="23"/>
      <c r="AN29" s="23"/>
      <c r="AO29" s="23"/>
      <c r="AP29" s="23"/>
      <c r="AQ29" s="23"/>
      <c r="AR29" s="23"/>
      <c r="AS29" s="23"/>
      <c r="AT29" s="23"/>
      <c r="AU29" s="23"/>
      <c r="AV29" s="24"/>
      <c r="AX29" s="70" t="s">
        <v>78</v>
      </c>
      <c r="AY29" s="71">
        <v>90</v>
      </c>
    </row>
    <row r="30" spans="2:55" ht="15.75" thickBot="1" x14ac:dyDescent="0.3">
      <c r="G30" t="s">
        <v>74</v>
      </c>
      <c r="O30" t="s">
        <v>55</v>
      </c>
      <c r="P30" s="25"/>
      <c r="Q30" s="18"/>
      <c r="R30" s="18" t="s">
        <v>58</v>
      </c>
      <c r="S30" s="18"/>
      <c r="T30" s="18"/>
      <c r="U30" s="18"/>
      <c r="V30" s="18"/>
      <c r="W30" s="18"/>
      <c r="X30" s="18"/>
      <c r="Y30" s="18"/>
      <c r="Z30" s="26"/>
      <c r="AA30" s="25"/>
      <c r="AB30" s="18"/>
      <c r="AC30" s="18" t="s">
        <v>58</v>
      </c>
      <c r="AD30" s="18"/>
      <c r="AE30" s="18"/>
      <c r="AF30" s="18"/>
      <c r="AG30" s="18"/>
      <c r="AH30" s="18"/>
      <c r="AI30" s="18"/>
      <c r="AJ30" s="18"/>
      <c r="AK30" s="26"/>
      <c r="AL30" s="25"/>
      <c r="AM30" s="18"/>
      <c r="AN30" s="18" t="s">
        <v>58</v>
      </c>
      <c r="AO30" s="18"/>
      <c r="AP30" s="18"/>
      <c r="AQ30" s="18"/>
      <c r="AR30" s="18"/>
      <c r="AS30" s="18"/>
      <c r="AT30" s="18"/>
      <c r="AU30" s="18"/>
      <c r="AV30" s="26"/>
      <c r="AX30" s="72" t="s">
        <v>76</v>
      </c>
      <c r="AY30" s="73">
        <v>6</v>
      </c>
    </row>
    <row r="31" spans="2:55" ht="15.75" thickBot="1" x14ac:dyDescent="0.3">
      <c r="B31" s="13" t="s">
        <v>46</v>
      </c>
      <c r="C31" s="14">
        <v>100</v>
      </c>
      <c r="G31">
        <v>1</v>
      </c>
      <c r="P31" s="25" t="s">
        <v>56</v>
      </c>
      <c r="Q31" s="18" t="s">
        <v>57</v>
      </c>
      <c r="R31" s="18" t="s">
        <v>60</v>
      </c>
      <c r="S31" s="18" t="s">
        <v>61</v>
      </c>
      <c r="T31" s="18" t="s">
        <v>62</v>
      </c>
      <c r="U31" s="18" t="s">
        <v>59</v>
      </c>
      <c r="V31" s="18" t="s">
        <v>68</v>
      </c>
      <c r="W31" s="18" t="s">
        <v>69</v>
      </c>
      <c r="X31" s="18" t="s">
        <v>70</v>
      </c>
      <c r="Y31" s="18" t="s">
        <v>63</v>
      </c>
      <c r="Z31" s="26" t="s">
        <v>71</v>
      </c>
      <c r="AA31" s="25" t="s">
        <v>56</v>
      </c>
      <c r="AB31" s="18" t="s">
        <v>57</v>
      </c>
      <c r="AC31" s="18" t="s">
        <v>60</v>
      </c>
      <c r="AD31" s="18" t="s">
        <v>61</v>
      </c>
      <c r="AE31" s="18" t="s">
        <v>62</v>
      </c>
      <c r="AF31" s="18" t="s">
        <v>59</v>
      </c>
      <c r="AG31" s="18" t="s">
        <v>68</v>
      </c>
      <c r="AH31" s="18" t="s">
        <v>69</v>
      </c>
      <c r="AI31" s="18" t="s">
        <v>70</v>
      </c>
      <c r="AJ31" s="18" t="s">
        <v>63</v>
      </c>
      <c r="AK31" s="26" t="s">
        <v>71</v>
      </c>
      <c r="AL31" s="25" t="s">
        <v>56</v>
      </c>
      <c r="AM31" s="18" t="s">
        <v>57</v>
      </c>
      <c r="AN31" s="18" t="s">
        <v>60</v>
      </c>
      <c r="AO31" s="18" t="s">
        <v>61</v>
      </c>
      <c r="AP31" s="18" t="s">
        <v>62</v>
      </c>
      <c r="AQ31" s="18" t="s">
        <v>59</v>
      </c>
      <c r="AR31" s="18" t="s">
        <v>68</v>
      </c>
      <c r="AS31" s="18" t="s">
        <v>69</v>
      </c>
      <c r="AT31" s="18" t="s">
        <v>70</v>
      </c>
      <c r="AU31" s="18" t="s">
        <v>63</v>
      </c>
      <c r="AV31" s="26" t="s">
        <v>71</v>
      </c>
      <c r="AX31" s="77" t="s">
        <v>94</v>
      </c>
      <c r="AY31" s="77">
        <f t="array" ref="AY31:BC32">[1]!GLV_p_atma($AY$30,$AY$29,AX47,γg,Tbuf,1)</f>
        <v>86.970250927747031</v>
      </c>
      <c r="AZ31">
        <v>39444.615521018823</v>
      </c>
      <c r="BA31">
        <v>48.953433380878991</v>
      </c>
      <c r="BB31" t="b">
        <v>0</v>
      </c>
      <c r="BC31" t="e">
        <v>#N/A</v>
      </c>
    </row>
    <row r="32" spans="2:55" x14ac:dyDescent="0.25">
      <c r="B32" s="13" t="s">
        <v>47</v>
      </c>
      <c r="C32" s="14">
        <v>0</v>
      </c>
      <c r="G32" t="s">
        <v>53</v>
      </c>
      <c r="I32" t="s">
        <v>53</v>
      </c>
      <c r="N32" t="s">
        <v>65</v>
      </c>
      <c r="O32" s="21">
        <v>1</v>
      </c>
      <c r="P32" s="41">
        <f>[1]!crv_solve(E36:E55,C36:C55,G19)</f>
        <v>93.955449099734324</v>
      </c>
      <c r="Q32" s="42">
        <f>[1]!crv_solve(D36:D55,C36:C55,G19)</f>
        <v>78.027989405137617</v>
      </c>
      <c r="R32" s="43">
        <f t="array" ref="R32:T32">[1]!GLV_q_gas_sm3day(H19,P32,Q32,γg,Tbuf)</f>
        <v>3577.7009917825453</v>
      </c>
      <c r="S32" s="43">
        <v>51.104909091937905</v>
      </c>
      <c r="T32" s="43" t="b">
        <v>0</v>
      </c>
      <c r="U32" s="43">
        <f>[1]!GLV_q_gas_sm3day(H19,P32,S32,γg,Tbuf)</f>
        <v>4575.3537849921913</v>
      </c>
      <c r="V32" s="44">
        <f>[1]!GLV_p_close_atma(K19,Tbuf)</f>
        <v>91.146277295125785</v>
      </c>
      <c r="W32" s="44">
        <f>[1]!GLV_IPO_p_open(K19,1,Tbuf,,H19)</f>
        <v>92.686612383162924</v>
      </c>
      <c r="X32" s="44">
        <f>[1]!GLV_IPO_p_open(K19,Q32,Tbuf,,H19)</f>
        <v>91.370430302196368</v>
      </c>
      <c r="Y32" s="43" t="str">
        <f t="shared" ref="Y32:Y37" si="0">IF(W32&lt;P32,"да","нет")</f>
        <v>да</v>
      </c>
      <c r="Z32" s="52" t="str">
        <f t="shared" ref="Z32:Z37" si="1">IF(P32&gt;X32,"да","нет")</f>
        <v>да</v>
      </c>
      <c r="AA32" s="56"/>
      <c r="AB32" s="42"/>
      <c r="AC32" s="43"/>
      <c r="AD32" s="43"/>
      <c r="AE32" s="43"/>
      <c r="AF32" s="57"/>
      <c r="AG32" s="58"/>
      <c r="AH32" s="58"/>
      <c r="AI32" s="58"/>
      <c r="AJ32" s="43"/>
      <c r="AK32" s="52"/>
      <c r="AL32" s="56"/>
      <c r="AM32" s="42"/>
      <c r="AN32" s="43"/>
      <c r="AO32" s="43"/>
      <c r="AP32" s="43"/>
      <c r="AQ32" s="57"/>
      <c r="AR32" s="58"/>
      <c r="AS32" s="58"/>
      <c r="AT32" s="58"/>
      <c r="AU32" s="43"/>
      <c r="AV32" s="45"/>
      <c r="AX32" s="77"/>
      <c r="AY32" s="77" t="str">
        <v>p</v>
      </c>
      <c r="AZ32" t="str">
        <v>Qmax_m3day</v>
      </c>
      <c r="BA32" t="str">
        <v>Pcrit</v>
      </c>
      <c r="BB32" t="str">
        <v>critical flow</v>
      </c>
      <c r="BC32" t="e">
        <v>#N/A</v>
      </c>
    </row>
    <row r="33" spans="3:59" x14ac:dyDescent="0.25">
      <c r="G33" s="74">
        <v>88.6</v>
      </c>
      <c r="I33">
        <v>79.400000000000006</v>
      </c>
      <c r="N33" t="s">
        <v>66</v>
      </c>
      <c r="O33" s="21">
        <v>2</v>
      </c>
      <c r="P33" s="46">
        <f>[1]!crv_solve(E$36:$E$55,$C$36:$C$55,$G$19)</f>
        <v>93.955449099734324</v>
      </c>
      <c r="Q33" s="38">
        <f>[1]!crv_solve($F$36:$F$55,$C$36:$C$55,$G$19)</f>
        <v>32.322112892421472</v>
      </c>
      <c r="R33" s="39">
        <f t="array" ref="R33:T33">[1]!GLV_q_gas_sm3day(H19,P33,Q33,γg,Tbuf)</f>
        <v>4575.3537849921913</v>
      </c>
      <c r="S33" s="39">
        <v>51.104909091937905</v>
      </c>
      <c r="T33" s="39" t="b">
        <v>1</v>
      </c>
      <c r="U33" s="39">
        <f>[1]!GLV_q_gas_sm3day(H19,P33,S33,γg,Tbuf)</f>
        <v>4575.3537849921913</v>
      </c>
      <c r="V33" s="40">
        <f>[1]!GLV_p_close_atma($K$19,Tbuf)</f>
        <v>91.146277295125785</v>
      </c>
      <c r="W33" s="40">
        <f>[1]!GLV_IPO_p_open($K$19,1,Tbuf,,$H$19)</f>
        <v>92.686612383162924</v>
      </c>
      <c r="X33" s="40">
        <f>[1]!GLV_IPO_p_open($K$19,Q33,Tbuf,,$H$19)</f>
        <v>92.151409477759458</v>
      </c>
      <c r="Y33" s="39" t="str">
        <f t="shared" si="0"/>
        <v>да</v>
      </c>
      <c r="Z33" s="53" t="str">
        <f t="shared" si="1"/>
        <v>да</v>
      </c>
      <c r="AA33" s="59"/>
      <c r="AB33" s="39"/>
      <c r="AC33" s="39"/>
      <c r="AD33" s="39"/>
      <c r="AE33" s="39"/>
      <c r="AF33" s="55"/>
      <c r="AG33" s="55"/>
      <c r="AH33" s="55"/>
      <c r="AI33" s="55"/>
      <c r="AJ33" s="39"/>
      <c r="AK33" s="53"/>
      <c r="AL33" s="59"/>
      <c r="AM33" s="39"/>
      <c r="AN33" s="39"/>
      <c r="AO33" s="39"/>
      <c r="AP33" s="39"/>
      <c r="AQ33" s="55"/>
      <c r="AR33" s="55"/>
      <c r="AS33" s="55"/>
      <c r="AT33" s="55"/>
      <c r="AU33" s="39"/>
      <c r="AV33" s="47"/>
    </row>
    <row r="34" spans="3:59" x14ac:dyDescent="0.25">
      <c r="N34" t="s">
        <v>73</v>
      </c>
      <c r="O34" s="21">
        <v>3</v>
      </c>
      <c r="P34" s="46">
        <f>[1]!crv_solve(G$36:$G$55,$C$36:$C$55,$G$19)</f>
        <v>92.700817030766871</v>
      </c>
      <c r="Q34" s="38">
        <f>[1]!crv_solve($F$36:$F$55,$C$36:$C$55,$G$19)</f>
        <v>32.322112892421472</v>
      </c>
      <c r="R34" s="39">
        <f t="array" ref="R34:T34">[1]!GLV_q_gas_sm3day(H19,P34,Q34,γg,Tbuf)</f>
        <v>4514.2568966208801</v>
      </c>
      <c r="S34" s="39">
        <v>50.422480787429983</v>
      </c>
      <c r="T34" s="39" t="b">
        <v>1</v>
      </c>
      <c r="U34" s="39">
        <f>[1]!GLV_q_gas_sm3day(H20,P34,S34,γg,Tbuf)</f>
        <v>10157.07801739698</v>
      </c>
      <c r="V34" s="40">
        <f>[1]!GLV_p_close_atma($K$19,Tbuf)</f>
        <v>91.146277295125785</v>
      </c>
      <c r="W34" s="40">
        <f>[1]!GLV_IPO_p_open($K$19,1,Tbuf,,$H$19)</f>
        <v>92.686612383162924</v>
      </c>
      <c r="X34" s="40">
        <f>[1]!GLV_IPO_p_open($K$19,Q34,Tbuf,,$H$19)</f>
        <v>92.151409477759458</v>
      </c>
      <c r="Y34" s="39" t="str">
        <f t="shared" si="0"/>
        <v>да</v>
      </c>
      <c r="Z34" s="53" t="str">
        <f t="shared" si="1"/>
        <v>да</v>
      </c>
      <c r="AA34" s="60">
        <f>[1]!crv_solve($G$36:$G$55,$C$36:$C$55,$G$20)</f>
        <v>95.898253727201123</v>
      </c>
      <c r="AB34" s="38">
        <f>[1]!crv_solve($F$36:$F$55,$C$36:$C$55,$G$20)</f>
        <v>75.845590434921149</v>
      </c>
      <c r="AC34" s="39">
        <f t="array" ref="AC34:AE34">[1]!GLV_q_gas_sm3day(H20,AA34,AB34,γg,Tbuf)</f>
        <v>8870.0498485719709</v>
      </c>
      <c r="AD34" s="39">
        <v>52.16165305752412</v>
      </c>
      <c r="AE34" s="39" t="b">
        <v>0</v>
      </c>
      <c r="AF34" s="39">
        <f>[1]!GLV_q_gas_sm3day(H20,AA34,AD34,γg,Tbuf)</f>
        <v>10507.415965018219</v>
      </c>
      <c r="AG34" s="40">
        <f>[1]!GLV_p_close_atma($K$20,Tbuf)</f>
        <v>76.422388020017479</v>
      </c>
      <c r="AH34" s="40">
        <f>[1]!GLV_IPO_p_open($K$20,1,Tbuf,,$H$20)</f>
        <v>91.624677705037527</v>
      </c>
      <c r="AI34" s="40">
        <f>[1]!GLV_IPO_p_open($K$20,AB34,Tbuf,,$H$20)</f>
        <v>76.538648512537648</v>
      </c>
      <c r="AJ34" s="39" t="str">
        <f>IF(AH34&lt;AA34,"да","нет")</f>
        <v>да</v>
      </c>
      <c r="AK34" s="53" t="str">
        <f>IF(AA34&gt;AI34,"да","нет")</f>
        <v>да</v>
      </c>
      <c r="AL34" s="59"/>
      <c r="AM34" s="39"/>
      <c r="AN34" s="39"/>
      <c r="AO34" s="39"/>
      <c r="AP34" s="39"/>
      <c r="AQ34" s="39"/>
      <c r="AR34" s="55"/>
      <c r="AS34" s="55"/>
      <c r="AT34" s="55"/>
      <c r="AU34" s="39"/>
      <c r="AV34" s="47"/>
      <c r="AY34" t="s">
        <v>79</v>
      </c>
    </row>
    <row r="35" spans="3:59" x14ac:dyDescent="0.25">
      <c r="C35" s="16" t="s">
        <v>48</v>
      </c>
      <c r="D35" s="16" t="s">
        <v>49</v>
      </c>
      <c r="E35" s="16" t="s">
        <v>50</v>
      </c>
      <c r="F35" s="16" t="s">
        <v>64</v>
      </c>
      <c r="G35" s="16" t="s">
        <v>67</v>
      </c>
      <c r="H35" s="16" t="s">
        <v>81</v>
      </c>
      <c r="I35" s="16" t="s">
        <v>85</v>
      </c>
      <c r="J35" s="16" t="s">
        <v>86</v>
      </c>
      <c r="K35" s="16"/>
      <c r="L35" s="16"/>
      <c r="N35" t="s">
        <v>82</v>
      </c>
      <c r="O35" s="21">
        <v>4</v>
      </c>
      <c r="P35" s="46">
        <f>[1]!crv_solve(G$36:$G$55,$C$36:$C$55,$G$19)</f>
        <v>92.700817030766871</v>
      </c>
      <c r="Q35" s="38">
        <f>[1]!crv_solve($F$36:$F$55,$C$36:$C$55,$G$19)</f>
        <v>32.322112892421472</v>
      </c>
      <c r="R35" s="39">
        <f t="array" ref="R35:T35">[1]!GLV_q_gas_sm3day(H20,P35,Q35,γg,Tbuf)</f>
        <v>10157.07801739698</v>
      </c>
      <c r="S35" s="39">
        <v>50.422480787429983</v>
      </c>
      <c r="T35" s="39" t="b">
        <v>1</v>
      </c>
      <c r="U35" s="39">
        <f>[1]!GLV_q_gas_sm3day($H$19,P35,S35,γg,Tbuf)</f>
        <v>4514.2568966208801</v>
      </c>
      <c r="V35" s="40">
        <f>[1]!GLV_p_close_atma($K$19,Tbuf)</f>
        <v>91.146277295125785</v>
      </c>
      <c r="W35" s="40">
        <f>[1]!GLV_IPO_p_open($K$19,1,Tbuf,,$H$19)</f>
        <v>92.686612383162924</v>
      </c>
      <c r="X35" s="40">
        <f>[1]!GLV_IPO_p_open($K$19,Q35,Tbuf,,$H$19)</f>
        <v>92.151409477759458</v>
      </c>
      <c r="Y35" s="39" t="str">
        <f t="shared" si="0"/>
        <v>да</v>
      </c>
      <c r="Z35" s="53" t="str">
        <f t="shared" si="1"/>
        <v>да</v>
      </c>
      <c r="AA35" s="60">
        <f>[1]!crv_solve($G$36:$G$55,$C$36:$C$55,$G$20)</f>
        <v>95.898253727201123</v>
      </c>
      <c r="AB35" s="38">
        <f>[1]!crv_solve($H$36:$H$55,$C$36:$C$55,$G$20)</f>
        <v>32.149410695198874</v>
      </c>
      <c r="AC35" s="39">
        <f t="array" ref="AC35:AE35">[1]!GLV_q_gas_sm3day(H20,AA35,AB35,γg,Tbuf)</f>
        <v>10507.415965018219</v>
      </c>
      <c r="AD35" s="39">
        <v>52.16165305752412</v>
      </c>
      <c r="AE35" s="39" t="b">
        <v>1</v>
      </c>
      <c r="AF35" s="39">
        <f>[1]!GLV_q_gas_sm3day(H20,AA35,AD35,γg,Tbuf)</f>
        <v>10507.415965018219</v>
      </c>
      <c r="AG35" s="40">
        <f>[1]!GLV_p_close_atma($K$20,Tbuf)</f>
        <v>76.422388020017479</v>
      </c>
      <c r="AH35" s="40">
        <f>[1]!GLV_IPO_p_open($K$20,1,Tbuf,,$H$20)</f>
        <v>91.624677705037527</v>
      </c>
      <c r="AI35" s="40">
        <f>[1]!GLV_IPO_p_open($K$20,AB35,Tbuf,,$H$20)</f>
        <v>85.346139232079139</v>
      </c>
      <c r="AJ35" s="39" t="str">
        <f>IF(AH35&lt;AA35,"да","нет")</f>
        <v>да</v>
      </c>
      <c r="AK35" s="53" t="str">
        <f>IF(AA35&gt;AI35,"да","нет")</f>
        <v>да</v>
      </c>
      <c r="AL35" s="59"/>
      <c r="AM35" s="39"/>
      <c r="AN35" s="39"/>
      <c r="AO35" s="39"/>
      <c r="AP35" s="39"/>
      <c r="AQ35" s="39"/>
      <c r="AR35" s="55"/>
      <c r="AS35" s="55"/>
      <c r="AT35" s="55"/>
      <c r="AU35" s="39"/>
      <c r="AV35" s="47"/>
      <c r="AW35" s="17" t="s">
        <v>75</v>
      </c>
      <c r="AX35" s="17" t="s">
        <v>75</v>
      </c>
      <c r="AY35" s="17" t="s">
        <v>77</v>
      </c>
      <c r="AZ35" s="17"/>
      <c r="BA35" s="17" t="s">
        <v>80</v>
      </c>
      <c r="BB35" s="17" t="s">
        <v>89</v>
      </c>
      <c r="BC35" s="17" t="s">
        <v>87</v>
      </c>
      <c r="BD35" s="17" t="s">
        <v>90</v>
      </c>
      <c r="BE35" s="17" t="s">
        <v>88</v>
      </c>
      <c r="BF35" s="17" t="s">
        <v>91</v>
      </c>
    </row>
    <row r="36" spans="3:59" x14ac:dyDescent="0.25">
      <c r="C36" s="15">
        <v>0</v>
      </c>
      <c r="D36" s="17">
        <f>[1]!MF_p_pipe_atma(0,100,C36,Pbuf,0,$J$7,90,IDtub,1,Tbuf,Tbuf)</f>
        <v>20</v>
      </c>
      <c r="E36" s="17">
        <f>[1]!MF_p_pipe_atma(0,0,C36,Pcas,0,$J$8,90,IDtub,1,Tbuf,Tbuf)</f>
        <v>89.8</v>
      </c>
      <c r="F36" s="20">
        <f>[1]!MF_p_pipe_atma($G$31,100,C36,Pbuf,0,$J$7,90,IDtub,1,Tbuf,Tbuf,,,,$U$32)</f>
        <v>20</v>
      </c>
      <c r="G36" s="15">
        <f>[1]!MF_p_pipe_atma(0,0,C36,$G$33,0,$J$8,90,IDtub,1,Tbuf,Tbuf)</f>
        <v>88.6</v>
      </c>
      <c r="H36" s="20">
        <f>[1]!MF_p_pipe_atma($G$31,100,C36,Pbuf,0,$J$7,90,IDtub,1,Tbuf,Tbuf,,,,$AF$34)</f>
        <v>20</v>
      </c>
      <c r="I36" s="15">
        <f>[1]!MF_p_pipe_atma(0,0,C36,$I$33,0,$J$8,90,IDtub,1,Tbuf,Tbuf)</f>
        <v>79.400000000000006</v>
      </c>
      <c r="J36" s="20">
        <f>[1]!MF_p_pipe_atma($G$31,0,C36,Pbuf,0,$J$7,90,IDtub,1,Tbuf,Tbuf,,,,$AQ$36)</f>
        <v>20</v>
      </c>
      <c r="K36" s="15"/>
      <c r="L36" s="15"/>
      <c r="N36" t="s">
        <v>83</v>
      </c>
      <c r="O36" s="21">
        <v>5</v>
      </c>
      <c r="P36" s="46">
        <f>[1]!crv_solve(I$36:$I$55,$C$36:$C$55,$G$19)</f>
        <v>83.078373034582754</v>
      </c>
      <c r="Q36" s="38">
        <f>[1]!crv_solve($H$36:$H$55,$C$36:$C$55,$G$19)</f>
        <v>26.35598227870436</v>
      </c>
      <c r="R36" s="39">
        <f t="array" ref="R36:T36">[1]!GLV_q_gas_sm3day($H$19,P36,Q36,γg,Tbuf)</f>
        <v>4045.6722005690062</v>
      </c>
      <c r="S36" s="39">
        <v>45.18857333044734</v>
      </c>
      <c r="T36" s="39" t="b">
        <v>1</v>
      </c>
      <c r="U36" s="39">
        <f>[1]!GLV_q_gas_sm3day($H$19,P36,S36,γg,Tbuf)</f>
        <v>4045.6722005690062</v>
      </c>
      <c r="V36" s="40">
        <f>[1]!GLV_p_close_atma($K$19,Tbuf)</f>
        <v>91.146277295125785</v>
      </c>
      <c r="W36" s="40">
        <f>[1]!GLV_IPO_p_open($K$19,1,Tbuf,,$H$19)</f>
        <v>92.686612383162924</v>
      </c>
      <c r="X36" s="40">
        <f>[1]!GLV_IPO_p_open($K$19,Q36,Tbuf,,$H$19)</f>
        <v>92.25335312534942</v>
      </c>
      <c r="Y36" s="39" t="str">
        <f t="shared" si="0"/>
        <v>нет</v>
      </c>
      <c r="Z36" s="53" t="str">
        <f t="shared" si="1"/>
        <v>нет</v>
      </c>
      <c r="AA36" s="60">
        <f>[1]!crv_solve($I$36:$I$55,$C$36:$C$55,$G$20)</f>
        <v>85.948105614206099</v>
      </c>
      <c r="AB36" s="38">
        <f>[1]!crv_solve($H$36:$H$55,$C$36:$C$55,$G$20)</f>
        <v>32.149410695198874</v>
      </c>
      <c r="AC36" s="39">
        <f t="array" ref="AC36:AE36">[1]!GLV_q_gas_sm3day($H$20,AA36,AB36,γg,Tbuf)</f>
        <v>9417.1943908674421</v>
      </c>
      <c r="AD36" s="39">
        <v>46.749498471086554</v>
      </c>
      <c r="AE36" s="39" t="b">
        <v>1</v>
      </c>
      <c r="AF36" s="39">
        <f>[1]!GLV_q_gas_sm3day(H20,AA36,AD36,γg,Tbuf)</f>
        <v>9417.1943908674421</v>
      </c>
      <c r="AG36" s="40">
        <f>[1]!GLV_p_close_atma($K$20,Tbuf)</f>
        <v>76.422388020017479</v>
      </c>
      <c r="AH36" s="40">
        <f>[1]!GLV_IPO_p_open($K$20,1,Tbuf,,$H$20)</f>
        <v>91.624677705037527</v>
      </c>
      <c r="AI36" s="40">
        <f>[1]!GLV_IPO_p_open($K$20,AB36,Tbuf,,$H$20)</f>
        <v>85.346139232079139</v>
      </c>
      <c r="AJ36" s="39" t="str">
        <f>IF(AH36&lt;AA36,"да","нет")</f>
        <v>нет</v>
      </c>
      <c r="AK36" s="53" t="str">
        <f>IF(AA36&gt;AI36,"да","нет")</f>
        <v>да</v>
      </c>
      <c r="AL36" s="60">
        <f>[1]!crv_solve($I$36:$I$55,$C$36:$C$55,$G$21)</f>
        <v>87.915681705798633</v>
      </c>
      <c r="AM36" s="38">
        <f>[1]!crv_solve($H$36:$H$55,$C$36:$C$55,$G$21)</f>
        <v>61.162263165299734</v>
      </c>
      <c r="AN36" s="39">
        <f t="array" ref="AN36:AP36">[1]!GLV_q_gas_sm3day($H$21,AL36,AM36,γg,Tbuf)</f>
        <v>25281.968066739748</v>
      </c>
      <c r="AO36" s="39">
        <v>47.819716305770839</v>
      </c>
      <c r="AP36" s="39" t="b">
        <v>0</v>
      </c>
      <c r="AQ36" s="39">
        <f>[1]!GLV_q_gas_sm3day($H$21,AL36,AO36,γg,Tbuf)</f>
        <v>26757.718079888091</v>
      </c>
      <c r="AR36" s="40">
        <f>[1]!GLV_p_close_atma($K$21,Tbuf)</f>
        <v>5.0804935963630848</v>
      </c>
      <c r="AS36" s="40">
        <f>[1]!GLV_IPO_p_open($K$21,1,Tbuf,,$H$21)</f>
        <v>5.5016201625716636</v>
      </c>
      <c r="AT36" s="40">
        <f>[1]!GLV_IPO_p_open($K$21,AM36,Tbuf,,$H$21)</f>
        <v>-0.70741477494699745</v>
      </c>
      <c r="AU36" s="39" t="str">
        <f>IF(AS36&lt;AL36,"да","нет")</f>
        <v>да</v>
      </c>
      <c r="AV36" s="47" t="str">
        <f>IF(AL36&gt;AT36,"да","нет")</f>
        <v>да</v>
      </c>
      <c r="AW36" s="74">
        <f>AX36</f>
        <v>0</v>
      </c>
      <c r="AX36" s="69">
        <v>0</v>
      </c>
      <c r="AY36" s="69">
        <f>[1]!GLV_p_atma($AY$30,$AY$29,AX36,γg,Tbuf,1)</f>
        <v>89.999999999925336</v>
      </c>
      <c r="AZ36" s="69"/>
      <c r="BA36" s="69">
        <f>[1]!GLV_p_atma($H$19,$Q$33,AX36,γg,Tbuf,0,$X$33)</f>
        <v>92.151409477759458</v>
      </c>
      <c r="BB36" s="69">
        <f>[1]!MF_p_pipe_atma(0,0,$G$19,BA36,1,$J$8,θ)</f>
        <v>88.556308130127761</v>
      </c>
      <c r="BC36" s="69">
        <f>[1]!GLV_p_atma($H$20,$AB$35,AX36,γg,Tbuf,0,$AI$35)</f>
        <v>85.346139232079139</v>
      </c>
      <c r="BD36" s="69">
        <f>[1]!MF_p_pipe_atma(0,0,$G$20,BC36,1,$J$8,0)</f>
        <v>79.590480996728914</v>
      </c>
      <c r="BE36" s="69">
        <f>[1]!GLV_p_atma($H$21,$AM$37,AX36,γg,Tbuf,0,$AT$37)</f>
        <v>29.003302302300391</v>
      </c>
      <c r="BF36" s="69">
        <f>[1]!MF_p_pipe_atma(0,0,$G$21,BE36,1,$J$8,θ)</f>
        <v>26.534320818723032</v>
      </c>
    </row>
    <row r="37" spans="3:59" ht="15.75" thickBot="1" x14ac:dyDescent="0.3">
      <c r="C37" s="15">
        <v>100</v>
      </c>
      <c r="D37" s="17">
        <f>[1]!MF_p_pipe_atma(0,100,C37,Pbuf,0,$J$7,90,IDtub,1,Tbuf,Tbuf)</f>
        <v>29.668623447233408</v>
      </c>
      <c r="E37" s="17">
        <f>[1]!MF_p_pipe_atma(0,0,C37,Pcas,0,$J$8,90,IDtub,1,Tbuf,Tbuf)</f>
        <v>90.479794364410168</v>
      </c>
      <c r="F37" s="20">
        <f>[1]!MF_p_pipe_atma($G$31,100,C37,Pbuf,0,$J$7,90,IDtub,1,Tbuf,Tbuf,,,,$U$32)</f>
        <v>21.740433485280644</v>
      </c>
      <c r="G37" s="15">
        <f>[1]!MF_p_pipe_atma(0,0,C37,$G$33,0,$J$8,90,IDtub,1,Tbuf,Tbuf)</f>
        <v>89.270831586468304</v>
      </c>
      <c r="H37" s="20">
        <f>[1]!MF_p_pipe_atma($G$31,100,C37,Pbuf,0,$J$7,90,IDtub,1,Tbuf,Tbuf,,,,$AF$34)</f>
        <v>20.961359349800688</v>
      </c>
      <c r="I37" s="15">
        <f>[1]!MF_p_pipe_atma(0,0,C37,$I$33,0,$J$8,90,IDtub,1,Tbuf,Tbuf)</f>
        <v>80.001567227457002</v>
      </c>
      <c r="J37" s="20">
        <f>[1]!MF_p_pipe_atma($G$31,0,C37,Pbuf,0,$J$7,90,IDtub,1,Tbuf,Tbuf,,,,$AQ$36)</f>
        <v>20.615718896998697</v>
      </c>
      <c r="K37" s="15"/>
      <c r="L37" s="15"/>
      <c r="O37" s="21">
        <v>6</v>
      </c>
      <c r="P37" s="48">
        <f>[1]!crv_solve(I$36:$I$55,$C$36:$C$55,$G$19)</f>
        <v>83.078373034582754</v>
      </c>
      <c r="Q37" s="49">
        <f>[1]!crv_solve($J$36:$J$55,$C$36:$C$55,$G$19)</f>
        <v>23.80567332301095</v>
      </c>
      <c r="R37" s="50">
        <f t="array" ref="R37:T37">[1]!GLV_q_gas_sm3day($H$19,P37,Q37,γg,Tbuf)</f>
        <v>4045.6722005690062</v>
      </c>
      <c r="S37" s="50">
        <v>45.18857333044734</v>
      </c>
      <c r="T37" s="50" t="b">
        <v>1</v>
      </c>
      <c r="U37" s="50">
        <f>[1]!GLV_q_gas_sm3day($H$19,P37,S37,γg,Tbuf)</f>
        <v>4045.6722005690062</v>
      </c>
      <c r="V37" s="51">
        <f>[1]!GLV_p_close_atma($K$19,Tbuf)</f>
        <v>91.146277295125785</v>
      </c>
      <c r="W37" s="51">
        <f>[1]!GLV_IPO_p_open($K$19,1,Tbuf,,$H$19)</f>
        <v>92.686612383162924</v>
      </c>
      <c r="X37" s="51">
        <f>[1]!GLV_IPO_p_open($K$19,Q37,Tbuf,,$H$19)</f>
        <v>92.296930414258753</v>
      </c>
      <c r="Y37" s="50" t="str">
        <f t="shared" si="0"/>
        <v>нет</v>
      </c>
      <c r="Z37" s="54" t="str">
        <f t="shared" si="1"/>
        <v>нет</v>
      </c>
      <c r="AA37" s="61">
        <f>[1]!crv_solve($I$36:$I$55,$C$36:$C$55,$G$20)</f>
        <v>85.948105614206099</v>
      </c>
      <c r="AB37" s="49">
        <f>[1]!crv_solve($J$36:$J$55,$C$36:$C$55,$G$20)</f>
        <v>26.858592035876775</v>
      </c>
      <c r="AC37" s="50">
        <f t="array" ref="AC37:AE37">[1]!GLV_q_gas_sm3day($H$20,AA37,AB37,γg,Tbuf)</f>
        <v>9417.1943908674421</v>
      </c>
      <c r="AD37" s="50">
        <v>46.749498471086554</v>
      </c>
      <c r="AE37" s="50" t="b">
        <v>1</v>
      </c>
      <c r="AF37" s="50">
        <f>[1]!GLV_q_gas_sm3day(H20,AA37,AD37,γg,Tbuf)</f>
        <v>9417.1943908674421</v>
      </c>
      <c r="AG37" s="51">
        <f>[1]!GLV_p_close_atma($K$20,Tbuf)</f>
        <v>76.422388020017479</v>
      </c>
      <c r="AH37" s="51">
        <f>[1]!GLV_IPO_p_open($K$20,1,Tbuf,,$H$20)</f>
        <v>91.624677705037527</v>
      </c>
      <c r="AI37" s="51">
        <f>[1]!GLV_IPO_p_open($K$20,AB37,Tbuf,,$H$20)</f>
        <v>86.412567384799218</v>
      </c>
      <c r="AJ37" s="50" t="str">
        <f>IF(AH37&lt;AA37,"да","нет")</f>
        <v>нет</v>
      </c>
      <c r="AK37" s="54" t="str">
        <f>IF(AA37&gt;AI37,"да","нет")</f>
        <v>нет</v>
      </c>
      <c r="AL37" s="62">
        <f>[1]!crv_solve($I$36:$I$55,$C$36:$C$55,$G$21)</f>
        <v>87.915681705798633</v>
      </c>
      <c r="AM37" s="63">
        <f>[1]!crv_solve($J$36:$J$55,$C$36:$C$55,$G$21)</f>
        <v>29.003302301872022</v>
      </c>
      <c r="AN37" s="64">
        <f t="array" ref="AN37:AP37">[1]!GLV_q_gas_sm3day($H$21,AL37,AM37,γg,Tbuf)</f>
        <v>26757.718079888091</v>
      </c>
      <c r="AO37" s="64">
        <v>47.819716305770839</v>
      </c>
      <c r="AP37" s="64" t="b">
        <v>1</v>
      </c>
      <c r="AQ37" s="64">
        <f>[1]!GLV_q_gas_sm3day($H$21,AL37,AO37,γg,Tbuf)</f>
        <v>26757.718079888091</v>
      </c>
      <c r="AR37" s="65">
        <f>[1]!GLV_p_close_atma($K$21,Tbuf)</f>
        <v>5.0804935963630848</v>
      </c>
      <c r="AS37" s="65">
        <f>[1]!GLV_IPO_p_open($K$21,1,Tbuf,,$H$21)</f>
        <v>5.5016201625716636</v>
      </c>
      <c r="AT37" s="65">
        <f>[1]!GLV_IPO_p_open($K$21,AM37,Tbuf,,$H$21)</f>
        <v>2.6115446698912868</v>
      </c>
      <c r="AU37" s="64" t="str">
        <f>IF(AS37&lt;AL37,"да","нет")</f>
        <v>да</v>
      </c>
      <c r="AV37" s="66" t="str">
        <f>IF(AL37&gt;AT37,"да","нет")</f>
        <v>да</v>
      </c>
      <c r="AW37" s="74">
        <f>IF(AY37&lt;0,$AZ$31,AW36+1000)</f>
        <v>1000</v>
      </c>
      <c r="AX37" s="69">
        <f>AX36+1000</f>
        <v>1000</v>
      </c>
      <c r="AY37" s="69">
        <f>[1]!GLV_p_atma($AY$30,$AY$29,AX37,γg,Tbuf,1)</f>
        <v>89.987052772608507</v>
      </c>
      <c r="AZ37" s="69"/>
      <c r="BA37" s="69">
        <f>[1]!GLV_p_atma($H$19,$Q$33,AX37,γg,Tbuf,0,$X$33)</f>
        <v>92.151409477759458</v>
      </c>
      <c r="BB37" s="69">
        <f>[1]!MF_p_pipe_atma(0,0,$G$19,BA37,1,$J$8,θ)</f>
        <v>88.556308130127761</v>
      </c>
      <c r="BC37" s="69">
        <f>[1]!GLV_p_atma($H$20,$AB$35,AX37,γg,Tbuf,0,$AI$35)</f>
        <v>85.346139232079139</v>
      </c>
      <c r="BD37" s="69">
        <f>[1]!MF_p_pipe_atma(0,0,$G$20,BC37,1,$J$8,0)</f>
        <v>79.590480996728914</v>
      </c>
      <c r="BE37" s="69">
        <f>[1]!GLV_p_atma($H$21,$AM$37,AX37,γg,Tbuf,0,$AT$37)</f>
        <v>29.086652793125502</v>
      </c>
      <c r="BF37" s="69">
        <f>[1]!MF_p_pipe_atma(0,0,$G$21,BE37,1,$J$8,θ)</f>
        <v>26.610448896805508</v>
      </c>
    </row>
    <row r="38" spans="3:59" x14ac:dyDescent="0.25">
      <c r="C38" s="15">
        <v>200</v>
      </c>
      <c r="D38" s="17">
        <f>[1]!MF_p_pipe_atma(0,100,C38,Pbuf,0,$J$7,90,IDtub,1,Tbuf,Tbuf)</f>
        <v>39.33820614314984</v>
      </c>
      <c r="E38" s="17">
        <f>[1]!MF_p_pipe_atma(0,0,C38,Pcas,0,$J$8,90,IDtub,1,Tbuf,Tbuf)</f>
        <v>91.164658242328684</v>
      </c>
      <c r="F38" s="20">
        <f>[1]!MF_p_pipe_atma($G$31,100,C38,Pbuf,0,$J$7,90,IDtub,1,Tbuf,Tbuf,,,,$U$32)</f>
        <v>23.599943585436595</v>
      </c>
      <c r="G38" s="15">
        <f>[1]!MF_p_pipe_atma(0,0,C38,$G$33,0,$J$8,90,IDtub,1,Tbuf,Tbuf)</f>
        <v>89.946675770089115</v>
      </c>
      <c r="H38" s="20">
        <f>[1]!MF_p_pipe_atma($G$31,100,C38,Pbuf,0,$J$7,90,IDtub,1,Tbuf,Tbuf,,,,$AF$34)</f>
        <v>21.960152576129239</v>
      </c>
      <c r="I38" s="15">
        <f>[1]!MF_p_pipe_atma(0,0,C38,$I$33,0,$J$8,90,IDtub,1,Tbuf,Tbuf)</f>
        <v>80.607691230137107</v>
      </c>
      <c r="J38" s="20">
        <f>[1]!MF_p_pipe_atma($G$31,0,C38,Pbuf,0,$J$7,90,IDtub,1,Tbuf,Tbuf,,,,$AQ$36)</f>
        <v>21.238424917245457</v>
      </c>
      <c r="K38" s="15"/>
      <c r="L38" s="15"/>
      <c r="O38" s="21">
        <v>7</v>
      </c>
      <c r="P38" s="25"/>
      <c r="Q38" s="18"/>
      <c r="R38" s="18"/>
      <c r="S38" s="18"/>
      <c r="T38" s="18"/>
      <c r="U38" s="18"/>
      <c r="V38" s="18"/>
      <c r="W38" s="18"/>
      <c r="X38" s="18"/>
      <c r="Y38" s="18"/>
      <c r="Z38" s="26"/>
      <c r="AA38" s="25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22"/>
      <c r="AM38" s="23"/>
      <c r="AN38" s="23"/>
      <c r="AO38" s="23"/>
      <c r="AP38" s="23"/>
      <c r="AQ38" s="23"/>
      <c r="AR38" s="23"/>
      <c r="AS38" s="23"/>
      <c r="AT38" s="23"/>
      <c r="AU38" s="23"/>
      <c r="AV38" s="24"/>
      <c r="AW38" s="74">
        <f t="shared" ref="AW38:AW46" si="2">IF(AY38&lt;0,$AZ$31,AW37+1000)</f>
        <v>2000</v>
      </c>
      <c r="AX38" s="69">
        <f t="shared" ref="AX38:AX46" si="3">AX37+1000</f>
        <v>2000</v>
      </c>
      <c r="AY38" s="69">
        <f>[1]!GLV_p_atma($AY$30,$AY$29,AX38,γg,Tbuf,1)</f>
        <v>89.948181731641682</v>
      </c>
      <c r="AZ38" s="69"/>
      <c r="BA38" s="69">
        <f>[1]!GLV_p_atma($H$19,$Q$33,AX38,γg,Tbuf,0,$X$33)</f>
        <v>92.151409477759458</v>
      </c>
      <c r="BB38" s="69">
        <f>[1]!MF_p_pipe_atma(0,0,$G$19,BA38,1,$J$8,θ)</f>
        <v>88.556308130127761</v>
      </c>
      <c r="BC38" s="69">
        <f>[1]!GLV_p_atma($H$20,$AB$35,AX38,γg,Tbuf,0,$AI$35)</f>
        <v>85.346139232079139</v>
      </c>
      <c r="BD38" s="69">
        <f>[1]!MF_p_pipe_atma(0,0,$G$20,BC38,1,$J$8,0)</f>
        <v>79.590480996728914</v>
      </c>
      <c r="BE38" s="69">
        <f>[1]!GLV_p_atma($H$21,$AM$37,AX38,γg,Tbuf,0,$AT$37)</f>
        <v>29.337097297157936</v>
      </c>
      <c r="BF38" s="69">
        <f>[1]!MF_p_pipe_atma(0,0,$G$21,BE38,1,$J$8,θ)</f>
        <v>26.839189649294479</v>
      </c>
    </row>
    <row r="39" spans="3:59" x14ac:dyDescent="0.25">
      <c r="C39" s="15">
        <v>300</v>
      </c>
      <c r="D39" s="17">
        <f>[1]!MF_p_pipe_atma(0,100,C39,Pbuf,0,$J$7,90,IDtub,1,Tbuf,Tbuf)</f>
        <v>49.008841008891551</v>
      </c>
      <c r="E39" s="17">
        <f>[1]!MF_p_pipe_atma(0,0,C39,Pcas,0,$J$8,90,IDtub,1,Tbuf,Tbuf)</f>
        <v>91.854623611929142</v>
      </c>
      <c r="F39" s="20">
        <f>[1]!MF_p_pipe_atma($G$31,100,C39,Pbuf,0,$J$7,90,IDtub,1,Tbuf,Tbuf,,,,$U$32)</f>
        <v>25.583387741310446</v>
      </c>
      <c r="G39" s="15">
        <f>[1]!MF_p_pipe_atma(0,0,C39,$G$33,0,$J$8,90,IDtub,1,Tbuf,Tbuf)</f>
        <v>90.627564442032067</v>
      </c>
      <c r="H39" s="20">
        <f>[1]!MF_p_pipe_atma($G$31,100,C39,Pbuf,0,$J$7,90,IDtub,1,Tbuf,Tbuf,,,,$AF$34)</f>
        <v>22.997683623418357</v>
      </c>
      <c r="I39" s="15">
        <f>[1]!MF_p_pipe_atma(0,0,C39,$I$33,0,$J$8,90,IDtub,1,Tbuf,Tbuf)</f>
        <v>81.218402842515886</v>
      </c>
      <c r="J39" s="20">
        <f>[1]!MF_p_pipe_atma($G$31,0,C39,Pbuf,0,$J$7,90,IDtub,1,Tbuf,Tbuf,,,,$AQ$36)</f>
        <v>21.868452802756359</v>
      </c>
      <c r="K39" s="15"/>
      <c r="L39" s="15"/>
      <c r="P39" s="25"/>
      <c r="Q39" s="18"/>
      <c r="R39" s="18"/>
      <c r="S39" s="18"/>
      <c r="T39" s="18"/>
      <c r="U39" s="18"/>
      <c r="V39" s="18"/>
      <c r="W39" s="18"/>
      <c r="X39" s="18"/>
      <c r="Y39" s="18"/>
      <c r="Z39" s="26"/>
      <c r="AA39" s="25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25"/>
      <c r="AM39" s="18"/>
      <c r="AN39" s="18"/>
      <c r="AO39" s="18"/>
      <c r="AP39" s="18"/>
      <c r="AQ39" s="18"/>
      <c r="AR39" s="18"/>
      <c r="AS39" s="18"/>
      <c r="AT39" s="18"/>
      <c r="AU39" s="18"/>
      <c r="AV39" s="26"/>
      <c r="AW39" s="74">
        <f t="shared" si="2"/>
        <v>3000</v>
      </c>
      <c r="AX39" s="69">
        <f t="shared" si="3"/>
        <v>3000</v>
      </c>
      <c r="AY39" s="69">
        <f>[1]!GLV_p_atma($AY$30,$AY$29,AX39,γg,Tbuf,1)</f>
        <v>89.883308586986928</v>
      </c>
      <c r="AZ39" s="69"/>
      <c r="BA39" s="69">
        <f>[1]!GLV_p_atma($H$19,$Q$33,AX39,γg,Tbuf,0,$X$33)</f>
        <v>92.151409477759458</v>
      </c>
      <c r="BB39" s="69">
        <f>[1]!MF_p_pipe_atma(0,0,$G$19,BA39,1,$J$8,θ)</f>
        <v>88.556308130127761</v>
      </c>
      <c r="BC39" s="69">
        <f>[1]!GLV_p_atma($H$20,$AB$35,AX39,γg,Tbuf,0,$AI$35)</f>
        <v>85.346139232079139</v>
      </c>
      <c r="BD39" s="69">
        <f>[1]!MF_p_pipe_atma(0,0,$G$20,BC39,1,$J$8,0)</f>
        <v>79.590480996728914</v>
      </c>
      <c r="BE39" s="69">
        <f>[1]!GLV_p_atma($H$21,$AM$37,AX39,γg,Tbuf,0,$AT$37)</f>
        <v>29.755899125557875</v>
      </c>
      <c r="BF39" s="69">
        <f>[1]!MF_p_pipe_atma(0,0,$G$21,BE39,1,$J$8,θ)</f>
        <v>27.221689644457872</v>
      </c>
    </row>
    <row r="40" spans="3:59" x14ac:dyDescent="0.25">
      <c r="C40" s="15">
        <v>400</v>
      </c>
      <c r="D40" s="17">
        <f>[1]!MF_p_pipe_atma(0,100,C40,Pbuf,0,$J$7,90,IDtub,1,Tbuf,Tbuf)</f>
        <v>58.680621066574481</v>
      </c>
      <c r="E40" s="17">
        <f>[1]!MF_p_pipe_atma(0,0,C40,Pcas,0,$J$8,90,IDtub,1,Tbuf,Tbuf)</f>
        <v>92.549722495798491</v>
      </c>
      <c r="F40" s="20">
        <f>[1]!MF_p_pipe_atma($G$31,100,C40,Pbuf,0,$J$7,90,IDtub,1,Tbuf,Tbuf,,,,$U$32)</f>
        <v>27.695391694274662</v>
      </c>
      <c r="G40" s="15">
        <f>[1]!MF_p_pipe_atma(0,0,C40,$G$33,0,$J$8,90,IDtub,1,Tbuf,Tbuf)</f>
        <v>91.313529543469826</v>
      </c>
      <c r="H40" s="20">
        <f>[1]!MF_p_pipe_atma($G$31,100,C40,Pbuf,0,$J$7,90,IDtub,1,Tbuf,Tbuf,,,,$AF$34)</f>
        <v>24.075272889211313</v>
      </c>
      <c r="I40" s="15">
        <f>[1]!MF_p_pipe_atma(0,0,C40,$I$33,0,$J$8,90,IDtub,1,Tbuf,Tbuf)</f>
        <v>81.833732990213846</v>
      </c>
      <c r="J40" s="20">
        <f>[1]!MF_p_pipe_atma($G$31,0,C40,Pbuf,0,$J$7,90,IDtub,1,Tbuf,Tbuf,,,,$AQ$36)</f>
        <v>22.506127338561921</v>
      </c>
      <c r="K40" s="15"/>
      <c r="L40" s="15"/>
      <c r="P40" s="25"/>
      <c r="Q40" s="18"/>
      <c r="R40" s="18"/>
      <c r="S40" s="18"/>
      <c r="T40" s="18"/>
      <c r="U40" s="18"/>
      <c r="V40" s="18"/>
      <c r="W40" s="18"/>
      <c r="X40" s="18"/>
      <c r="Y40" s="18"/>
      <c r="Z40" s="26"/>
      <c r="AA40" s="25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25"/>
      <c r="AM40" s="18"/>
      <c r="AN40" s="18"/>
      <c r="AO40" s="18"/>
      <c r="AP40" s="18"/>
      <c r="AQ40" s="18"/>
      <c r="AR40" s="18"/>
      <c r="AS40" s="18"/>
      <c r="AT40" s="18"/>
      <c r="AU40" s="18"/>
      <c r="AV40" s="26"/>
      <c r="AW40" s="74">
        <f t="shared" si="2"/>
        <v>4000</v>
      </c>
      <c r="AX40" s="69">
        <f t="shared" si="3"/>
        <v>4000</v>
      </c>
      <c r="AY40" s="69">
        <f>[1]!GLV_p_atma($AY$30,$AY$29,AX40,γg,Tbuf,1)</f>
        <v>89.792296330946868</v>
      </c>
      <c r="AZ40" s="69"/>
      <c r="BA40" s="69">
        <f>[1]!GLV_p_atma($H$19,$Q$33,AX40,γg,Tbuf,0,$X$33)</f>
        <v>92.151409477759458</v>
      </c>
      <c r="BB40" s="69">
        <f>[1]!MF_p_pipe_atma(0,0,$G$19,BA40,1,$J$8,θ)</f>
        <v>88.556308130127761</v>
      </c>
      <c r="BC40" s="69">
        <f>[1]!GLV_p_atma($H$20,$AB$35,AX40,γg,Tbuf,0,$AI$35)</f>
        <v>85.346139232079139</v>
      </c>
      <c r="BD40" s="69">
        <f>[1]!MF_p_pipe_atma(0,0,$G$20,BC40,1,$J$8,0)</f>
        <v>79.590480996728914</v>
      </c>
      <c r="BE40" s="69">
        <f>[1]!GLV_p_atma($H$21,$AM$37,AX40,γg,Tbuf,0,$AT$37)</f>
        <v>30.345107650457855</v>
      </c>
      <c r="BF40" s="69">
        <f>[1]!MF_p_pipe_atma(0,0,$G$21,BE40,1,$J$8,θ)</f>
        <v>27.759808874091853</v>
      </c>
    </row>
    <row r="41" spans="3:59" x14ac:dyDescent="0.25">
      <c r="C41" s="15">
        <v>500</v>
      </c>
      <c r="D41" s="17">
        <f>[1]!MF_p_pipe_atma(0,100,C41,Pbuf,0,$J$7,90,IDtub,1,Tbuf,Tbuf)</f>
        <v>68.353639448290224</v>
      </c>
      <c r="E41" s="17">
        <f>[1]!MF_p_pipe_atma(0,0,C41,Pcas,0,$J$8,90,IDtub,1,Tbuf,Tbuf)</f>
        <v>93.249986957769707</v>
      </c>
      <c r="F41" s="20">
        <f>[1]!MF_p_pipe_atma($G$31,100,C41,Pbuf,0,$J$7,90,IDtub,1,Tbuf,Tbuf,,,,$U$32)</f>
        <v>29.940297572329584</v>
      </c>
      <c r="G41" s="15">
        <f>[1]!MF_p_pipe_atma(0,0,C41,$G$33,0,$J$8,90,IDtub,1,Tbuf,Tbuf)</f>
        <v>92.004603062454223</v>
      </c>
      <c r="H41" s="20">
        <f>[1]!MF_p_pipe_atma($G$31,100,C41,Pbuf,0,$J$7,90,IDtub,1,Tbuf,Tbuf,,,,$AF$34)</f>
        <v>25.194255987382874</v>
      </c>
      <c r="I41" s="15">
        <f>[1]!MF_p_pipe_atma(0,0,C41,$I$33,0,$J$8,90,IDtub,1,Tbuf,Tbuf)</f>
        <v>82.453712687473015</v>
      </c>
      <c r="J41" s="20">
        <f>[1]!MF_p_pipe_atma($G$31,0,C41,Pbuf,0,$J$7,90,IDtub,1,Tbuf,Tbuf,,,,$AQ$36)</f>
        <v>23.151764650167706</v>
      </c>
      <c r="K41" s="15"/>
      <c r="L41" s="15"/>
      <c r="P41" s="25"/>
      <c r="Q41" s="18"/>
      <c r="R41" s="18"/>
      <c r="S41" s="18"/>
      <c r="T41" s="18"/>
      <c r="U41" s="18"/>
      <c r="V41" s="18"/>
      <c r="W41" s="18"/>
      <c r="X41" s="18"/>
      <c r="Y41" s="18"/>
      <c r="Z41" s="26"/>
      <c r="AA41" s="25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25"/>
      <c r="AM41" s="18"/>
      <c r="AN41" s="18"/>
      <c r="AO41" s="18"/>
      <c r="AP41" s="18"/>
      <c r="AQ41" s="18"/>
      <c r="AR41" s="18"/>
      <c r="AS41" s="18"/>
      <c r="AT41" s="18"/>
      <c r="AU41" s="18"/>
      <c r="AV41" s="26"/>
      <c r="AW41" s="74">
        <f t="shared" si="2"/>
        <v>5000</v>
      </c>
      <c r="AX41" s="69">
        <f t="shared" si="3"/>
        <v>5000</v>
      </c>
      <c r="AY41" s="69">
        <f>[1]!GLV_p_atma($AY$30,$AY$29,AX41,γg,Tbuf,1)</f>
        <v>89.674978597031995</v>
      </c>
      <c r="AZ41" s="69"/>
      <c r="BA41" s="69">
        <f>[1]!GLV_p_atma($H$19,$Q$33,AX41,γg,Tbuf,0,$X$33)</f>
        <v>102.67432312878108</v>
      </c>
      <c r="BB41" s="69">
        <f>[1]!MF_p_pipe_atma(0,0,$G$19,BA41,1,$J$8,θ)</f>
        <v>98.686700333562698</v>
      </c>
      <c r="BC41" s="69">
        <f>[1]!GLV_p_atma($H$20,$AB$35,AX41,γg,Tbuf,0,$AI$35)</f>
        <v>85.346139232079139</v>
      </c>
      <c r="BD41" s="69">
        <f>[1]!MF_p_pipe_atma(0,0,$G$20,BC41,1,$J$8,0)</f>
        <v>79.590480996728914</v>
      </c>
      <c r="BE41" s="69">
        <f>[1]!GLV_p_atma($H$21,$AM$37,AX41,γg,Tbuf,0,$AT$37)</f>
        <v>31.107698672488677</v>
      </c>
      <c r="BF41" s="69">
        <f>[1]!MF_p_pipe_atma(0,0,$G$21,BE41,1,$J$8,θ)</f>
        <v>28.456249466248092</v>
      </c>
    </row>
    <row r="42" spans="3:59" x14ac:dyDescent="0.25">
      <c r="C42" s="15">
        <v>600</v>
      </c>
      <c r="D42" s="17">
        <f>[1]!MF_p_pipe_atma(0,100,C42,Pbuf,0,$J$7,90,IDtub,1,Tbuf,Tbuf)</f>
        <v>78.027989405137617</v>
      </c>
      <c r="E42" s="17">
        <f>[1]!MF_p_pipe_atma(0,0,C42,Pcas,0,$J$8,90,IDtub,1,Tbuf,Tbuf)</f>
        <v>93.955449099734324</v>
      </c>
      <c r="F42" s="20">
        <f>[1]!MF_p_pipe_atma($G$31,100,C42,Pbuf,0,$J$7,90,IDtub,1,Tbuf,Tbuf,,,,$U$32)</f>
        <v>32.322112892421472</v>
      </c>
      <c r="G42" s="15">
        <f>[1]!MF_p_pipe_atma(0,0,C42,$G$33,0,$J$8,90,IDtub,1,Tbuf,Tbuf)</f>
        <v>92.700817030766871</v>
      </c>
      <c r="H42" s="20">
        <f>[1]!MF_p_pipe_atma($G$31,100,C42,Pbuf,0,$J$7,90,IDtub,1,Tbuf,Tbuf,,,,$AF$34)</f>
        <v>26.35598227870436</v>
      </c>
      <c r="I42" s="15">
        <f>[1]!MF_p_pipe_atma(0,0,C42,$I$33,0,$J$8,90,IDtub,1,Tbuf,Tbuf)</f>
        <v>83.078373034582754</v>
      </c>
      <c r="J42" s="20">
        <f>[1]!MF_p_pipe_atma($G$31,0,C42,Pbuf,0,$J$7,90,IDtub,1,Tbuf,Tbuf,,,,$AQ$36)</f>
        <v>23.80567332301095</v>
      </c>
      <c r="K42" s="15"/>
      <c r="L42" s="15"/>
      <c r="P42" s="25"/>
      <c r="Q42" s="18"/>
      <c r="R42" s="18"/>
      <c r="S42" s="18"/>
      <c r="T42" s="18"/>
      <c r="U42" s="18"/>
      <c r="V42" s="18"/>
      <c r="W42" s="18"/>
      <c r="X42" s="18"/>
      <c r="Y42" s="18"/>
      <c r="Z42" s="26"/>
      <c r="AA42" s="25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5"/>
      <c r="AM42" s="18"/>
      <c r="AN42" s="18"/>
      <c r="AO42" s="18"/>
      <c r="AP42" s="18"/>
      <c r="AQ42" s="18"/>
      <c r="AR42" s="18"/>
      <c r="AS42" s="18"/>
      <c r="AT42" s="18"/>
      <c r="AU42" s="18"/>
      <c r="AV42" s="26"/>
      <c r="AW42" s="74">
        <f t="shared" si="2"/>
        <v>6000</v>
      </c>
      <c r="AX42" s="69">
        <f t="shared" si="3"/>
        <v>6000</v>
      </c>
      <c r="AY42" s="69">
        <f>[1]!GLV_p_atma($AY$30,$AY$29,AX42,γg,Tbuf,1)</f>
        <v>89.531120514904188</v>
      </c>
      <c r="AZ42" s="69"/>
      <c r="BA42" s="69">
        <f>[1]!GLV_p_atma($H$19,$Q$33,AX42,γg,Tbuf,0,$X$33)</f>
        <v>123.20873353149193</v>
      </c>
      <c r="BB42" s="69">
        <f>[1]!MF_p_pipe_atma(0,0,$G$19,BA42,1,$J$8,θ)</f>
        <v>118.48183987729567</v>
      </c>
      <c r="BC42" s="69">
        <f>[1]!GLV_p_atma($H$20,$AB$35,AX42,γg,Tbuf,0,$AI$35)</f>
        <v>85.346139232079139</v>
      </c>
      <c r="BD42" s="69">
        <f>[1]!MF_p_pipe_atma(0,0,$G$20,BC42,1,$J$8,0)</f>
        <v>79.590480996728914</v>
      </c>
      <c r="BE42" s="69">
        <f>[1]!GLV_p_atma($H$21,$AM$37,AX42,γg,Tbuf,0,$AT$37)</f>
        <v>32.04737790564343</v>
      </c>
      <c r="BF42" s="69">
        <f>[1]!MF_p_pipe_atma(0,0,$G$21,BE42,1,$J$8,θ)</f>
        <v>29.314376993314674</v>
      </c>
    </row>
    <row r="43" spans="3:59" x14ac:dyDescent="0.25">
      <c r="C43" s="15">
        <v>700</v>
      </c>
      <c r="D43" s="17">
        <f>[1]!MF_p_pipe_atma(0,100,C43,Pbuf,0,$J$7,90,IDtub,1,Tbuf,Tbuf)</f>
        <v>87.70376431628641</v>
      </c>
      <c r="E43" s="17">
        <f>[1]!MF_p_pipe_atma(0,0,C43,Pcas,0,$J$8,90,IDtub,1,Tbuf,Tbuf)</f>
        <v>94.666141058437873</v>
      </c>
      <c r="F43" s="15">
        <f>[1]!MF_p_pipe_atma(0,100,C43-C42,F42,0,$J$7,90,IDtub,1,Tbuf,Tbuf)</f>
        <v>41.991975076351302</v>
      </c>
      <c r="G43" s="15">
        <f>[1]!MF_p_pipe_atma(0,0,C43,$G$33,0,$J$8,90,IDtub,1,Tbuf,Tbuf)</f>
        <v>93.402203520747364</v>
      </c>
      <c r="H43" s="20">
        <f>[1]!MF_p_pipe_atma($G$31,100,C43,Pbuf,0,$J$7,90,IDtub,1,Tbuf,Tbuf,,,,$AF$34)</f>
        <v>27.561813165220482</v>
      </c>
      <c r="I43" s="15">
        <f>[1]!MF_p_pipe_atma(0,0,C43,$I$33,0,$J$8,90,IDtub,1,Tbuf,Tbuf)</f>
        <v>83.707745215255812</v>
      </c>
      <c r="J43" s="20">
        <f>[1]!MF_p_pipe_atma($G$31,0,C43,Pbuf,0,$J$7,90,IDtub,1,Tbuf,Tbuf,,,,$AQ$36)</f>
        <v>24.468155371181137</v>
      </c>
      <c r="K43" s="15"/>
      <c r="L43" s="15"/>
      <c r="P43" s="25"/>
      <c r="Q43" s="18"/>
      <c r="R43" s="18"/>
      <c r="S43" s="18"/>
      <c r="T43" s="18"/>
      <c r="U43" s="18"/>
      <c r="V43" s="18"/>
      <c r="W43" s="18"/>
      <c r="X43" s="18"/>
      <c r="Y43" s="18"/>
      <c r="Z43" s="26"/>
      <c r="AA43" s="25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25"/>
      <c r="AM43" s="18"/>
      <c r="AN43" s="18"/>
      <c r="AO43" s="18"/>
      <c r="AP43" s="18"/>
      <c r="AQ43" s="18"/>
      <c r="AR43" s="18"/>
      <c r="AS43" s="18"/>
      <c r="AT43" s="18"/>
      <c r="AU43" s="18"/>
      <c r="AV43" s="26"/>
      <c r="AW43" s="74">
        <f t="shared" si="2"/>
        <v>7000</v>
      </c>
      <c r="AX43" s="69">
        <f t="shared" si="3"/>
        <v>7000</v>
      </c>
      <c r="AY43" s="69">
        <f>[1]!GLV_p_atma($AY$30,$AY$29,AX43,γg,Tbuf,1)</f>
        <v>89.360389351584303</v>
      </c>
      <c r="AZ43" s="69"/>
      <c r="BA43" s="69">
        <f>[1]!GLV_p_atma($H$19,$Q$33,AX43,γg,Tbuf,0,$X$33)</f>
        <v>143.74671203331701</v>
      </c>
      <c r="BB43" s="69">
        <f>[1]!MF_p_pipe_atma(0,0,$G$19,BA43,1,$J$8,θ)</f>
        <v>138.32063852750625</v>
      </c>
      <c r="BC43" s="69">
        <f>[1]!GLV_p_atma($H$20,$AB$35,AX43,γg,Tbuf,0,$AI$35)</f>
        <v>85.346139232079139</v>
      </c>
      <c r="BD43" s="69">
        <f>[1]!MF_p_pipe_atma(0,0,$G$20,BC43,1,$J$8,0)</f>
        <v>79.590480996728914</v>
      </c>
      <c r="BE43" s="69">
        <f>[1]!GLV_p_atma($H$21,$AM$37,AX43,γg,Tbuf,0,$AT$37)</f>
        <v>33.168524830095762</v>
      </c>
      <c r="BF43" s="69">
        <f>[1]!MF_p_pipe_atma(0,0,$G$21,BE43,1,$J$8,θ)</f>
        <v>30.338170336496464</v>
      </c>
    </row>
    <row r="44" spans="3:59" x14ac:dyDescent="0.25">
      <c r="C44" s="15">
        <v>800</v>
      </c>
      <c r="D44" s="17">
        <f>[1]!MF_p_pipe_atma(0,100,C44,Pbuf,0,$J$7,90,IDtub,1,Tbuf,Tbuf)</f>
        <v>97.381057698075608</v>
      </c>
      <c r="E44" s="17">
        <f>[1]!MF_p_pipe_atma(0,0,C44,Pcas,0,$J$8,90,IDtub,1,Tbuf,Tbuf)</f>
        <v>95.382095002261778</v>
      </c>
      <c r="F44" s="15">
        <f>[1]!MF_p_pipe_atma(0,100,C44-C43,F43,0,$J$7,90,IDtub,1,Tbuf,Tbuf)</f>
        <v>51.662914947398853</v>
      </c>
      <c r="G44" s="15">
        <f>[1]!MF_p_pipe_atma(0,0,C44,$G$33,0,$J$8,90,IDtub,1,Tbuf,Tbuf)</f>
        <v>94.108794642101628</v>
      </c>
      <c r="H44" s="20">
        <f>[1]!MF_p_pipe_atma($G$31,100,C44,Pbuf,0,$J$7,90,IDtub,1,Tbuf,Tbuf,,,,$AF$34)</f>
        <v>28.813120145191949</v>
      </c>
      <c r="I44" s="15">
        <f>[1]!MF_p_pipe_atma(0,0,C44,$I$33,0,$J$8,90,IDtub,1,Tbuf,Tbuf)</f>
        <v>84.341860493955323</v>
      </c>
      <c r="J44" s="20">
        <f>[1]!MF_p_pipe_atma($G$31,0,C44,Pbuf,0,$J$7,90,IDtub,1,Tbuf,Tbuf,,,,$AQ$36)</f>
        <v>25.139507077747531</v>
      </c>
      <c r="K44" s="15"/>
      <c r="L44" s="15"/>
      <c r="P44" s="25"/>
      <c r="Q44" s="18"/>
      <c r="R44" s="18"/>
      <c r="S44" s="18"/>
      <c r="T44" s="18"/>
      <c r="U44" s="18"/>
      <c r="V44" s="18"/>
      <c r="W44" s="18"/>
      <c r="X44" s="18"/>
      <c r="Y44" s="18"/>
      <c r="Z44" s="26"/>
      <c r="AA44" s="25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25"/>
      <c r="AM44" s="18"/>
      <c r="AN44" s="18"/>
      <c r="AO44" s="18"/>
      <c r="AP44" s="18"/>
      <c r="AQ44" s="18"/>
      <c r="AR44" s="18"/>
      <c r="AS44" s="18"/>
      <c r="AT44" s="18"/>
      <c r="AU44" s="18"/>
      <c r="AV44" s="26"/>
      <c r="AW44" s="74">
        <f t="shared" si="2"/>
        <v>8000</v>
      </c>
      <c r="AX44" s="69">
        <f t="shared" si="3"/>
        <v>8000</v>
      </c>
      <c r="AY44" s="69">
        <f>[1]!GLV_p_atma($AY$30,$AY$29,AX44,γg,Tbuf,1)</f>
        <v>89.162452374093334</v>
      </c>
      <c r="AZ44" s="69"/>
      <c r="BA44" s="69">
        <f>[1]!GLV_p_atma($H$19,$Q$33,AX44,γg,Tbuf,0,$X$33)</f>
        <v>164.28112243602789</v>
      </c>
      <c r="BB44" s="69">
        <f>[1]!MF_p_pipe_atma(0,0,$G$19,BA44,1,$J$8,θ)</f>
        <v>158.20033739536001</v>
      </c>
      <c r="BC44" s="69">
        <f>[1]!GLV_p_atma($H$20,$AB$35,AX44,γg,Tbuf,0,$AI$35)</f>
        <v>85.346139232079139</v>
      </c>
      <c r="BD44" s="69">
        <f>[1]!MF_p_pipe_atma(0,0,$G$20,BC44,1,$J$8,0)</f>
        <v>79.590480996728914</v>
      </c>
      <c r="BE44" s="69">
        <f>[1]!GLV_p_atma($H$21,$AM$37,AX44,γg,Tbuf,0,$AT$37)</f>
        <v>34.476978752743868</v>
      </c>
      <c r="BF44" s="69">
        <f>[1]!MF_p_pipe_atma(0,0,$G$21,BE44,1,$J$8,θ)</f>
        <v>31.532940995800924</v>
      </c>
    </row>
    <row r="45" spans="3:59" x14ac:dyDescent="0.25">
      <c r="C45" s="15">
        <v>900</v>
      </c>
      <c r="D45" s="17">
        <f>[1]!MF_p_pipe_atma(0,100,C45,Pbuf,0,$J$7,90,IDtub,1,Tbuf,Tbuf)</f>
        <v>107.05996321314883</v>
      </c>
      <c r="E45" s="17">
        <f>[1]!MF_p_pipe_atma(0,0,C45,Pcas,0,$J$8,90,IDtub,1,Tbuf,Tbuf)</f>
        <v>96.103343127995259</v>
      </c>
      <c r="F45" s="15">
        <f>[1]!MF_p_pipe_atma(0,100,C45-C44,F44,0,$J$7,90,IDtub,1,Tbuf,Tbuf)</f>
        <v>61.335025556962847</v>
      </c>
      <c r="G45" s="15">
        <f>[1]!MF_p_pipe_atma(0,0,C45,$G$33,0,$J$8,90,IDtub,1,Tbuf,Tbuf)</f>
        <v>94.820622538694295</v>
      </c>
      <c r="H45" s="20">
        <f>[1]!MF_p_pipe_atma($G$31,100,C45,Pbuf,0,$J$7,90,IDtub,1,Tbuf,Tbuf,,,,$AF$34)</f>
        <v>30.111282626065222</v>
      </c>
      <c r="I45" s="15">
        <f>[1]!MF_p_pipe_atma(0,0,C45,$I$33,0,$J$8,90,IDtub,1,Tbuf,Tbuf)</f>
        <v>84.980750213174318</v>
      </c>
      <c r="J45" s="20">
        <f>[1]!MF_p_pipe_atma($G$31,0,C45,Pbuf,0,$J$7,90,IDtub,1,Tbuf,Tbuf,,,,$AQ$36)</f>
        <v>25.820019725100757</v>
      </c>
      <c r="K45" s="15"/>
      <c r="L45" s="15"/>
      <c r="P45" s="25"/>
      <c r="Q45" s="18"/>
      <c r="R45" s="18"/>
      <c r="S45" s="18"/>
      <c r="T45" s="18"/>
      <c r="U45" s="18"/>
      <c r="V45" s="18"/>
      <c r="W45" s="18"/>
      <c r="X45" s="18"/>
      <c r="Y45" s="18"/>
      <c r="Z45" s="26"/>
      <c r="AA45" s="25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25"/>
      <c r="AM45" s="18"/>
      <c r="AN45" s="18"/>
      <c r="AO45" s="18"/>
      <c r="AP45" s="18"/>
      <c r="AQ45" s="18"/>
      <c r="AR45" s="18"/>
      <c r="AS45" s="18"/>
      <c r="AT45" s="18"/>
      <c r="AU45" s="18"/>
      <c r="AV45" s="26"/>
      <c r="AW45" s="74">
        <f t="shared" si="2"/>
        <v>9000</v>
      </c>
      <c r="AX45" s="69">
        <f t="shared" si="3"/>
        <v>9000</v>
      </c>
      <c r="AY45" s="69">
        <f>[1]!GLV_p_atma($AY$30,$AY$29,AX45,γg,Tbuf,1)</f>
        <v>88.936898559339426</v>
      </c>
      <c r="AZ45" s="69"/>
      <c r="BA45" s="69">
        <f>[1]!GLV_p_atma($H$19,$Q$33,AX45,γg,Tbuf,0,$X$33)</f>
        <v>184.8155328387387</v>
      </c>
      <c r="BB45" s="69">
        <f>[1]!MF_p_pipe_atma(0,0,$G$19,BA45,1,$J$8,θ)</f>
        <v>178.12693718048962</v>
      </c>
      <c r="BC45" s="69">
        <f>[1]!GLV_p_atma($H$20,$AB$35,AX45,γg,Tbuf,0,$AI$35)</f>
        <v>85.346139232079139</v>
      </c>
      <c r="BD45" s="69">
        <f>[1]!MF_p_pipe_atma(0,0,$G$20,BC45,1,$J$8,0)</f>
        <v>79.590480996728914</v>
      </c>
      <c r="BE45" s="69">
        <f>[1]!GLV_p_atma($H$21,$AM$37,AX45,γg,Tbuf,0,$AT$37)</f>
        <v>35.978354391759055</v>
      </c>
      <c r="BF45" s="69">
        <f>[1]!MF_p_pipe_atma(0,0,$G$21,BE45,1,$J$8,θ)</f>
        <v>32.903797025911686</v>
      </c>
      <c r="BG45" s="35"/>
    </row>
    <row r="46" spans="3:59" x14ac:dyDescent="0.25">
      <c r="C46" s="15">
        <v>1000</v>
      </c>
      <c r="D46" s="17">
        <f>[1]!MF_p_pipe_atma(0,100,C46,Pbuf,0,$J$7,90,IDtub,1,Tbuf,Tbuf)</f>
        <v>116.74057467962936</v>
      </c>
      <c r="E46" s="17">
        <f>[1]!MF_p_pipe_atma(0,0,C46,Pcas,0,$J$8,90,IDtub,1,Tbuf,Tbuf)</f>
        <v>96.829917657601143</v>
      </c>
      <c r="F46" s="15">
        <f>[1]!MF_p_pipe_atma(0,100,C46-C45,F45,0,$J$7,90,IDtub,1,Tbuf,Tbuf)</f>
        <v>71.008400068893152</v>
      </c>
      <c r="G46" s="15">
        <f>[1]!MF_p_pipe_atma(0,0,C46,$G$33,0,$J$8,90,IDtub,1,Tbuf,Tbuf)</f>
        <v>95.53771938532806</v>
      </c>
      <c r="H46" s="20">
        <f>[1]!MF_p_pipe_atma($G$31,100,C46,Pbuf,0,$J$7,90,IDtub,1,Tbuf,Tbuf,,,,$AF$34)</f>
        <v>31.457685494040536</v>
      </c>
      <c r="I46" s="15">
        <f>[1]!MF_p_pipe_atma(0,0,C46,$I$33,0,$J$8,90,IDtub,1,Tbuf,Tbuf)</f>
        <v>85.624445790668574</v>
      </c>
      <c r="J46" s="20">
        <f>[1]!MF_p_pipe_atma($G$31,0,C46,Pbuf,0,$J$7,90,IDtub,1,Tbuf,Tbuf,,,,$AQ$36)</f>
        <v>26.509980230552021</v>
      </c>
      <c r="K46" s="15"/>
      <c r="L46" s="15"/>
      <c r="P46" s="25"/>
      <c r="Q46" s="18"/>
      <c r="R46" s="18"/>
      <c r="S46" s="18"/>
      <c r="T46" s="18"/>
      <c r="U46" s="18"/>
      <c r="V46" s="18"/>
      <c r="W46" s="18"/>
      <c r="X46" s="18"/>
      <c r="Y46" s="18"/>
      <c r="Z46" s="26"/>
      <c r="AA46" s="25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25"/>
      <c r="AM46" s="18"/>
      <c r="AN46" s="18"/>
      <c r="AO46" s="18"/>
      <c r="AP46" s="18"/>
      <c r="AQ46" s="18"/>
      <c r="AR46" s="18"/>
      <c r="AS46" s="18"/>
      <c r="AT46" s="18"/>
      <c r="AU46" s="18"/>
      <c r="AV46" s="26"/>
      <c r="AW46" s="74">
        <f t="shared" si="2"/>
        <v>10000</v>
      </c>
      <c r="AX46" s="69">
        <f t="shared" si="3"/>
        <v>10000</v>
      </c>
      <c r="AY46" s="69">
        <f>[1]!GLV_p_atma($AY$30,$AY$29,AX46,γg,Tbuf,1)</f>
        <v>88.683238594118109</v>
      </c>
      <c r="AZ46" s="69"/>
      <c r="BA46" s="69">
        <f>[1]!GLV_p_atma($H$19,$Q$33,AX46,γg,Tbuf,0,$X$33)</f>
        <v>205.34994324144952</v>
      </c>
      <c r="BB46" s="69">
        <f>[1]!MF_p_pipe_atma(0,0,$G$19,BA46,1,$J$8,θ)</f>
        <v>198.10177090449488</v>
      </c>
      <c r="BC46" s="69">
        <f>[1]!GLV_p_atma($H$20,$AB$35,AX46,γg,Tbuf,0,$AI$35)</f>
        <v>91.267875244154908</v>
      </c>
      <c r="BD46" s="69">
        <f>[1]!MF_p_pipe_atma(0,0,$G$20,BC46,1,$J$8,0)</f>
        <v>85.123565443988554</v>
      </c>
      <c r="BE46" s="69">
        <f>[1]!GLV_p_atma($H$21,$AM$37,AX46,γg,Tbuf,0,$AT$37)</f>
        <v>37.679838586400649</v>
      </c>
      <c r="BF46" s="69">
        <f>[1]!MF_p_pipe_atma(0,0,$G$21,BE46,1,$J$8,θ)</f>
        <v>34.457286347911989</v>
      </c>
    </row>
    <row r="47" spans="3:59" x14ac:dyDescent="0.25">
      <c r="C47" s="15">
        <v>1050</v>
      </c>
      <c r="D47" s="17">
        <f>[1]!MF_p_pipe_atma(0,100,C47,Pbuf,0,$J$7,90,IDtub,1,Tbuf,Tbuf)</f>
        <v>121.58154950759223</v>
      </c>
      <c r="E47" s="17">
        <f>[1]!MF_p_pipe_atma(0,0,C47,Pcas,0,$J$8,90,IDtub,1,Tbuf,Tbuf)</f>
        <v>97.195212399306527</v>
      </c>
      <c r="F47" s="15">
        <f>[1]!MF_p_pipe_atma(0,100,C47-C46,F46,0,$J$7,90,IDtub,1,Tbuf,Tbuf)</f>
        <v>75.845590434921149</v>
      </c>
      <c r="G47" s="15">
        <f>[1]!MF_p_pipe_atma(0,0,C47,$G$33,0,$J$8,90,IDtub,1,Tbuf,Tbuf)</f>
        <v>95.898253727201123</v>
      </c>
      <c r="H47" s="20">
        <f>[1]!MF_p_pipe_atma($G$31,100,C47,Pbuf,0,$J$7,90,IDtub,1,Tbuf,Tbuf,,,,$AF$34)</f>
        <v>32.149410695198874</v>
      </c>
      <c r="I47" s="15">
        <f>[1]!MF_p_pipe_atma(0,0,C47,$I$33,0,$J$8,90,IDtub,1,Tbuf,Tbuf)</f>
        <v>85.948105614206099</v>
      </c>
      <c r="J47" s="20">
        <f>[1]!MF_p_pipe_atma($G$31,0,C47,Pbuf,0,$J$7,90,IDtub,1,Tbuf,Tbuf,,,,$AQ$36)</f>
        <v>26.858592035876775</v>
      </c>
      <c r="K47" s="15"/>
      <c r="L47" s="15"/>
      <c r="P47" s="25"/>
      <c r="Q47" s="18"/>
      <c r="R47" s="18"/>
      <c r="S47" s="18"/>
      <c r="T47" s="18"/>
      <c r="U47" s="18"/>
      <c r="V47" s="18"/>
      <c r="W47" s="18"/>
      <c r="X47" s="18"/>
      <c r="Y47" s="18"/>
      <c r="Z47" s="26"/>
      <c r="AA47" s="25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25"/>
      <c r="AM47" s="18"/>
      <c r="AN47" s="18"/>
      <c r="AO47" s="18"/>
      <c r="AP47" s="18"/>
      <c r="AQ47" s="18"/>
      <c r="AR47" s="18"/>
      <c r="AS47" s="18"/>
      <c r="AT47" s="18"/>
      <c r="AU47" s="18"/>
      <c r="AV47" s="26"/>
      <c r="AW47" s="74">
        <f>IF(AY47&lt;0,$AZ$31,AW46+5000)</f>
        <v>15000</v>
      </c>
      <c r="AX47" s="69">
        <f>AX46+5000</f>
        <v>15000</v>
      </c>
      <c r="AY47" s="69">
        <f>[1]!GLV_p_atma($AY$30,$AY$29,AX47,γg,Tbuf,1)</f>
        <v>86.970250927747031</v>
      </c>
      <c r="AZ47" s="69"/>
      <c r="BA47" s="69">
        <f>[1]!GLV_p_atma($H$19,$Q$33,AX47,γg,Tbuf,0,$X$33)</f>
        <v>308.02556335411799</v>
      </c>
      <c r="BB47" s="69">
        <f>[1]!MF_p_pipe_atma(0,0,$G$19,BA47,1,$J$8,θ)</f>
        <v>298.68642751042279</v>
      </c>
      <c r="BC47" s="69">
        <f>[1]!GLV_p_atma($H$20,$AB$35,AX47,γg,Tbuf,0,$AI$35)</f>
        <v>136.90108339667592</v>
      </c>
      <c r="BD47" s="69">
        <f>[1]!MF_p_pipe_atma(0,0,$G$20,BC47,1,$J$8,0)</f>
        <v>127.92100494482793</v>
      </c>
      <c r="BE47" s="69">
        <f>[1]!GLV_p_atma($H$21,$AM$37,AX47,γg,Tbuf,0,$AT$37)</f>
        <v>49.4862433683587</v>
      </c>
      <c r="BF47" s="69">
        <f>[1]!MF_p_pipe_atma(0,0,$G$21,BE47,1,$J$8,θ)</f>
        <v>45.236066907538998</v>
      </c>
    </row>
    <row r="48" spans="3:59" x14ac:dyDescent="0.25">
      <c r="C48" s="15">
        <v>1200</v>
      </c>
      <c r="D48" s="17">
        <f>[1]!MF_p_pipe_atma(0,100,C48,Pbuf,0,$J$7,90,IDtub,1,Tbuf,Tbuf)</f>
        <v>136.10729157205139</v>
      </c>
      <c r="E48" s="17">
        <f>[1]!MF_p_pipe_atma(0,0,C48,Pcas,0,$J$8,90,IDtub,1,Tbuf,Tbuf)</f>
        <v>98.299174922732647</v>
      </c>
      <c r="F48" s="15">
        <f>[1]!MF_p_pipe_atma(0,100,C48-C47,F47,0,$J$7,90,IDtub,1,Tbuf,Tbuf)</f>
        <v>90.359314071781213</v>
      </c>
      <c r="G48" s="15">
        <f>[1]!MF_p_pipe_atma(0,0,C48,$G$33,0,$J$8,90,IDtub,1,Tbuf,Tbuf)</f>
        <v>96.987848763236201</v>
      </c>
      <c r="H48" s="37">
        <f>[1]!MF_p_pipe_atma(0,100,C48-C47,H47,0,$J$7,90,IDtub,1,Tbuf,Tbuf)</f>
        <v>46.654574063070299</v>
      </c>
      <c r="I48" s="15">
        <f>[1]!MF_p_pipe_atma(0,0,C48,$I$33,0,$J$8,90,IDtub,1,Tbuf,Tbuf)</f>
        <v>86.926380550902806</v>
      </c>
      <c r="J48" s="20">
        <f>[1]!MF_p_pipe_atma($G$31,0,C48,Pbuf,0,$J$7,90,IDtub,1,Tbuf,Tbuf,,,,$AQ$36)</f>
        <v>27.919373909395308</v>
      </c>
      <c r="K48" s="15"/>
      <c r="L48" s="15"/>
      <c r="P48" s="25"/>
      <c r="Q48" s="18"/>
      <c r="R48" s="18"/>
      <c r="S48" s="18"/>
      <c r="T48" s="18"/>
      <c r="U48" s="18"/>
      <c r="V48" s="18"/>
      <c r="W48" s="18"/>
      <c r="X48" s="18"/>
      <c r="Y48" s="18"/>
      <c r="Z48" s="26"/>
      <c r="AA48" s="2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25"/>
      <c r="AM48" s="18"/>
      <c r="AN48" s="18"/>
      <c r="AO48" s="18"/>
      <c r="AP48" s="18"/>
      <c r="AQ48" s="18"/>
      <c r="AR48" s="18"/>
      <c r="AS48" s="18"/>
      <c r="AT48" s="18"/>
      <c r="AU48" s="18"/>
      <c r="AV48" s="26"/>
      <c r="AW48" s="74">
        <f t="shared" ref="AW48:AW51" si="4">IF(AY48&lt;0,$AZ$31,AW47+5000)</f>
        <v>20000</v>
      </c>
      <c r="AX48" s="69">
        <f t="shared" ref="AX48:AX51" si="5">AX47+5000</f>
        <v>20000</v>
      </c>
      <c r="AY48" s="69">
        <f>[1]!GLV_p_atma($AY$30,$AY$29,AX48,γg,Tbuf,1)</f>
        <v>84.426996615952476</v>
      </c>
      <c r="AZ48" s="69"/>
      <c r="BA48" s="69">
        <f>[1]!GLV_p_atma($H$19,$Q$33,AX48,γg,Tbuf,0,$X$33)</f>
        <v>410.70118346678646</v>
      </c>
      <c r="BB48" s="69">
        <f>[1]!MF_p_pipe_atma(0,0,$G$19,BA48,1,$J$8,θ)</f>
        <v>400.11476547075245</v>
      </c>
      <c r="BC48" s="69">
        <f>[1]!GLV_p_atma($H$20,$AB$35,AX48,γg,Tbuf,0,$AI$35)</f>
        <v>182.53429154919689</v>
      </c>
      <c r="BD48" s="69">
        <f>[1]!MF_p_pipe_atma(0,0,$G$20,BC48,1,$J$8,0)</f>
        <v>171.06967226837435</v>
      </c>
      <c r="BE48" s="69">
        <f>[1]!GLV_p_atma($H$21,$AM$37,AX48,γg,Tbuf,0,$AT$37)</f>
        <v>65.712329706065447</v>
      </c>
      <c r="BF48" s="69">
        <f>[1]!MF_p_pipe_atma(0,0,$G$21,BE48,1,$J$8,θ)</f>
        <v>60.0562471192221</v>
      </c>
    </row>
    <row r="49" spans="3:59" x14ac:dyDescent="0.25">
      <c r="C49" s="15">
        <v>1300</v>
      </c>
      <c r="D49" s="17">
        <f>[1]!MF_p_pipe_atma(0,100,C49,Pbuf,0,$J$7,90,IDtub,1,Tbuf,Tbuf)</f>
        <v>145.79358549481856</v>
      </c>
      <c r="E49" s="17">
        <f>[1]!MF_p_pipe_atma(0,0,C49,Pcas,0,$J$8,90,IDtub,1,Tbuf,Tbuf)</f>
        <v>99.041922198938821</v>
      </c>
      <c r="F49" s="15">
        <f>[1]!MF_p_pipe_atma(0,100,C49-C48,F48,0,$J$7,90,IDtub,1,Tbuf,Tbuf)</f>
        <v>100.037040534222</v>
      </c>
      <c r="G49" s="15">
        <f>[1]!MF_p_pipe_atma(0,0,C49,$G$33,0,$J$8,90,IDtub,1,Tbuf,Tbuf)</f>
        <v>97.720945769716067</v>
      </c>
      <c r="H49" s="37">
        <f>[1]!MF_p_pipe_atma(0,100,C49-C48,H48,0,$J$7,90,IDtub,1,Tbuf,Tbuf)</f>
        <v>56.326066769748394</v>
      </c>
      <c r="I49" s="15">
        <f>[1]!MF_p_pipe_atma(0,0,C49,$I$33,0,$J$8,90,IDtub,1,Tbuf,Tbuf)</f>
        <v>87.584682919941301</v>
      </c>
      <c r="J49" s="20">
        <f>[1]!MF_p_pipe_atma($G$31,0,C49,Pbuf,0,$J$7,90,IDtub,1,Tbuf,Tbuf,,,,$AQ$36)</f>
        <v>28.639363725527865</v>
      </c>
      <c r="K49" s="15"/>
      <c r="L49" s="15"/>
      <c r="P49" s="25"/>
      <c r="Q49" s="18"/>
      <c r="R49" s="18"/>
      <c r="S49" s="18"/>
      <c r="T49" s="18"/>
      <c r="U49" s="18"/>
      <c r="V49" s="18"/>
      <c r="W49" s="18"/>
      <c r="X49" s="18"/>
      <c r="Y49" s="18"/>
      <c r="Z49" s="26"/>
      <c r="AA49" s="2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25"/>
      <c r="AM49" s="18"/>
      <c r="AN49" s="18"/>
      <c r="AO49" s="18"/>
      <c r="AP49" s="18"/>
      <c r="AQ49" s="18"/>
      <c r="AR49" s="18"/>
      <c r="AS49" s="18"/>
      <c r="AT49" s="18"/>
      <c r="AU49" s="18"/>
      <c r="AV49" s="26"/>
      <c r="AW49" s="74">
        <f t="shared" si="4"/>
        <v>25000</v>
      </c>
      <c r="AX49" s="69">
        <f t="shared" si="5"/>
        <v>25000</v>
      </c>
      <c r="AY49" s="69">
        <f>[1]!GLV_p_atma($AY$30,$AY$29,AX49,γg,Tbuf,1)</f>
        <v>80.846476600695809</v>
      </c>
      <c r="AZ49" s="69"/>
      <c r="BA49" s="69"/>
      <c r="BB49" s="69"/>
      <c r="BC49" s="69"/>
      <c r="BD49" s="69"/>
      <c r="BE49" s="69">
        <f>[1]!GLV_p_atma($H$21,$AM$37,AX49,γg,Tbuf,0,$AT$37)</f>
        <v>82.140545897940257</v>
      </c>
      <c r="BF49" s="69">
        <f>[1]!MF_p_pipe_atma(0,0,$G$21,BE49,1,$J$8,θ)</f>
        <v>75.081672094215833</v>
      </c>
    </row>
    <row r="50" spans="3:59" x14ac:dyDescent="0.25">
      <c r="C50" s="15">
        <v>1350</v>
      </c>
      <c r="D50" s="17">
        <f>[1]!MF_p_pipe_atma(0,100,C50,Pbuf,0,$J$7,90,IDtub,1,Tbuf,Tbuf)</f>
        <v>150.63750765152622</v>
      </c>
      <c r="E50" s="17">
        <f>[1]!MF_p_pipe_atma(0,0,C50,Pcas,0,$J$8,90,IDtub,1,Tbuf,Tbuf)</f>
        <v>99.415339623050627</v>
      </c>
      <c r="F50" s="15">
        <f>[1]!MF_p_pipe_atma(0,100,C50-C49,F49,0,$J$7,90,IDtub,1,Tbuf,Tbuf)</f>
        <v>104.87651210169845</v>
      </c>
      <c r="G50" s="15">
        <f>[1]!MF_p_pipe_atma(0,0,C50,$G$33,0,$J$8,90,IDtub,1,Tbuf,Tbuf)</f>
        <v>98.089516465945366</v>
      </c>
      <c r="H50" s="37">
        <f>[1]!MF_p_pipe_atma(0,100,C50-C49,H49,0,$J$7,90,IDtub,1,Tbuf,Tbuf)</f>
        <v>61.162263165299734</v>
      </c>
      <c r="I50" s="15">
        <f>[1]!MF_p_pipe_atma(0,0,C50,$I$33,0,$J$8,90,IDtub,1,Tbuf,Tbuf)</f>
        <v>87.915681705798633</v>
      </c>
      <c r="J50" s="20">
        <f>[1]!MF_p_pipe_atma($G$31,0,C50,Pbuf,0,$J$7,90,IDtub,1,Tbuf,Tbuf,,,,$AQ$36)</f>
        <v>29.003302301872022</v>
      </c>
      <c r="K50" s="15"/>
      <c r="L50" s="15"/>
      <c r="P50" s="25"/>
      <c r="Q50" s="18"/>
      <c r="R50" s="18"/>
      <c r="S50" s="18"/>
      <c r="T50" s="18"/>
      <c r="U50" s="18"/>
      <c r="V50" s="18"/>
      <c r="W50" s="18"/>
      <c r="X50" s="18"/>
      <c r="Y50" s="18"/>
      <c r="Z50" s="26"/>
      <c r="AA50" s="2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25"/>
      <c r="AM50" s="18"/>
      <c r="AN50" s="18"/>
      <c r="AO50" s="18"/>
      <c r="AP50" s="18"/>
      <c r="AQ50" s="18"/>
      <c r="AR50" s="18"/>
      <c r="AS50" s="18"/>
      <c r="AT50" s="18"/>
      <c r="AU50" s="18"/>
      <c r="AV50" s="26"/>
      <c r="AW50" s="74">
        <f t="shared" si="4"/>
        <v>30000</v>
      </c>
      <c r="AX50" s="69">
        <f t="shared" si="5"/>
        <v>30000</v>
      </c>
      <c r="AY50" s="69">
        <f>[1]!GLV_p_atma($AY$30,$AY$29,AX50,γg,Tbuf,1)</f>
        <v>75.799113033468018</v>
      </c>
      <c r="AZ50" s="69"/>
      <c r="BA50" s="69"/>
      <c r="BB50" s="69"/>
      <c r="BC50" s="69"/>
      <c r="BD50" s="69"/>
      <c r="BE50" s="69">
        <f>[1]!GLV_p_atma($H$21,$AM$37,AX50,γg,Tbuf,0,$AT$37)</f>
        <v>98.568312912361364</v>
      </c>
      <c r="BF50" s="69">
        <f>[1]!MF_p_pipe_atma(0,0,$G$21,BE50,1,$J$8,θ)</f>
        <v>90.139509900245613</v>
      </c>
    </row>
    <row r="51" spans="3:59" x14ac:dyDescent="0.25">
      <c r="C51" s="15">
        <v>1500</v>
      </c>
      <c r="D51" s="17">
        <f>[1]!MF_p_pipe_atma(0,100,C51,Pbuf,0,$J$7,90,IDtub,1,Tbuf,Tbuf)</f>
        <v>165.17251696624723</v>
      </c>
      <c r="E51" s="17">
        <f>[1]!MF_p_pipe_atma(0,0,C51,Pcas,0,$J$8,90,IDtub,1,Tbuf,Tbuf)</f>
        <v>100.54381548711321</v>
      </c>
      <c r="F51" s="15">
        <f>[1]!MF_p_pipe_atma(0,100,C51-C50,F50,0,$J$7,90,IDtub,1,Tbuf,Tbuf)</f>
        <v>119.39750091226416</v>
      </c>
      <c r="G51" s="15">
        <f>[1]!MF_p_pipe_atma(0,0,C51,$G$33,0,$J$8,90,IDtub,1,Tbuf,Tbuf)</f>
        <v>99.203365745625646</v>
      </c>
      <c r="H51" s="37">
        <f>[1]!MF_p_pipe_atma(0,100,C51-C50,H50,0,$J$7,90,IDtub,1,Tbuf,Tbuf)</f>
        <v>75.672792329996611</v>
      </c>
      <c r="I51" s="15">
        <f>[1]!MF_p_pipe_atma(0,0,C51,$I$33,0,$J$8,90,IDtub,1,Tbuf,Tbuf)</f>
        <v>88.916116084163491</v>
      </c>
      <c r="J51" s="15">
        <f>[1]!MF_p_pipe_atma(0,100,C51-C50,J50,0,$J$7,90,IDtub,1,Tbuf,Tbuf)</f>
        <v>43.507959227943992</v>
      </c>
      <c r="K51" s="15"/>
      <c r="L51" s="15"/>
      <c r="P51" s="25"/>
      <c r="Q51" s="18"/>
      <c r="R51" s="18"/>
      <c r="S51" s="18"/>
      <c r="T51" s="18"/>
      <c r="U51" s="18"/>
      <c r="V51" s="18"/>
      <c r="W51" s="18"/>
      <c r="X51" s="18"/>
      <c r="Y51" s="18"/>
      <c r="Z51" s="26"/>
      <c r="AA51" s="2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25"/>
      <c r="AM51" s="18"/>
      <c r="AN51" s="18"/>
      <c r="AO51" s="18"/>
      <c r="AP51" s="18"/>
      <c r="AQ51" s="18"/>
      <c r="AR51" s="18"/>
      <c r="AS51" s="18"/>
      <c r="AT51" s="18"/>
      <c r="AU51" s="18"/>
      <c r="AV51" s="26"/>
      <c r="AW51" s="74">
        <f t="shared" si="4"/>
        <v>35000</v>
      </c>
      <c r="AX51" s="69">
        <f t="shared" si="5"/>
        <v>35000</v>
      </c>
      <c r="AY51" s="69">
        <f>[1]!GLV_p_atma($AY$30,$AY$29,AX51,γg,Tbuf,1)</f>
        <v>68.111963445458642</v>
      </c>
      <c r="AZ51" s="69"/>
      <c r="BA51" s="69"/>
      <c r="BB51" s="69"/>
      <c r="BC51" s="69"/>
      <c r="BD51" s="69"/>
      <c r="BE51" s="69">
        <f>[1]!GLV_p_atma($H$21,$AM$37,AX51,γg,Tbuf,0,$AT$37)</f>
        <v>114.99652910423617</v>
      </c>
      <c r="BF51" s="69">
        <f>[1]!MF_p_pipe_atma(0,0,$G$21,BE51,1,$J$8,θ)</f>
        <v>105.24029461485577</v>
      </c>
    </row>
    <row r="52" spans="3:59" x14ac:dyDescent="0.25">
      <c r="C52" s="15">
        <v>1600</v>
      </c>
      <c r="D52" s="17">
        <f>[1]!MF_p_pipe_atma(0,100,C52,Pbuf,0,$J$7,90,IDtub,1,Tbuf,Tbuf)</f>
        <v>174.86534419584086</v>
      </c>
      <c r="E52" s="17">
        <f>[1]!MF_p_pipe_atma(0,0,C52,Pcas,0,$J$8,90,IDtub,1,Tbuf,Tbuf)</f>
        <v>101.30302610374977</v>
      </c>
      <c r="F52" s="15">
        <f>[1]!MF_p_pipe_atma(0,100,C52-C51,F51,0,$J$7,90,IDtub,1,Tbuf,Tbuf)</f>
        <v>129.08042271990135</v>
      </c>
      <c r="G52" s="15">
        <f>[1]!MF_p_pipe_atma(0,0,C52,$G$33,0,$J$8,90,IDtub,1,Tbuf,Tbuf)</f>
        <v>99.952753288625232</v>
      </c>
      <c r="H52" s="37">
        <f>[1]!MF_p_pipe_atma(0,100,C52-C51,H51,0,$J$7,90,IDtub,1,Tbuf,Tbuf)</f>
        <v>85.348211752018159</v>
      </c>
      <c r="I52" s="15">
        <f>[1]!MF_p_pipe_atma(0,0,C52,$I$33,0,$J$8,90,IDtub,1,Tbuf,Tbuf)</f>
        <v>89.589310439189859</v>
      </c>
      <c r="J52" s="15">
        <f>[1]!MF_p_pipe_atma(0,100,C52-C51,J51,0,$J$7,90,IDtub,1,Tbuf,Tbuf)</f>
        <v>53.179076475994819</v>
      </c>
      <c r="K52" s="15"/>
      <c r="L52" s="15"/>
      <c r="P52" s="25"/>
      <c r="Q52" s="18"/>
      <c r="R52" s="18"/>
      <c r="S52" s="18"/>
      <c r="T52" s="18"/>
      <c r="U52" s="18"/>
      <c r="V52" s="18"/>
      <c r="W52" s="18"/>
      <c r="X52" s="18"/>
      <c r="Y52" s="18"/>
      <c r="Z52" s="26"/>
      <c r="AA52" s="2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25"/>
      <c r="AM52" s="18"/>
      <c r="AN52" s="18"/>
      <c r="AO52" s="18"/>
      <c r="AP52" s="18"/>
      <c r="AQ52" s="18"/>
      <c r="AR52" s="18"/>
      <c r="AS52" s="18"/>
      <c r="AT52" s="18"/>
      <c r="AU52" s="18"/>
      <c r="AV52" s="26"/>
    </row>
    <row r="53" spans="3:59" x14ac:dyDescent="0.25">
      <c r="C53" s="15">
        <v>1700</v>
      </c>
      <c r="D53" s="17">
        <f>[1]!MF_p_pipe_atma(0,100,C53,Pbuf,0,$J$7,90,IDtub,1,Tbuf,Tbuf)</f>
        <v>184.56053923734385</v>
      </c>
      <c r="E53" s="17">
        <f>[1]!MF_p_pipe_atma(0,0,C53,Pcas,0,$J$8,90,IDtub,1,Tbuf,Tbuf)</f>
        <v>102.06778911184486</v>
      </c>
      <c r="F53" s="15">
        <f>[1]!MF_p_pipe_atma(0,100,C53-C52,F52,0,$J$7,90,IDtub,1,Tbuf,Tbuf)</f>
        <v>138.76526448930454</v>
      </c>
      <c r="G53" s="15">
        <f>[1]!MF_p_pipe_atma(0,0,C53,$G$33,0,$J$8,90,IDtub,1,Tbuf,Tbuf)</f>
        <v>100.70763560011252</v>
      </c>
      <c r="H53" s="37">
        <f>[1]!MF_p_pipe_atma(0,100,C53-C52,H52,0,$J$7,90,IDtub,1,Tbuf,Tbuf)</f>
        <v>95.025126866464305</v>
      </c>
      <c r="I53" s="15">
        <f>[1]!MF_p_pipe_atma(0,0,C53,$I$33,0,$J$8,90,IDtub,1,Tbuf,Tbuf)</f>
        <v>90.267532442620691</v>
      </c>
      <c r="J53" s="15">
        <f>[1]!MF_p_pipe_atma(0,100,C53-C52,J52,0,$J$7,90,IDtub,1,Tbuf,Tbuf)</f>
        <v>62.851379059661824</v>
      </c>
      <c r="K53" s="15"/>
      <c r="L53" s="15"/>
      <c r="P53" s="25"/>
      <c r="Q53" s="18"/>
      <c r="R53" s="18"/>
      <c r="S53" s="18"/>
      <c r="T53" s="18"/>
      <c r="U53" s="18"/>
      <c r="V53" s="18"/>
      <c r="W53" s="18"/>
      <c r="X53" s="18"/>
      <c r="Y53" s="18"/>
      <c r="Z53" s="26"/>
      <c r="AA53" s="2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25"/>
      <c r="AM53" s="18"/>
      <c r="AN53" s="18"/>
      <c r="AO53" s="18"/>
      <c r="AP53" s="18"/>
      <c r="AQ53" s="18"/>
      <c r="AR53" s="18"/>
      <c r="AS53" s="18"/>
      <c r="AT53" s="18"/>
      <c r="AU53" s="18"/>
      <c r="AV53" s="26"/>
      <c r="BA53" s="75" t="s">
        <v>92</v>
      </c>
      <c r="BB53" s="36">
        <f>[1]!crv_intersection(AW36:AW51,AY36:AY51,AW36:AW48,BB36:BB48)</f>
        <v>4120.6111617498364</v>
      </c>
      <c r="BC53" s="75" t="s">
        <v>92</v>
      </c>
      <c r="BD53" s="74">
        <f>[1]!crv_intersection(AW36:AW51,AY36:AY51,AW36:AW48,BD36:BD48)</f>
        <v>10399.869578509893</v>
      </c>
      <c r="BE53" s="75" t="s">
        <v>92</v>
      </c>
      <c r="BF53" s="74">
        <f>[1]!crv_intersection(AW36:AW51,AY36:AY51,AW36:AW51,BF36:BF51)</f>
        <v>26433.659976703315</v>
      </c>
    </row>
    <row r="54" spans="3:59" x14ac:dyDescent="0.25">
      <c r="C54" s="15">
        <v>1800</v>
      </c>
      <c r="D54" s="17">
        <f>[1]!MF_p_pipe_atma(0,100,C54,Pbuf,0,$J$7,90,IDtub,1,Tbuf,Tbuf)</f>
        <v>194.25819748862313</v>
      </c>
      <c r="E54" s="17">
        <f>[1]!MF_p_pipe_atma(0,0,C54,Pcas,0,$J$8,90,IDtub,1,Tbuf,Tbuf)</f>
        <v>102.8381368190072</v>
      </c>
      <c r="F54" s="15">
        <f>[1]!MF_p_pipe_atma(0,100,C54-C53,F53,0,$J$7,90,IDtub,1,Tbuf,Tbuf)</f>
        <v>148.45212061244851</v>
      </c>
      <c r="G54" s="15">
        <f>[1]!MF_p_pipe_atma(0,0,C54,$G$33,0,$J$8,90,IDtub,1,Tbuf,Tbuf)</f>
        <v>101.46804498621768</v>
      </c>
      <c r="H54" s="37">
        <f>[1]!MF_p_pipe_atma(0,100,C54-C53,H53,0,$J$7,90,IDtub,1,Tbuf,Tbuf)</f>
        <v>104.70363129951976</v>
      </c>
      <c r="I54" s="15">
        <f>[1]!MF_p_pipe_atma(0,0,C54,$I$33,0,$J$8,90,IDtub,1,Tbuf,Tbuf)</f>
        <v>90.950814009622491</v>
      </c>
      <c r="J54" s="15">
        <f>[1]!MF_p_pipe_atma(0,100,C54-C53,J53,0,$J$7,90,IDtub,1,Tbuf,Tbuf)</f>
        <v>72.524960161242021</v>
      </c>
      <c r="K54" s="15"/>
      <c r="L54" s="15"/>
      <c r="P54" s="25"/>
      <c r="Q54" s="18"/>
      <c r="R54" s="18"/>
      <c r="S54" s="18"/>
      <c r="T54" s="18"/>
      <c r="U54" s="18"/>
      <c r="V54" s="18"/>
      <c r="W54" s="18"/>
      <c r="X54" s="18"/>
      <c r="Y54" s="18"/>
      <c r="Z54" s="26"/>
      <c r="AA54" s="2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25"/>
      <c r="AM54" s="18"/>
      <c r="AN54" s="18"/>
      <c r="AO54" s="18"/>
      <c r="AP54" s="18"/>
      <c r="AQ54" s="18"/>
      <c r="AR54" s="18"/>
      <c r="AS54" s="18"/>
      <c r="AT54" s="18"/>
      <c r="AU54" s="18"/>
      <c r="AV54" s="26"/>
      <c r="BA54" s="75" t="s">
        <v>93</v>
      </c>
      <c r="BB54" s="68">
        <f>[1]!GLV_p_atma($AY$30,$AY$29,$BB$53,γg,Tbuf,1)</f>
        <v>89.779554615101262</v>
      </c>
      <c r="BC54" s="75" t="s">
        <v>93</v>
      </c>
      <c r="BD54" s="74">
        <f>[1]!GLV_p_atma($AY$30,$AY$29,$BD$53,γg,Tbuf,1)</f>
        <v>88.573828161588253</v>
      </c>
      <c r="BE54" s="75" t="s">
        <v>93</v>
      </c>
      <c r="BF54" s="74">
        <f t="array" ref="BF54:BG55">[1]!GLV_p_atma($AY$30,$AY$29,$BF$53,γg,Tbuf,1)</f>
        <v>79.578176774589252</v>
      </c>
      <c r="BG54">
        <v>39444.615521018823</v>
      </c>
    </row>
    <row r="55" spans="3:59" ht="15.75" thickBot="1" x14ac:dyDescent="0.3">
      <c r="C55" s="15">
        <v>1900</v>
      </c>
      <c r="D55" s="17">
        <f>[1]!MF_p_pipe_atma(0,100,C55,Pbuf,0,$J$7,90,IDtub,1,Tbuf,Tbuf)</f>
        <v>203.95841458781166</v>
      </c>
      <c r="E55" s="17">
        <f>[1]!MF_p_pipe_atma(0,0,C55,Pcas,0,$J$8,90,IDtub,1,Tbuf,Tbuf)</f>
        <v>103.61410152937215</v>
      </c>
      <c r="F55" s="15">
        <f>[1]!MF_p_pipe_atma(0,100,C55-C54,F54,0,$J$7,90,IDtub,1,Tbuf,Tbuf)</f>
        <v>158.14108567651286</v>
      </c>
      <c r="G55" s="15">
        <f>[1]!MF_p_pipe_atma(0,0,C55,$G$33,0,$J$8,90,IDtub,1,Tbuf,Tbuf)</f>
        <v>102.23401375512009</v>
      </c>
      <c r="H55" s="37">
        <f>[1]!MF_p_pipe_atma(0,100,C55-C54,H54,0,$J$7,90,IDtub,1,Tbuf,Tbuf)</f>
        <v>114.38381883061155</v>
      </c>
      <c r="I55" s="15">
        <f>[1]!MF_p_pipe_atma(0,0,C55,$I$33,0,$J$8,90,IDtub,1,Tbuf,Tbuf)</f>
        <v>91.639187103893221</v>
      </c>
      <c r="J55" s="15">
        <f>[1]!MF_p_pipe_atma(0,100,C55-C54,J54,0,$J$7,90,IDtub,1,Tbuf,Tbuf)</f>
        <v>82.199913085943763</v>
      </c>
      <c r="K55" s="15"/>
      <c r="L55" s="15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9"/>
      <c r="AA55" s="27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7"/>
      <c r="AM55" s="28"/>
      <c r="AN55" s="28"/>
      <c r="AO55" s="28"/>
      <c r="AP55" s="28"/>
      <c r="AQ55" s="28"/>
      <c r="AR55" s="28"/>
      <c r="AS55" s="28"/>
      <c r="AT55" s="28"/>
      <c r="AU55" s="28"/>
      <c r="AV55" s="29"/>
      <c r="BF55" t="str">
        <v>p</v>
      </c>
      <c r="BG55" t="str">
        <v>Qmax_m3day</v>
      </c>
    </row>
    <row r="56" spans="3:59" x14ac:dyDescent="0.25">
      <c r="C56" s="15">
        <v>2000</v>
      </c>
      <c r="D56" s="17">
        <f>[1]!MF_p_pipe_atma(0,100,C56,Pbuf,0,$J$7,90,IDtub,1,Tbuf,Tbuf)</f>
        <v>213.6612864230238</v>
      </c>
      <c r="E56" s="17">
        <f>[1]!MF_p_pipe_atma(0,0,C56,Pcas,0,$J$8,90,IDtub,1,Tbuf,Tbuf)</f>
        <v>104.39571554056559</v>
      </c>
      <c r="F56" s="15">
        <f>[1]!MF_p_pipe_atma(0,100,C56-C55,F55,0,$J$7,90,IDtub,1,Tbuf,Tbuf)</f>
        <v>167.83225447330855</v>
      </c>
      <c r="G56" s="15">
        <f>[1]!MF_p_pipe_atma(0,0,C56,$G$33,0,$J$8,90,IDtub,1,Tbuf,Tbuf)</f>
        <v>103.00557421393663</v>
      </c>
      <c r="H56" s="37">
        <f>[1]!MF_p_pipe_atma(0,100,C56-C55,H55,0,$J$7,90,IDtub,1,Tbuf,Tbuf)</f>
        <v>124.06578340161575</v>
      </c>
      <c r="I56" s="15">
        <f>[1]!MF_p_pipe_atma(0,0,C56,$I$33,0,$J$8,90,IDtub,1,Tbuf,Tbuf)</f>
        <v>92.332683734526</v>
      </c>
      <c r="J56" s="15">
        <f>[1]!MF_p_pipe_atma(0,100,C56-C55,J55,0,$J$7,90,IDtub,1,Tbuf,Tbuf)</f>
        <v>91.876331270965053</v>
      </c>
      <c r="K56" s="15"/>
      <c r="L56" s="15"/>
      <c r="BE56">
        <f>[1]!GLV_p_atma($H$21,$AM$37,$BF$53,γg,Tbuf,0,$AT$37)</f>
        <v>86.851069854964123</v>
      </c>
      <c r="BF56">
        <f>[1]!MF_p_pipe_atma(0,0,$G$21,BE56,1,$J$8,θ)</f>
        <v>79.395555060937255</v>
      </c>
    </row>
  </sheetData>
  <conditionalFormatting sqref="Y32:Z37">
    <cfRule type="containsText" dxfId="5" priority="5" operator="containsText" text="да">
      <formula>NOT(ISERROR(SEARCH("да",Y32)))</formula>
    </cfRule>
    <cfRule type="containsText" dxfId="4" priority="6" operator="containsText" text="нет">
      <formula>NOT(ISERROR(SEARCH("нет",Y32)))</formula>
    </cfRule>
  </conditionalFormatting>
  <conditionalFormatting sqref="AJ32:AK38">
    <cfRule type="containsText" dxfId="3" priority="3" operator="containsText" text="да">
      <formula>NOT(ISERROR(SEARCH("да",AJ32)))</formula>
    </cfRule>
    <cfRule type="containsText" dxfId="2" priority="4" operator="containsText" text="нет">
      <formula>NOT(ISERROR(SEARCH("нет",AJ32)))</formula>
    </cfRule>
  </conditionalFormatting>
  <conditionalFormatting sqref="AU32:AV39">
    <cfRule type="containsText" dxfId="1" priority="1" operator="containsText" text="да">
      <formula>NOT(ISERROR(SEARCH("да",AU32)))</formula>
    </cfRule>
    <cfRule type="containsText" dxfId="0" priority="2" operator="containsText" text="нет">
      <formula>NOT(ISERROR(SEARCH("нет",AU32)))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Bob_cal</vt:lpstr>
      <vt:lpstr>fw</vt:lpstr>
      <vt:lpstr>Hmes</vt:lpstr>
      <vt:lpstr>Hmes_Hvert</vt:lpstr>
      <vt:lpstr>Htube</vt:lpstr>
      <vt:lpstr>IDcas</vt:lpstr>
      <vt:lpstr>IDtub</vt:lpstr>
      <vt:lpstr>ODtub</vt:lpstr>
      <vt:lpstr>Pb_cal</vt:lpstr>
      <vt:lpstr>Pbuf</vt:lpstr>
      <vt:lpstr>Pcas</vt:lpstr>
      <vt:lpstr>Pwf</vt:lpstr>
      <vt:lpstr>q</vt:lpstr>
      <vt:lpstr>qgas</vt:lpstr>
      <vt:lpstr>Rp</vt:lpstr>
      <vt:lpstr>Rsb</vt:lpstr>
      <vt:lpstr>Tbuf</vt:lpstr>
      <vt:lpstr>Tres</vt:lpstr>
      <vt:lpstr>Лист1!Tres_</vt:lpstr>
      <vt:lpstr>Twf</vt:lpstr>
      <vt:lpstr>γg</vt:lpstr>
      <vt:lpstr>γo</vt:lpstr>
      <vt:lpstr>γw</vt:lpstr>
      <vt:lpstr>θ</vt:lpstr>
      <vt:lpstr>μob_cal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Khalikov.RS</cp:lastModifiedBy>
  <dcterms:created xsi:type="dcterms:W3CDTF">2019-08-04T10:12:06Z</dcterms:created>
  <dcterms:modified xsi:type="dcterms:W3CDTF">2019-10-30T07:22:24Z</dcterms:modified>
</cp:coreProperties>
</file>