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embeddings/oleObject10.bin" ContentType="application/vnd.openxmlformats-officedocument.oleObject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rnt\unifloc_vba\exercises\excercises\"/>
    </mc:Choice>
  </mc:AlternateContent>
  <xr:revisionPtr revIDLastSave="0" documentId="8_{9A288548-0608-4816-A7E4-99D8F8EFB1D9}" xr6:coauthVersionLast="45" xr6:coauthVersionMax="45" xr10:uidLastSave="{00000000-0000-0000-0000-000000000000}"/>
  <bookViews>
    <workbookView xWindow="-38520" yWindow="-120" windowWidth="38640" windowHeight="21240" tabRatio="547" xr2:uid="{00000000-000D-0000-FFFF-FFFF00000000}"/>
  </bookViews>
  <sheets>
    <sheet name="Упражнение 1" sheetId="2" r:id="rId1"/>
    <sheet name="Упражнение 2" sheetId="4" r:id="rId2"/>
    <sheet name="Упражнение  3" sheetId="8" r:id="rId3"/>
    <sheet name="Упражнение 4" sheetId="10" r:id="rId4"/>
  </sheets>
  <externalReferences>
    <externalReference r:id="rId5"/>
  </externalReferences>
  <definedNames>
    <definedName name="B" localSheetId="2">'Упражнение  3'!$C$21</definedName>
    <definedName name="B" localSheetId="3">'Упражнение 4'!$C$21</definedName>
    <definedName name="B">'Упражнение 2'!$C$21</definedName>
    <definedName name="CD" localSheetId="3">'Упражнение 4'!$C$29</definedName>
    <definedName name="Cs" localSheetId="2">'Упражнение  3'!$C$24</definedName>
    <definedName name="Cs" localSheetId="3">'Упражнение 4'!$C$27</definedName>
    <definedName name="Cs">'Упражнение 2'!$C$24</definedName>
    <definedName name="ct" localSheetId="2">'Упражнение  3'!$C$18</definedName>
    <definedName name="ct" localSheetId="3">'Упражнение 4'!$C$18</definedName>
    <definedName name="ct">'Упражнение 2'!$C$18</definedName>
    <definedName name="h" localSheetId="2">'Упражнение  3'!$C$25</definedName>
    <definedName name="h" localSheetId="3">'Упражнение 4'!$C$24</definedName>
    <definedName name="h">'Упражнение 2'!$C$25</definedName>
    <definedName name="k" localSheetId="2">'Упражнение  3'!$C$16</definedName>
    <definedName name="k" localSheetId="3">'Упражнение 4'!$C$16</definedName>
    <definedName name="k">'Упражнение 2'!$C$16</definedName>
    <definedName name="mu" localSheetId="2">'Упражнение  3'!$C$17</definedName>
    <definedName name="mu" localSheetId="3">'Упражнение 4'!$C$17</definedName>
    <definedName name="mu">'Упражнение 2'!$C$17</definedName>
    <definedName name="Perm" localSheetId="2">'Упражнение  3'!$C$16</definedName>
    <definedName name="Perm" localSheetId="3">'Упражнение 4'!$C$16</definedName>
    <definedName name="Perm">'Упражнение 2'!$C$16</definedName>
    <definedName name="Pi" localSheetId="2">'Упражнение  3'!$C$22</definedName>
    <definedName name="Pi" localSheetId="3">'Упражнение 4'!$C$22</definedName>
    <definedName name="Pi">'Упражнение 2'!$C$22</definedName>
    <definedName name="por" localSheetId="2">'Упражнение  3'!$C$23</definedName>
    <definedName name="por" localSheetId="3">'Упражнение 4'!$C$23</definedName>
    <definedName name="por">'Упражнение 2'!$C$23</definedName>
    <definedName name="q" localSheetId="2">'Упражнение  3'!$C$20</definedName>
    <definedName name="q" localSheetId="3">'Упражнение 4'!$C$20</definedName>
    <definedName name="q">'Упражнение 2'!$C$20</definedName>
    <definedName name="rinat">'Упражнение 2'!$C$27</definedName>
    <definedName name="rw" localSheetId="2">'Упражнение  3'!$C$19</definedName>
    <definedName name="rw" localSheetId="3">'Упражнение 4'!$C$19</definedName>
    <definedName name="rw">'Упражнение 2'!$C$19</definedName>
    <definedName name="S">'Упражнение 2'!$C$26</definedName>
    <definedName name="skin" localSheetId="3">'Упражнение 4'!$C$28</definedName>
    <definedName name="t">'Упражнение  3'!$C$28</definedName>
    <definedName name="td">'Упражнение  3'!$C$29</definedName>
    <definedName name="р" localSheetId="2">'Упражнение  3'!$C$25</definedName>
    <definedName name="р" localSheetId="3">'Упражнение 4'!$C$24</definedName>
    <definedName name="р">'Упражнение 2'!$C$25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7" i="10" l="1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16" i="10"/>
  <c r="C64" i="2"/>
  <c r="C63" i="2" s="1"/>
  <c r="C62" i="2" s="1"/>
  <c r="C61" i="2" s="1"/>
  <c r="C60" i="2" s="1"/>
  <c r="C59" i="2" s="1"/>
  <c r="C58" i="2" s="1"/>
  <c r="C57" i="2" s="1"/>
  <c r="C56" i="2" s="1"/>
  <c r="C55" i="2" s="1"/>
  <c r="C54" i="2" s="1"/>
  <c r="C53" i="2" s="1"/>
  <c r="C52" i="2" s="1"/>
  <c r="C51" i="2" s="1"/>
  <c r="C50" i="2" s="1"/>
  <c r="C65" i="2"/>
  <c r="C66" i="2"/>
  <c r="C67" i="2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18" i="4"/>
  <c r="H19" i="4"/>
  <c r="H20" i="4"/>
  <c r="H21" i="4"/>
  <c r="H22" i="4"/>
  <c r="H23" i="4"/>
  <c r="H24" i="4"/>
  <c r="H25" i="4"/>
  <c r="H26" i="4"/>
  <c r="H27" i="4"/>
  <c r="H28" i="4"/>
  <c r="H17" i="4"/>
  <c r="I22" i="10"/>
  <c r="I34" i="10"/>
  <c r="I46" i="10"/>
  <c r="I23" i="10"/>
  <c r="I35" i="10"/>
  <c r="I47" i="10"/>
  <c r="I24" i="10"/>
  <c r="I36" i="10"/>
  <c r="I48" i="10"/>
  <c r="I25" i="10"/>
  <c r="I37" i="10"/>
  <c r="I49" i="10"/>
  <c r="I33" i="10"/>
  <c r="I26" i="10"/>
  <c r="I38" i="10"/>
  <c r="I50" i="10"/>
  <c r="I27" i="10"/>
  <c r="I39" i="10"/>
  <c r="I43" i="10"/>
  <c r="I32" i="10"/>
  <c r="I45" i="10"/>
  <c r="I28" i="10"/>
  <c r="I40" i="10"/>
  <c r="I29" i="10"/>
  <c r="I41" i="10"/>
  <c r="I18" i="10"/>
  <c r="I30" i="10"/>
  <c r="I42" i="10"/>
  <c r="I19" i="10"/>
  <c r="I31" i="10"/>
  <c r="I20" i="10"/>
  <c r="I44" i="10"/>
  <c r="I21" i="10"/>
  <c r="I17" i="10"/>
  <c r="J17" i="10"/>
  <c r="Y15" i="10"/>
  <c r="X15" i="10"/>
  <c r="J18" i="10"/>
  <c r="J30" i="10"/>
  <c r="J42" i="10"/>
  <c r="J19" i="10"/>
  <c r="J31" i="10"/>
  <c r="J43" i="10"/>
  <c r="J20" i="10"/>
  <c r="J32" i="10"/>
  <c r="J44" i="10"/>
  <c r="J21" i="10"/>
  <c r="J33" i="10"/>
  <c r="J22" i="10"/>
  <c r="J34" i="10"/>
  <c r="J46" i="10"/>
  <c r="J48" i="10"/>
  <c r="J26" i="10"/>
  <c r="J27" i="10"/>
  <c r="J23" i="10"/>
  <c r="J35" i="10"/>
  <c r="J47" i="10"/>
  <c r="J24" i="10"/>
  <c r="J36" i="10"/>
  <c r="J38" i="10"/>
  <c r="J25" i="10"/>
  <c r="J37" i="10"/>
  <c r="J49" i="10"/>
  <c r="J39" i="10"/>
  <c r="J28" i="10"/>
  <c r="J40" i="10"/>
  <c r="J29" i="10"/>
  <c r="J41" i="10"/>
  <c r="J45" i="10"/>
  <c r="D70" i="2"/>
  <c r="D71" i="2"/>
  <c r="D83" i="2"/>
  <c r="D72" i="2"/>
  <c r="D84" i="2"/>
  <c r="D81" i="2"/>
  <c r="D73" i="2"/>
  <c r="D85" i="2"/>
  <c r="D74" i="2"/>
  <c r="D86" i="2"/>
  <c r="D75" i="2"/>
  <c r="D87" i="2"/>
  <c r="D76" i="2"/>
  <c r="D77" i="2"/>
  <c r="D82" i="2"/>
  <c r="D78" i="2"/>
  <c r="D79" i="2"/>
  <c r="D68" i="2"/>
  <c r="D80" i="2"/>
  <c r="D69" i="2"/>
  <c r="D51" i="2"/>
  <c r="D63" i="2"/>
  <c r="D52" i="2"/>
  <c r="D64" i="2"/>
  <c r="D66" i="2"/>
  <c r="D56" i="2"/>
  <c r="D62" i="2"/>
  <c r="D53" i="2"/>
  <c r="D65" i="2"/>
  <c r="D54" i="2"/>
  <c r="D67" i="2"/>
  <c r="D59" i="2"/>
  <c r="D61" i="2"/>
  <c r="D55" i="2"/>
  <c r="D57" i="2"/>
  <c r="D58" i="2"/>
  <c r="D60" i="2"/>
  <c r="D50" i="2"/>
  <c r="F17" i="2"/>
  <c r="F29" i="2"/>
  <c r="F18" i="2"/>
  <c r="F30" i="2"/>
  <c r="F19" i="2"/>
  <c r="F31" i="2"/>
  <c r="F20" i="2"/>
  <c r="F27" i="2"/>
  <c r="F28" i="2"/>
  <c r="F21" i="2"/>
  <c r="F22" i="2"/>
  <c r="F23" i="2"/>
  <c r="F24" i="2"/>
  <c r="F13" i="2"/>
  <c r="F25" i="2"/>
  <c r="F14" i="2"/>
  <c r="F26" i="2"/>
  <c r="F15" i="2"/>
  <c r="F16" i="2"/>
  <c r="F12" i="2"/>
  <c r="I23" i="4"/>
  <c r="I35" i="4"/>
  <c r="I39" i="4"/>
  <c r="I44" i="4"/>
  <c r="I22" i="4"/>
  <c r="I24" i="4"/>
  <c r="I36" i="4"/>
  <c r="I38" i="4"/>
  <c r="I31" i="4"/>
  <c r="I21" i="4"/>
  <c r="I25" i="4"/>
  <c r="I37" i="4"/>
  <c r="I27" i="4"/>
  <c r="I43" i="4"/>
  <c r="I32" i="4"/>
  <c r="I45" i="4"/>
  <c r="I26" i="4"/>
  <c r="I28" i="4"/>
  <c r="I40" i="4"/>
  <c r="I29" i="4"/>
  <c r="I41" i="4"/>
  <c r="I42" i="4"/>
  <c r="I20" i="4"/>
  <c r="I34" i="4"/>
  <c r="I30" i="4"/>
  <c r="I33" i="4"/>
  <c r="I46" i="4"/>
  <c r="I18" i="4"/>
  <c r="I17" i="4"/>
  <c r="I19" i="4"/>
  <c r="X16" i="10" l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Y16" i="10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C12" i="2"/>
  <c r="C13" i="2" s="1"/>
  <c r="L14" i="10"/>
  <c r="G24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H50" i="10" s="1"/>
  <c r="F50" i="10" s="1"/>
  <c r="C29" i="10"/>
  <c r="C32" i="10"/>
  <c r="F25" i="10" s="1"/>
  <c r="G22" i="8"/>
  <c r="G23" i="8"/>
  <c r="C29" i="8"/>
  <c r="C34" i="8"/>
  <c r="D37" i="8"/>
  <c r="D38" i="8"/>
  <c r="J12" i="4"/>
  <c r="G22" i="4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C29" i="4"/>
  <c r="E12" i="2"/>
  <c r="G24" i="8"/>
  <c r="F24" i="10"/>
  <c r="F22" i="10"/>
  <c r="F20" i="10"/>
  <c r="F18" i="10"/>
  <c r="F23" i="10"/>
  <c r="F21" i="10"/>
  <c r="F19" i="10"/>
  <c r="F26" i="10"/>
  <c r="G25" i="8"/>
  <c r="F27" i="10"/>
  <c r="G26" i="8"/>
  <c r="F28" i="10"/>
  <c r="G27" i="8"/>
  <c r="G28" i="8"/>
  <c r="F29" i="10"/>
  <c r="F30" i="10"/>
  <c r="G29" i="8"/>
  <c r="F31" i="10"/>
  <c r="G30" i="8"/>
  <c r="F32" i="10"/>
  <c r="G31" i="8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J50" i="10"/>
  <c r="N7" i="10"/>
  <c r="I6" i="2"/>
  <c r="D13" i="2"/>
  <c r="J6" i="2"/>
  <c r="D12" i="2"/>
  <c r="G12" i="2" l="1"/>
  <c r="G13" i="2"/>
  <c r="L50" i="10"/>
  <c r="K50" i="10"/>
  <c r="J50" i="8"/>
  <c r="L50" i="8" s="1"/>
  <c r="H50" i="8"/>
  <c r="H50" i="4"/>
  <c r="J50" i="4"/>
  <c r="L50" i="4" s="1"/>
  <c r="C14" i="2"/>
  <c r="E13" i="2"/>
  <c r="F17" i="10"/>
  <c r="D14" i="2"/>
  <c r="I50" i="8"/>
  <c r="I50" i="4"/>
  <c r="G14" i="2" l="1"/>
  <c r="K50" i="4"/>
  <c r="K50" i="8"/>
  <c r="O50" i="4"/>
  <c r="C15" i="2"/>
  <c r="E14" i="2"/>
  <c r="D15" i="2"/>
  <c r="M50" i="4"/>
  <c r="G15" i="2" l="1"/>
  <c r="N50" i="4"/>
  <c r="C16" i="2"/>
  <c r="E15" i="2"/>
  <c r="D16" i="2"/>
  <c r="G16" i="2" l="1"/>
  <c r="C17" i="2"/>
  <c r="E16" i="2"/>
  <c r="D17" i="2"/>
  <c r="G17" i="2" l="1"/>
  <c r="E17" i="2"/>
  <c r="C18" i="2"/>
  <c r="D18" i="2"/>
  <c r="G18" i="2" l="1"/>
  <c r="C19" i="2"/>
  <c r="E18" i="2"/>
  <c r="D19" i="2"/>
  <c r="G19" i="2" l="1"/>
  <c r="E19" i="2"/>
  <c r="C20" i="2"/>
  <c r="D20" i="2"/>
  <c r="G20" i="2" l="1"/>
  <c r="E20" i="2"/>
  <c r="C21" i="2"/>
  <c r="D21" i="2"/>
  <c r="G21" i="2" l="1"/>
  <c r="E21" i="2"/>
  <c r="C22" i="2"/>
  <c r="D22" i="2"/>
  <c r="G22" i="2" l="1"/>
  <c r="C23" i="2"/>
  <c r="E22" i="2"/>
  <c r="D23" i="2"/>
  <c r="G23" i="2" l="1"/>
  <c r="E23" i="2"/>
  <c r="C24" i="2"/>
  <c r="D24" i="2"/>
  <c r="G24" i="2" l="1"/>
  <c r="E24" i="2"/>
  <c r="C25" i="2"/>
  <c r="D25" i="2"/>
  <c r="G25" i="2" l="1"/>
  <c r="E25" i="2"/>
  <c r="C26" i="2"/>
  <c r="D26" i="2"/>
  <c r="G26" i="2" l="1"/>
  <c r="C27" i="2"/>
  <c r="E26" i="2"/>
  <c r="D27" i="2"/>
  <c r="G27" i="2" l="1"/>
  <c r="E27" i="2"/>
  <c r="C28" i="2"/>
  <c r="D28" i="2"/>
  <c r="G28" i="2" l="1"/>
  <c r="E28" i="2"/>
  <c r="C29" i="2"/>
  <c r="D29" i="2"/>
  <c r="G29" i="2" l="1"/>
  <c r="E29" i="2"/>
  <c r="C30" i="2"/>
  <c r="D30" i="2"/>
  <c r="G30" i="2" l="1"/>
  <c r="C31" i="2"/>
  <c r="E30" i="2"/>
  <c r="D31" i="2"/>
  <c r="G31" i="2" l="1"/>
  <c r="E31" i="2"/>
</calcChain>
</file>

<file path=xl/sharedStrings.xml><?xml version="1.0" encoding="utf-8"?>
<sst xmlns="http://schemas.openxmlformats.org/spreadsheetml/2006/main" count="124" uniqueCount="72">
  <si>
    <t>Модель теста падения давления</t>
  </si>
  <si>
    <t>Решение линейного стока и его аппроксимация</t>
  </si>
  <si>
    <t>Проницаемость</t>
  </si>
  <si>
    <t>мД</t>
  </si>
  <si>
    <t>td</t>
  </si>
  <si>
    <t>Pd</t>
  </si>
  <si>
    <t>Вязкость</t>
  </si>
  <si>
    <t>сП</t>
  </si>
  <si>
    <t>Общая сжимаемость</t>
  </si>
  <si>
    <t>1/атм</t>
  </si>
  <si>
    <t>Радиус скважины</t>
  </si>
  <si>
    <t xml:space="preserve">м </t>
  </si>
  <si>
    <t>Дебит жидкости</t>
  </si>
  <si>
    <t>м3/сут</t>
  </si>
  <si>
    <t>Объемный коэфф</t>
  </si>
  <si>
    <t>м3/м3</t>
  </si>
  <si>
    <t>Начальное давление</t>
  </si>
  <si>
    <t>атм</t>
  </si>
  <si>
    <t>Пористость</t>
  </si>
  <si>
    <t>Коэф ствола скважины</t>
  </si>
  <si>
    <t>м3/атм</t>
  </si>
  <si>
    <t>Толщина</t>
  </si>
  <si>
    <t>м</t>
  </si>
  <si>
    <t>t</t>
  </si>
  <si>
    <t>Pd_ln</t>
  </si>
  <si>
    <t>Задача</t>
  </si>
  <si>
    <t>Построить решение линейного стока для заданного набора данных</t>
  </si>
  <si>
    <t>Нарисовать график в полулогарифмических координатах</t>
  </si>
  <si>
    <t>Интегральная  экспонента</t>
  </si>
  <si>
    <t>Построить график функции интегральной экспоненты</t>
  </si>
  <si>
    <t>х</t>
  </si>
  <si>
    <t>множитель для оси х</t>
  </si>
  <si>
    <t>Упражнение</t>
  </si>
  <si>
    <t>y=Ei(x)</t>
  </si>
  <si>
    <t>y=-ln(x)</t>
  </si>
  <si>
    <t>Ei(1)=</t>
  </si>
  <si>
    <t>инкремент для х</t>
  </si>
  <si>
    <t>P_Ei</t>
  </si>
  <si>
    <t>P_ln</t>
  </si>
  <si>
    <t>Радиус исследований скважины</t>
  </si>
  <si>
    <t xml:space="preserve">Решение линейного стока </t>
  </si>
  <si>
    <t>Нарисовать график решения от радиуса в безразмерных  и размерных координатах</t>
  </si>
  <si>
    <t>rd</t>
  </si>
  <si>
    <t>момент времени t</t>
  </si>
  <si>
    <t>час</t>
  </si>
  <si>
    <t>безразмерное время</t>
  </si>
  <si>
    <t>Радиус  исследования</t>
  </si>
  <si>
    <t>минималное давление</t>
  </si>
  <si>
    <t>максимальное давление</t>
  </si>
  <si>
    <t>формула</t>
  </si>
  <si>
    <t>бар</t>
  </si>
  <si>
    <t>Нарисовать график решения в безразмерных и размерных координатах</t>
  </si>
  <si>
    <t>Оценить границу применисти апроксимации решения для данного случая</t>
  </si>
  <si>
    <t>Определить границу применимости лог аппроксимации</t>
  </si>
  <si>
    <t>Скин</t>
  </si>
  <si>
    <t>Сравнение решений линейного стока и решения для конечного радиуса скважины</t>
  </si>
  <si>
    <t>Построить решение используя функцию Stehfest для заданных значений параметров</t>
  </si>
  <si>
    <t>Сравнить решение с решением линейного стока</t>
  </si>
  <si>
    <t>Оценить влияние скина и эффекта послепритока к скважине</t>
  </si>
  <si>
    <t>Скин =0, Сs = 0</t>
  </si>
  <si>
    <t>Pd(Cd,S)</t>
  </si>
  <si>
    <t>P</t>
  </si>
  <si>
    <t>P(Cs,S)</t>
  </si>
  <si>
    <t>CD</t>
  </si>
  <si>
    <t xml:space="preserve"> </t>
  </si>
  <si>
    <t xml:space="preserve"> расстояние</t>
  </si>
  <si>
    <t>Pwf_Ei</t>
  </si>
  <si>
    <t>Pd_ei</t>
  </si>
  <si>
    <t>r2</t>
  </si>
  <si>
    <t>отр скин</t>
  </si>
  <si>
    <t>r eff</t>
  </si>
  <si>
    <t>tdeff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</si>
</sst>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7" formatCode="0.000"/>
  </numFmts>
  <fonts count="8" x14ac:knownFonts="1">
    <font>
      <sz val="10"/>
      <name val="Arial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22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2" fontId="2" fillId="0" borderId="0" xfId="1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0" xfId="1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5" fillId="2" borderId="0" xfId="1" applyFont="1" applyFill="1" applyAlignment="1">
      <alignment horizontal="center"/>
    </xf>
    <xf numFmtId="0" fontId="2" fillId="2" borderId="0" xfId="1" applyFill="1"/>
    <xf numFmtId="0" fontId="2" fillId="2" borderId="0" xfId="1" applyFill="1" applyAlignment="1">
      <alignment horizontal="center"/>
    </xf>
    <xf numFmtId="11" fontId="2" fillId="2" borderId="0" xfId="1" applyNumberFormat="1" applyFill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4" fillId="3" borderId="0" xfId="1" applyFont="1" applyFill="1"/>
    <xf numFmtId="0" fontId="2" fillId="3" borderId="0" xfId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2" fillId="0" borderId="0" xfId="1" applyNumberFormat="1"/>
    <xf numFmtId="11" fontId="2" fillId="3" borderId="0" xfId="1" applyNumberFormat="1" applyFill="1"/>
    <xf numFmtId="164" fontId="6" fillId="2" borderId="0" xfId="1" applyNumberFormat="1" applyFont="1" applyFill="1"/>
    <xf numFmtId="1" fontId="2" fillId="0" borderId="0" xfId="1" applyNumberFormat="1"/>
    <xf numFmtId="164" fontId="4" fillId="4" borderId="0" xfId="1" applyNumberFormat="1" applyFont="1" applyFill="1"/>
    <xf numFmtId="2" fontId="4" fillId="4" borderId="0" xfId="1" applyNumberFormat="1" applyFont="1" applyFill="1"/>
    <xf numFmtId="11" fontId="2" fillId="2" borderId="0" xfId="1" applyNumberForma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2" fillId="5" borderId="0" xfId="1" applyFill="1"/>
    <xf numFmtId="165" fontId="0" fillId="0" borderId="0" xfId="0" applyNumberFormat="1" applyAlignment="1">
      <alignment horizontal="center"/>
    </xf>
    <xf numFmtId="167" fontId="2" fillId="0" borderId="0" xfId="1" applyNumberFormat="1" applyFont="1" applyFill="1" applyAlignment="1">
      <alignment horizontal="center"/>
    </xf>
    <xf numFmtId="165" fontId="0" fillId="0" borderId="0" xfId="0" applyNumberFormat="1"/>
    <xf numFmtId="164" fontId="7" fillId="2" borderId="0" xfId="1" applyNumberFormat="1" applyFont="1" applyFill="1"/>
  </cellXfs>
  <cellStyles count="2">
    <cellStyle name="Обычный" xfId="0" builtinId="0"/>
    <cellStyle name="Обычный_demo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Интегральная экспонента</a:t>
            </a:r>
          </a:p>
        </c:rich>
      </c:tx>
      <c:layout>
        <c:manualLayout>
          <c:xMode val="edge"/>
          <c:yMode val="edge"/>
          <c:x val="0.32327630232661592"/>
          <c:y val="3.3510683287351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811549795041117E-2"/>
          <c:y val="0.17989979587570315"/>
          <c:w val="0.89152663646219932"/>
          <c:h val="0.63846790300984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1'!$D$11</c:f>
              <c:strCache>
                <c:ptCount val="1"/>
                <c:pt idx="0">
                  <c:v>y=Ei(x)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1'!$C$12:$C$31</c:f>
              <c:numCache>
                <c:formatCode>General</c:formatCode>
                <c:ptCount val="20"/>
                <c:pt idx="0">
                  <c:v>1E-3</c:v>
                </c:pt>
                <c:pt idx="1">
                  <c:v>1.1999999999999999E-3</c:v>
                </c:pt>
                <c:pt idx="2">
                  <c:v>1.4399999999999999E-3</c:v>
                </c:pt>
                <c:pt idx="3">
                  <c:v>1.7279999999999997E-3</c:v>
                </c:pt>
                <c:pt idx="4">
                  <c:v>2.0735999999999997E-3</c:v>
                </c:pt>
                <c:pt idx="5">
                  <c:v>2.4883199999999996E-3</c:v>
                </c:pt>
                <c:pt idx="6">
                  <c:v>2.9859839999999993E-3</c:v>
                </c:pt>
                <c:pt idx="7">
                  <c:v>3.583180799999999E-3</c:v>
                </c:pt>
                <c:pt idx="8">
                  <c:v>4.2998169599999985E-3</c:v>
                </c:pt>
                <c:pt idx="9">
                  <c:v>5.1597803519999978E-3</c:v>
                </c:pt>
                <c:pt idx="10">
                  <c:v>6.1917364223999976E-3</c:v>
                </c:pt>
                <c:pt idx="11">
                  <c:v>7.4300837068799969E-3</c:v>
                </c:pt>
                <c:pt idx="12">
                  <c:v>8.9161004482559963E-3</c:v>
                </c:pt>
                <c:pt idx="13">
                  <c:v>1.0699320537907194E-2</c:v>
                </c:pt>
                <c:pt idx="14">
                  <c:v>1.2839184645488633E-2</c:v>
                </c:pt>
                <c:pt idx="15">
                  <c:v>1.5407021574586359E-2</c:v>
                </c:pt>
                <c:pt idx="16">
                  <c:v>1.848842588950363E-2</c:v>
                </c:pt>
                <c:pt idx="17">
                  <c:v>2.2186111067404354E-2</c:v>
                </c:pt>
                <c:pt idx="18">
                  <c:v>2.6623333280885224E-2</c:v>
                </c:pt>
                <c:pt idx="19">
                  <c:v>3.1947999937062266E-2</c:v>
                </c:pt>
              </c:numCache>
            </c:numRef>
          </c:xVal>
          <c:yVal>
            <c:numRef>
              <c:f>'Упражнение 1'!$D$12:$D$31</c:f>
              <c:numCache>
                <c:formatCode>0.0000000</c:formatCode>
                <c:ptCount val="20"/>
                <c:pt idx="0">
                  <c:v>6.3315393641361499</c:v>
                </c:pt>
                <c:pt idx="1">
                  <c:v>6.1494176973826296</c:v>
                </c:pt>
                <c:pt idx="2">
                  <c:v>5.9673359822585388</c:v>
                </c:pt>
                <c:pt idx="3">
                  <c:v>5.785302197489302</c:v>
                </c:pt>
                <c:pt idx="4">
                  <c:v>5.6033259124456931</c:v>
                </c:pt>
                <c:pt idx="5">
                  <c:v>5.4214186030322731</c:v>
                </c:pt>
                <c:pt idx="6">
                  <c:v>5.2395940297700117</c:v>
                </c:pt>
                <c:pt idx="7">
                  <c:v>5.0578686900808858</c:v>
                </c:pt>
                <c:pt idx="8">
                  <c:v>4.8762623589954286</c:v>
                </c:pt>
                <c:pt idx="9">
                  <c:v>4.6947987350780132</c:v>
                </c:pt>
                <c:pt idx="10">
                  <c:v>4.5135062113357556</c:v>
                </c:pt>
                <c:pt idx="11">
                  <c:v>4.3324187942744281</c:v>
                </c:pt>
                <c:pt idx="12">
                  <c:v>4.1515771981017506</c:v>
                </c:pt>
                <c:pt idx="13">
                  <c:v>3.9710301453408161</c:v>
                </c:pt>
                <c:pt idx="14">
                  <c:v>3.7908359097443847</c:v>
                </c:pt>
                <c:pt idx="15">
                  <c:v>3.6110641422631344</c:v>
                </c:pt>
                <c:pt idx="16">
                  <c:v>3.4317980256775029</c:v>
                </c:pt>
                <c:pt idx="17">
                  <c:v>3.2531368079507241</c:v>
                </c:pt>
                <c:pt idx="18">
                  <c:v>3.0751987677609125</c:v>
                </c:pt>
                <c:pt idx="19">
                  <c:v>2.8981246670451002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9-4E10-9B94-81EDED848D41}"/>
            </c:ext>
          </c:extLst>
        </c:ser>
        <c:ser>
          <c:idx val="1"/>
          <c:order val="1"/>
          <c:tx>
            <c:strRef>
              <c:f>'Упражнение 1'!$E$11</c:f>
              <c:strCache>
                <c:ptCount val="1"/>
                <c:pt idx="0">
                  <c:v>y=-ln(x)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1'!$C$12:$C$31</c:f>
              <c:numCache>
                <c:formatCode>General</c:formatCode>
                <c:ptCount val="20"/>
                <c:pt idx="0">
                  <c:v>1E-3</c:v>
                </c:pt>
                <c:pt idx="1">
                  <c:v>1.1999999999999999E-3</c:v>
                </c:pt>
                <c:pt idx="2">
                  <c:v>1.4399999999999999E-3</c:v>
                </c:pt>
                <c:pt idx="3">
                  <c:v>1.7279999999999997E-3</c:v>
                </c:pt>
                <c:pt idx="4">
                  <c:v>2.0735999999999997E-3</c:v>
                </c:pt>
                <c:pt idx="5">
                  <c:v>2.4883199999999996E-3</c:v>
                </c:pt>
                <c:pt idx="6">
                  <c:v>2.9859839999999993E-3</c:v>
                </c:pt>
                <c:pt idx="7">
                  <c:v>3.583180799999999E-3</c:v>
                </c:pt>
                <c:pt idx="8">
                  <c:v>4.2998169599999985E-3</c:v>
                </c:pt>
                <c:pt idx="9">
                  <c:v>5.1597803519999978E-3</c:v>
                </c:pt>
                <c:pt idx="10">
                  <c:v>6.1917364223999976E-3</c:v>
                </c:pt>
                <c:pt idx="11">
                  <c:v>7.4300837068799969E-3</c:v>
                </c:pt>
                <c:pt idx="12">
                  <c:v>8.9161004482559963E-3</c:v>
                </c:pt>
                <c:pt idx="13">
                  <c:v>1.0699320537907194E-2</c:v>
                </c:pt>
                <c:pt idx="14">
                  <c:v>1.2839184645488633E-2</c:v>
                </c:pt>
                <c:pt idx="15">
                  <c:v>1.5407021574586359E-2</c:v>
                </c:pt>
                <c:pt idx="16">
                  <c:v>1.848842588950363E-2</c:v>
                </c:pt>
                <c:pt idx="17">
                  <c:v>2.2186111067404354E-2</c:v>
                </c:pt>
                <c:pt idx="18">
                  <c:v>2.6623333280885224E-2</c:v>
                </c:pt>
                <c:pt idx="19">
                  <c:v>3.1947999937062266E-2</c:v>
                </c:pt>
              </c:numCache>
            </c:numRef>
          </c:xVal>
          <c:yVal>
            <c:numRef>
              <c:f>'Упражнение 1'!$E$12:$E$31</c:f>
              <c:numCache>
                <c:formatCode>General</c:formatCode>
                <c:ptCount val="20"/>
                <c:pt idx="0">
                  <c:v>6.3377552789821365</c:v>
                </c:pt>
                <c:pt idx="1">
                  <c:v>6.1554337221881825</c:v>
                </c:pt>
                <c:pt idx="2">
                  <c:v>5.9731121653942276</c:v>
                </c:pt>
                <c:pt idx="3">
                  <c:v>5.7907906086002727</c:v>
                </c:pt>
                <c:pt idx="4">
                  <c:v>5.6084690518063187</c:v>
                </c:pt>
                <c:pt idx="5">
                  <c:v>5.4261474950123638</c:v>
                </c:pt>
                <c:pt idx="6">
                  <c:v>5.2438259382184089</c:v>
                </c:pt>
                <c:pt idx="7">
                  <c:v>5.0615043814244549</c:v>
                </c:pt>
                <c:pt idx="8">
                  <c:v>4.8791828246305</c:v>
                </c:pt>
                <c:pt idx="9">
                  <c:v>4.6968612678365451</c:v>
                </c:pt>
                <c:pt idx="10">
                  <c:v>4.5145397110425911</c:v>
                </c:pt>
                <c:pt idx="11">
                  <c:v>4.3322181542486362</c:v>
                </c:pt>
                <c:pt idx="12">
                  <c:v>4.1498965974546813</c:v>
                </c:pt>
                <c:pt idx="13">
                  <c:v>3.9675750406607277</c:v>
                </c:pt>
                <c:pt idx="14">
                  <c:v>3.7852534838667729</c:v>
                </c:pt>
                <c:pt idx="15">
                  <c:v>3.602931927072818</c:v>
                </c:pt>
                <c:pt idx="16">
                  <c:v>3.4206103702788639</c:v>
                </c:pt>
                <c:pt idx="17">
                  <c:v>3.2382888134849095</c:v>
                </c:pt>
                <c:pt idx="18">
                  <c:v>3.0559672566909546</c:v>
                </c:pt>
                <c:pt idx="19">
                  <c:v>2.8736456998970001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9-4E10-9B94-81EDED84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89792"/>
        <c:axId val="1"/>
      </c:scatterChart>
      <c:valAx>
        <c:axId val="2612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.0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897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264353396503401"/>
          <c:y val="0.95389948379214751"/>
          <c:w val="0.15861221584590063"/>
          <c:h val="3.27392579763846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'Упражнение 1'!$G$12:$G$31</c:f>
              <c:numCache>
                <c:formatCode>0.0000000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5-4255-96A8-C6BBAE59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99008"/>
        <c:axId val="300700912"/>
      </c:scatterChart>
      <c:valAx>
        <c:axId val="2380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00912"/>
        <c:crosses val="autoZero"/>
        <c:crossBetween val="midCat"/>
      </c:valAx>
      <c:valAx>
        <c:axId val="3007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0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Изменение давления в безразмерных переменных</a:t>
            </a:r>
          </a:p>
        </c:rich>
      </c:tx>
      <c:layout>
        <c:manualLayout>
          <c:xMode val="edge"/>
          <c:yMode val="edge"/>
          <c:x val="0.24381954220358995"/>
          <c:y val="3.6697845655199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972738413296869E-2"/>
          <c:y val="0.20184157308506503"/>
          <c:w val="0.75249880881403963"/>
          <c:h val="0.67892165492249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2'!$I$16</c:f>
              <c:strCache>
                <c:ptCount val="1"/>
                <c:pt idx="0">
                  <c:v>Pd_ei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</c:numCache>
            </c:numRef>
          </c:xVal>
          <c:yVal>
            <c:numRef>
              <c:f>'Упражнение 2'!$I$17:$I$49</c:f>
              <c:numCache>
                <c:formatCode>0.000</c:formatCode>
                <c:ptCount val="33"/>
                <c:pt idx="0">
                  <c:v>2.6744498776701083E-13</c:v>
                </c:pt>
                <c:pt idx="1">
                  <c:v>1.2457458935134825E-2</c:v>
                </c:pt>
                <c:pt idx="2">
                  <c:v>0.52214131722186941</c:v>
                </c:pt>
                <c:pt idx="3">
                  <c:v>1.5682542016075844</c:v>
                </c:pt>
                <c:pt idx="4">
                  <c:v>2.7083736602870498</c:v>
                </c:pt>
                <c:pt idx="5">
                  <c:v>3.0543228361249382</c:v>
                </c:pt>
                <c:pt idx="6">
                  <c:v>3.2568471653144635</c:v>
                </c:pt>
                <c:pt idx="7">
                  <c:v>3.4005840728418262</c:v>
                </c:pt>
                <c:pt idx="8">
                  <c:v>3.512093366073747</c:v>
                </c:pt>
                <c:pt idx="9">
                  <c:v>3.6032124873512066</c:v>
                </c:pt>
                <c:pt idx="10">
                  <c:v>3.6802580711168411</c:v>
                </c:pt>
                <c:pt idx="11">
                  <c:v>3.7470014497369588</c:v>
                </c:pt>
                <c:pt idx="12">
                  <c:v>3.8058756090157573</c:v>
                </c:pt>
                <c:pt idx="13">
                  <c:v>3.8585419797881819</c:v>
                </c:pt>
                <c:pt idx="14">
                  <c:v>3.9061857074097612</c:v>
                </c:pt>
                <c:pt idx="15">
                  <c:v>3.949681927238796</c:v>
                </c:pt>
                <c:pt idx="16">
                  <c:v>3.9896952690575636</c:v>
                </c:pt>
                <c:pt idx="17">
                  <c:v>4.0267423876393291</c:v>
                </c:pt>
                <c:pt idx="18">
                  <c:v>4.0612328715155694</c:v>
                </c:pt>
                <c:pt idx="19">
                  <c:v>4.0934969241714629</c:v>
                </c:pt>
                <c:pt idx="20">
                  <c:v>4.1238046398398982</c:v>
                </c:pt>
                <c:pt idx="21">
                  <c:v>4.1523797620845606</c:v>
                </c:pt>
                <c:pt idx="22">
                  <c:v>4.179409717996065</c:v>
                </c:pt>
                <c:pt idx="23">
                  <c:v>4.2050530759271503</c:v>
                </c:pt>
                <c:pt idx="24">
                  <c:v>4.2294451820029657</c:v>
                </c:pt>
                <c:pt idx="25">
                  <c:v>4.2527024843500891</c:v>
                </c:pt>
                <c:pt idx="26">
                  <c:v>4.2749258954170788</c:v>
                </c:pt>
                <c:pt idx="27">
                  <c:v>4.296203438254226</c:v>
                </c:pt>
                <c:pt idx="28">
                  <c:v>4.3166123522873523</c:v>
                </c:pt>
                <c:pt idx="29">
                  <c:v>4.3362207858813733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7-4011-A1F8-6DDD835A2C0B}"/>
            </c:ext>
          </c:extLst>
        </c:ser>
        <c:ser>
          <c:idx val="1"/>
          <c:order val="1"/>
          <c:tx>
            <c:strRef>
              <c:f>'Упражнение 2'!$J$16</c:f>
              <c:strCache>
                <c:ptCount val="1"/>
                <c:pt idx="0">
                  <c:v>Pd_ln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2'!$G$17:$G$49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</c:numCache>
            </c:numRef>
          </c:xVal>
          <c:yVal>
            <c:numRef>
              <c:f>'Упражнение 2'!$J$17:$J$49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7-4011-A1F8-6DDD835A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78976"/>
        <c:axId val="1"/>
      </c:scatterChart>
      <c:valAx>
        <c:axId val="261278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td</a:t>
                </a:r>
              </a:p>
            </c:rich>
          </c:tx>
          <c:layout>
            <c:manualLayout>
              <c:xMode val="edge"/>
              <c:yMode val="edge"/>
              <c:x val="0.44555873541347607"/>
              <c:y val="0.91058112702355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</a:t>
                </a:r>
              </a:p>
            </c:rich>
          </c:tx>
          <c:layout>
            <c:manualLayout>
              <c:xMode val="edge"/>
              <c:yMode val="edge"/>
              <c:x val="2.104007136632479E-2"/>
              <c:y val="0.520659867181031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78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46593340861858"/>
          <c:y val="0.5048145995173422"/>
          <c:w val="6.2502049719227126E-2"/>
          <c:h val="5.56638306117775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Изменение давления в ходе теста падения давления</a:t>
            </a:r>
          </a:p>
        </c:rich>
      </c:tx>
      <c:layout>
        <c:manualLayout>
          <c:xMode val="edge"/>
          <c:yMode val="edge"/>
          <c:x val="0.18125582042912614"/>
          <c:y val="3.64037164066148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5032571873946"/>
          <c:y val="0.15418084823985989"/>
          <c:w val="0.76002415085287711"/>
          <c:h val="0.65312720434940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2'!$K$16</c:f>
              <c:strCache>
                <c:ptCount val="1"/>
                <c:pt idx="0">
                  <c:v>Pwf_Ei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2'!$H$18:$H$49</c:f>
              <c:numCache>
                <c:formatCode>General</c:formatCode>
                <c:ptCount val="32"/>
                <c:pt idx="0">
                  <c:v>2.7777777777777783E-6</c:v>
                </c:pt>
                <c:pt idx="1">
                  <c:v>2.7777777777777782E-5</c:v>
                </c:pt>
                <c:pt idx="2">
                  <c:v>2.7777777777777783E-4</c:v>
                </c:pt>
                <c:pt idx="3">
                  <c:v>2.7777777777777783E-3</c:v>
                </c:pt>
                <c:pt idx="4">
                  <c:v>5.5555555555555566E-3</c:v>
                </c:pt>
                <c:pt idx="5">
                  <c:v>8.333333333333335E-3</c:v>
                </c:pt>
                <c:pt idx="6">
                  <c:v>1.1111111111111113E-2</c:v>
                </c:pt>
                <c:pt idx="7">
                  <c:v>1.3888888888888892E-2</c:v>
                </c:pt>
                <c:pt idx="8">
                  <c:v>1.666666666666667E-2</c:v>
                </c:pt>
                <c:pt idx="9">
                  <c:v>1.9444444444444448E-2</c:v>
                </c:pt>
                <c:pt idx="10">
                  <c:v>2.2222222222222227E-2</c:v>
                </c:pt>
                <c:pt idx="11">
                  <c:v>2.5000000000000005E-2</c:v>
                </c:pt>
                <c:pt idx="12">
                  <c:v>2.7777777777777783E-2</c:v>
                </c:pt>
                <c:pt idx="13">
                  <c:v>3.0555555555555561E-2</c:v>
                </c:pt>
                <c:pt idx="14">
                  <c:v>3.333333333333334E-2</c:v>
                </c:pt>
                <c:pt idx="15">
                  <c:v>3.6111111111111115E-2</c:v>
                </c:pt>
                <c:pt idx="16">
                  <c:v>3.8888888888888896E-2</c:v>
                </c:pt>
                <c:pt idx="17">
                  <c:v>4.1666666666666671E-2</c:v>
                </c:pt>
                <c:pt idx="18">
                  <c:v>4.4444444444444453E-2</c:v>
                </c:pt>
                <c:pt idx="19">
                  <c:v>4.7222222222222228E-2</c:v>
                </c:pt>
                <c:pt idx="20">
                  <c:v>5.000000000000001E-2</c:v>
                </c:pt>
                <c:pt idx="21">
                  <c:v>5.2777777777777785E-2</c:v>
                </c:pt>
                <c:pt idx="22">
                  <c:v>5.5555555555555566E-2</c:v>
                </c:pt>
                <c:pt idx="23">
                  <c:v>5.8333333333333341E-2</c:v>
                </c:pt>
                <c:pt idx="24">
                  <c:v>6.1111111111111123E-2</c:v>
                </c:pt>
                <c:pt idx="25">
                  <c:v>6.3888888888888898E-2</c:v>
                </c:pt>
                <c:pt idx="26">
                  <c:v>6.666666666666668E-2</c:v>
                </c:pt>
                <c:pt idx="27">
                  <c:v>6.9444444444444461E-2</c:v>
                </c:pt>
                <c:pt idx="28">
                  <c:v>7.2222222222222229E-2</c:v>
                </c:pt>
              </c:numCache>
            </c:numRef>
          </c:xVal>
          <c:yVal>
            <c:numRef>
              <c:f>'Упражнение 2'!$K$18:$K$49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956-8300-BB46FBE972AC}"/>
            </c:ext>
          </c:extLst>
        </c:ser>
        <c:ser>
          <c:idx val="1"/>
          <c:order val="1"/>
          <c:tx>
            <c:strRef>
              <c:f>'Упражнение 2'!$L$16</c:f>
              <c:strCache>
                <c:ptCount val="1"/>
                <c:pt idx="0">
                  <c:v>P_ln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2'!$H$18:$H$49</c:f>
              <c:numCache>
                <c:formatCode>General</c:formatCode>
                <c:ptCount val="32"/>
                <c:pt idx="0">
                  <c:v>2.7777777777777783E-6</c:v>
                </c:pt>
                <c:pt idx="1">
                  <c:v>2.7777777777777782E-5</c:v>
                </c:pt>
                <c:pt idx="2">
                  <c:v>2.7777777777777783E-4</c:v>
                </c:pt>
                <c:pt idx="3">
                  <c:v>2.7777777777777783E-3</c:v>
                </c:pt>
                <c:pt idx="4">
                  <c:v>5.5555555555555566E-3</c:v>
                </c:pt>
                <c:pt idx="5">
                  <c:v>8.333333333333335E-3</c:v>
                </c:pt>
                <c:pt idx="6">
                  <c:v>1.1111111111111113E-2</c:v>
                </c:pt>
                <c:pt idx="7">
                  <c:v>1.3888888888888892E-2</c:v>
                </c:pt>
                <c:pt idx="8">
                  <c:v>1.666666666666667E-2</c:v>
                </c:pt>
                <c:pt idx="9">
                  <c:v>1.9444444444444448E-2</c:v>
                </c:pt>
                <c:pt idx="10">
                  <c:v>2.2222222222222227E-2</c:v>
                </c:pt>
                <c:pt idx="11">
                  <c:v>2.5000000000000005E-2</c:v>
                </c:pt>
                <c:pt idx="12">
                  <c:v>2.7777777777777783E-2</c:v>
                </c:pt>
                <c:pt idx="13">
                  <c:v>3.0555555555555561E-2</c:v>
                </c:pt>
                <c:pt idx="14">
                  <c:v>3.333333333333334E-2</c:v>
                </c:pt>
                <c:pt idx="15">
                  <c:v>3.6111111111111115E-2</c:v>
                </c:pt>
                <c:pt idx="16">
                  <c:v>3.8888888888888896E-2</c:v>
                </c:pt>
                <c:pt idx="17">
                  <c:v>4.1666666666666671E-2</c:v>
                </c:pt>
                <c:pt idx="18">
                  <c:v>4.4444444444444453E-2</c:v>
                </c:pt>
                <c:pt idx="19">
                  <c:v>4.7222222222222228E-2</c:v>
                </c:pt>
                <c:pt idx="20">
                  <c:v>5.000000000000001E-2</c:v>
                </c:pt>
                <c:pt idx="21">
                  <c:v>5.2777777777777785E-2</c:v>
                </c:pt>
                <c:pt idx="22">
                  <c:v>5.5555555555555566E-2</c:v>
                </c:pt>
                <c:pt idx="23">
                  <c:v>5.8333333333333341E-2</c:v>
                </c:pt>
                <c:pt idx="24">
                  <c:v>6.1111111111111123E-2</c:v>
                </c:pt>
                <c:pt idx="25">
                  <c:v>6.3888888888888898E-2</c:v>
                </c:pt>
                <c:pt idx="26">
                  <c:v>6.666666666666668E-2</c:v>
                </c:pt>
                <c:pt idx="27">
                  <c:v>6.9444444444444461E-2</c:v>
                </c:pt>
                <c:pt idx="28">
                  <c:v>7.2222222222222229E-2</c:v>
                </c:pt>
              </c:numCache>
            </c:numRef>
          </c:xVal>
          <c:yVal>
            <c:numRef>
              <c:f>'Упражнение 2'!$L$18:$L$49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956-8300-BB46FBE9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91040"/>
        <c:axId val="1"/>
      </c:scatterChart>
      <c:valAx>
        <c:axId val="2612910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время, часы</a:t>
                </a:r>
              </a:p>
            </c:rich>
          </c:tx>
          <c:layout>
            <c:manualLayout>
              <c:xMode val="edge"/>
              <c:yMode val="edge"/>
              <c:x val="0.41751321359879134"/>
              <c:y val="0.8843981772217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3.2500966848692046E-2"/>
              <c:y val="0.351190119639952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910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27868962352198"/>
          <c:y val="0.44913740076968905"/>
          <c:w val="7.0314805934130531E-2"/>
          <c:h val="5.96509025328889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Изменение давления в безразмерных переменных</a:t>
            </a:r>
          </a:p>
        </c:rich>
      </c:tx>
      <c:layout>
        <c:manualLayout>
          <c:xMode val="edge"/>
          <c:yMode val="edge"/>
          <c:x val="0.18825884859630643"/>
          <c:y val="3.66145327724445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352147675532968E-2"/>
          <c:y val="0.17849572316983159"/>
          <c:w val="0.72140825407897047"/>
          <c:h val="0.6659263518259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 3'!$I$16</c:f>
              <c:strCache>
                <c:ptCount val="1"/>
                <c:pt idx="0">
                  <c:v>Pd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 3'!$G$17:$G$49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</c:numCache>
            </c:numRef>
          </c:xVal>
          <c:yVal>
            <c:numRef>
              <c:f>'Упражнение  3'!$I$17:$I$49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6-4E3D-B939-CB949794BA75}"/>
            </c:ext>
          </c:extLst>
        </c:ser>
        <c:ser>
          <c:idx val="1"/>
          <c:order val="1"/>
          <c:tx>
            <c:strRef>
              <c:f>'Упражнение  3'!$J$16</c:f>
              <c:strCache>
                <c:ptCount val="1"/>
                <c:pt idx="0">
                  <c:v>Pd_ln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 3'!$G$17:$G$49</c:f>
              <c:numCache>
                <c:formatCode>General</c:formatCode>
                <c:ptCount val="3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</c:numCache>
            </c:numRef>
          </c:xVal>
          <c:yVal>
            <c:numRef>
              <c:f>'Упражнение  3'!$J$17:$J$49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6-4E3D-B939-CB949794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82720"/>
        <c:axId val="1"/>
      </c:scatterChart>
      <c:valAx>
        <c:axId val="2612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rd</a:t>
                </a:r>
              </a:p>
            </c:rich>
          </c:tx>
          <c:layout>
            <c:manualLayout>
              <c:xMode val="edge"/>
              <c:yMode val="edge"/>
              <c:x val="0.43676088108034117"/>
              <c:y val="0.91307410203861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</a:t>
                </a:r>
              </a:p>
            </c:rich>
          </c:tx>
          <c:layout>
            <c:manualLayout>
              <c:xMode val="edge"/>
              <c:yMode val="edge"/>
              <c:x val="3.3133239297468774E-2"/>
              <c:y val="0.49200733469960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827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24238041673365"/>
          <c:y val="0.47060295545248626"/>
          <c:w val="7.2447372649847352E-2"/>
          <c:h val="5.68644159206126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Изменение давления в ходе теста падения давления</a:t>
            </a:r>
          </a:p>
        </c:rich>
      </c:tx>
      <c:layout>
        <c:manualLayout>
          <c:xMode val="edge"/>
          <c:yMode val="edge"/>
          <c:x val="0.11712107076662812"/>
          <c:y val="3.63261114099867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5188060772807"/>
          <c:y val="0.14744100268583549"/>
          <c:w val="0.7357594030386404"/>
          <c:h val="0.660279272897437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 3'!$K$16</c:f>
              <c:strCache>
                <c:ptCount val="1"/>
                <c:pt idx="0">
                  <c:v>P_Ei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 3'!$H$18:$H$49</c:f>
              <c:numCache>
                <c:formatCode>General</c:formatCode>
                <c:ptCount val="32"/>
              </c:numCache>
            </c:numRef>
          </c:xVal>
          <c:yVal>
            <c:numRef>
              <c:f>'Упражнение  3'!$K$18:$K$49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5-4415-8D6A-5B4A76BB7356}"/>
            </c:ext>
          </c:extLst>
        </c:ser>
        <c:ser>
          <c:idx val="1"/>
          <c:order val="1"/>
          <c:tx>
            <c:strRef>
              <c:f>'Упражнение  3'!$L$16</c:f>
              <c:strCache>
                <c:ptCount val="1"/>
                <c:pt idx="0">
                  <c:v>P_ln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 3'!$H$18:$H$49</c:f>
              <c:numCache>
                <c:formatCode>General</c:formatCode>
                <c:ptCount val="32"/>
              </c:numCache>
            </c:numRef>
          </c:xVal>
          <c:yVal>
            <c:numRef>
              <c:f>'Упражнение  3'!$L$18:$L$49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5-4415-8D6A-5B4A76BB7356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'Упражнение  3'!$C$33:$C$34</c:f>
              <c:strCache>
                <c:ptCount val="2"/>
                <c:pt idx="0">
                  <c:v>формула</c:v>
                </c:pt>
                <c:pt idx="1">
                  <c:v>формула</c:v>
                </c:pt>
              </c:strCache>
            </c:strRef>
          </c:xVal>
          <c:yVal>
            <c:numRef>
              <c:f>'Упражнение  3'!$C$37:$C$38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5-4415-8D6A-5B4A76BB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87712"/>
        <c:axId val="1"/>
      </c:scatterChart>
      <c:valAx>
        <c:axId val="2612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расстояние</a:t>
                </a:r>
              </a:p>
            </c:rich>
          </c:tx>
          <c:layout>
            <c:manualLayout>
              <c:xMode val="edge"/>
              <c:yMode val="edge"/>
              <c:x val="0.44145563558109735"/>
              <c:y val="0.88464615836063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3.9040439850231992E-2"/>
              <c:y val="0.348303092548214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877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16276697640284"/>
          <c:y val="0.24157056454899659"/>
          <c:w val="8.6489283626276614E-2"/>
          <c:h val="9.23653021633165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Изменение давления в безразмерных переменных</a:t>
            </a:r>
          </a:p>
        </c:rich>
      </c:tx>
      <c:layout>
        <c:manualLayout>
          <c:xMode val="edge"/>
          <c:yMode val="edge"/>
          <c:x val="0.20458056916113831"/>
          <c:y val="3.4735896739697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53290683413922E-2"/>
          <c:y val="0.23583909921376031"/>
          <c:w val="0.81705183983230401"/>
          <c:h val="0.64170173506999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4'!$K$14</c:f>
              <c:strCache>
                <c:ptCount val="1"/>
                <c:pt idx="0">
                  <c:v>Скин =0, Сs = 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4'!$F$17:$F$49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'Упражнение 4'!$J$17:$J$49</c:f>
              <c:numCache>
                <c:formatCode>0.0000</c:formatCode>
                <c:ptCount val="33"/>
                <c:pt idx="0">
                  <c:v>1.3319146487436477E-2</c:v>
                </c:pt>
                <c:pt idx="1">
                  <c:v>1.8937956484743765E-2</c:v>
                </c:pt>
                <c:pt idx="2">
                  <c:v>0.10108696653028851</c:v>
                </c:pt>
                <c:pt idx="3">
                  <c:v>0.74955368084093066</c:v>
                </c:pt>
                <c:pt idx="4">
                  <c:v>2.4538580894946147</c:v>
                </c:pt>
                <c:pt idx="5">
                  <c:v>3.8268270411371041</c:v>
                </c:pt>
                <c:pt idx="6">
                  <c:v>4.6556836371855823</c:v>
                </c:pt>
                <c:pt idx="7">
                  <c:v>4.92383065423099</c:v>
                </c:pt>
                <c:pt idx="8">
                  <c:v>5.1909059175275232</c:v>
                </c:pt>
                <c:pt idx="9">
                  <c:v>5.457313136451063</c:v>
                </c:pt>
                <c:pt idx="10">
                  <c:v>5.7233044371607207</c:v>
                </c:pt>
                <c:pt idx="11">
                  <c:v>5.9890372314941231</c:v>
                </c:pt>
                <c:pt idx="12">
                  <c:v>6.2546096873673633</c:v>
                </c:pt>
                <c:pt idx="13">
                  <c:v>6.5200828966644195</c:v>
                </c:pt>
                <c:pt idx="14">
                  <c:v>6.7854948070499432</c:v>
                </c:pt>
                <c:pt idx="15">
                  <c:v>7.0508689325259724</c:v>
                </c:pt>
                <c:pt idx="16">
                  <c:v>7.3162198132770442</c:v>
                </c:pt>
                <c:pt idx="17">
                  <c:v>7.5815564194895018</c:v>
                </c:pt>
                <c:pt idx="18">
                  <c:v>7.8468842743040312</c:v>
                </c:pt>
                <c:pt idx="19">
                  <c:v>8.1122067750481079</c:v>
                </c:pt>
                <c:pt idx="20">
                  <c:v>8.3775260021653963</c:v>
                </c:pt>
                <c:pt idx="21">
                  <c:v>8.6428432323627788</c:v>
                </c:pt>
                <c:pt idx="22">
                  <c:v>8.9081592445162556</c:v>
                </c:pt>
                <c:pt idx="23">
                  <c:v>9.1734745143944991</c:v>
                </c:pt>
                <c:pt idx="24">
                  <c:v>9.438789335833448</c:v>
                </c:pt>
                <c:pt idx="25">
                  <c:v>9.7041038818974954</c:v>
                </c:pt>
                <c:pt idx="26">
                  <c:v>9.9694182618136864</c:v>
                </c:pt>
                <c:pt idx="27">
                  <c:v>10.23473253987558</c:v>
                </c:pt>
                <c:pt idx="28">
                  <c:v>10.500046761130676</c:v>
                </c:pt>
                <c:pt idx="29">
                  <c:v>10.765360940797166</c:v>
                </c:pt>
                <c:pt idx="30">
                  <c:v>11.030675101304666</c:v>
                </c:pt>
                <c:pt idx="31">
                  <c:v>11.295989246141033</c:v>
                </c:pt>
                <c:pt idx="32">
                  <c:v>11.561303384996563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F-4C89-BD99-B126AB0D2E60}"/>
            </c:ext>
          </c:extLst>
        </c:ser>
        <c:ser>
          <c:idx val="1"/>
          <c:order val="1"/>
          <c:tx>
            <c:strRef>
              <c:f>'Упражнение 4'!$L$14</c:f>
              <c:strCache>
                <c:ptCount val="1"/>
                <c:pt idx="0">
                  <c:v>Скин = 0, Cs =0.00005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4'!$G$17:$G$49</c:f>
              <c:numCache>
                <c:formatCode>General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5000</c:v>
                </c:pt>
                <c:pt idx="7">
                  <c:v>8500</c:v>
                </c:pt>
                <c:pt idx="8">
                  <c:v>14450</c:v>
                </c:pt>
                <c:pt idx="9">
                  <c:v>24565</c:v>
                </c:pt>
                <c:pt idx="10">
                  <c:v>41760.5</c:v>
                </c:pt>
                <c:pt idx="11">
                  <c:v>70992.849999999991</c:v>
                </c:pt>
                <c:pt idx="12">
                  <c:v>120687.84499999999</c:v>
                </c:pt>
                <c:pt idx="13">
                  <c:v>205169.33649999998</c:v>
                </c:pt>
                <c:pt idx="14">
                  <c:v>348787.87204999995</c:v>
                </c:pt>
                <c:pt idx="15">
                  <c:v>592939.38248499995</c:v>
                </c:pt>
                <c:pt idx="16">
                  <c:v>1007996.9502244999</c:v>
                </c:pt>
                <c:pt idx="17">
                  <c:v>1713594.8153816499</c:v>
                </c:pt>
                <c:pt idx="18">
                  <c:v>2913111.1861488046</c:v>
                </c:pt>
                <c:pt idx="19">
                  <c:v>4952289.0164529681</c:v>
                </c:pt>
                <c:pt idx="20">
                  <c:v>8418891.3279700447</c:v>
                </c:pt>
                <c:pt idx="21">
                  <c:v>14312115.257549075</c:v>
                </c:pt>
                <c:pt idx="22">
                  <c:v>24330595.937833428</c:v>
                </c:pt>
                <c:pt idx="23">
                  <c:v>41362013.094316825</c:v>
                </c:pt>
                <c:pt idx="24">
                  <c:v>70315422.260338604</c:v>
                </c:pt>
                <c:pt idx="25">
                  <c:v>119536217.84257562</c:v>
                </c:pt>
                <c:pt idx="26">
                  <c:v>203211570.33237857</c:v>
                </c:pt>
                <c:pt idx="27">
                  <c:v>345459669.56504357</c:v>
                </c:pt>
                <c:pt idx="28">
                  <c:v>587281438.2605741</c:v>
                </c:pt>
                <c:pt idx="29">
                  <c:v>998378445.0429759</c:v>
                </c:pt>
                <c:pt idx="30">
                  <c:v>1697243356.5730591</c:v>
                </c:pt>
                <c:pt idx="31">
                  <c:v>2885313706.1742005</c:v>
                </c:pt>
                <c:pt idx="32">
                  <c:v>4905033300.4961405</c:v>
                </c:pt>
              </c:numCache>
            </c:numRef>
          </c:xVal>
          <c:yVal>
            <c:numRef>
              <c:f>'Упражнение 4'!$I$17:$I$49</c:f>
              <c:numCache>
                <c:formatCode>0.0000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F-4C89-BD99-B126AB0D2E60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'Упражнение 4'!$G$17:$G$49</c:f>
              <c:numCache>
                <c:formatCode>General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5000</c:v>
                </c:pt>
                <c:pt idx="7">
                  <c:v>8500</c:v>
                </c:pt>
                <c:pt idx="8">
                  <c:v>14450</c:v>
                </c:pt>
                <c:pt idx="9">
                  <c:v>24565</c:v>
                </c:pt>
                <c:pt idx="10">
                  <c:v>41760.5</c:v>
                </c:pt>
                <c:pt idx="11">
                  <c:v>70992.849999999991</c:v>
                </c:pt>
                <c:pt idx="12">
                  <c:v>120687.84499999999</c:v>
                </c:pt>
                <c:pt idx="13">
                  <c:v>205169.33649999998</c:v>
                </c:pt>
                <c:pt idx="14">
                  <c:v>348787.87204999995</c:v>
                </c:pt>
                <c:pt idx="15">
                  <c:v>592939.38248499995</c:v>
                </c:pt>
                <c:pt idx="16">
                  <c:v>1007996.9502244999</c:v>
                </c:pt>
                <c:pt idx="17">
                  <c:v>1713594.8153816499</c:v>
                </c:pt>
                <c:pt idx="18">
                  <c:v>2913111.1861488046</c:v>
                </c:pt>
                <c:pt idx="19">
                  <c:v>4952289.0164529681</c:v>
                </c:pt>
                <c:pt idx="20">
                  <c:v>8418891.3279700447</c:v>
                </c:pt>
                <c:pt idx="21">
                  <c:v>14312115.257549075</c:v>
                </c:pt>
                <c:pt idx="22">
                  <c:v>24330595.937833428</c:v>
                </c:pt>
                <c:pt idx="23">
                  <c:v>41362013.094316825</c:v>
                </c:pt>
                <c:pt idx="24">
                  <c:v>70315422.260338604</c:v>
                </c:pt>
                <c:pt idx="25">
                  <c:v>119536217.84257562</c:v>
                </c:pt>
                <c:pt idx="26">
                  <c:v>203211570.33237857</c:v>
                </c:pt>
                <c:pt idx="27">
                  <c:v>345459669.56504357</c:v>
                </c:pt>
                <c:pt idx="28">
                  <c:v>587281438.2605741</c:v>
                </c:pt>
                <c:pt idx="29">
                  <c:v>998378445.0429759</c:v>
                </c:pt>
                <c:pt idx="30">
                  <c:v>1697243356.5730591</c:v>
                </c:pt>
                <c:pt idx="31">
                  <c:v>2885313706.1742005</c:v>
                </c:pt>
                <c:pt idx="32">
                  <c:v>4905033300.4961405</c:v>
                </c:pt>
              </c:numCache>
            </c:numRef>
          </c:xVal>
          <c:yVal>
            <c:numRef>
              <c:f>'Упражнение 4'!$M$17:$M$49</c:f>
              <c:numCache>
                <c:formatCode>0.0000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F-4C89-BD99-B126AB0D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91456"/>
        <c:axId val="1"/>
      </c:scatterChart>
      <c:valAx>
        <c:axId val="2612914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td</a:t>
                </a:r>
              </a:p>
            </c:rich>
          </c:tx>
          <c:layout>
            <c:manualLayout>
              <c:xMode val="edge"/>
              <c:yMode val="edge"/>
              <c:x val="0.47650753301506604"/>
              <c:y val="0.12248988770302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max"/>
        <c:crossBetween val="midCat"/>
      </c:valAx>
      <c:valAx>
        <c:axId val="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</a:t>
                </a:r>
              </a:p>
            </c:rich>
          </c:tx>
          <c:layout>
            <c:manualLayout>
              <c:xMode val="edge"/>
              <c:yMode val="edge"/>
              <c:x val="0.95809804286275246"/>
              <c:y val="0.53383710325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91456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200467067600805"/>
          <c:y val="0.9318482006725286"/>
          <c:w val="0.4182770165540331"/>
          <c:h val="3.33343080125594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Изменение давления в ходе теста падения давления</a:t>
            </a:r>
          </a:p>
        </c:rich>
      </c:tx>
      <c:layout>
        <c:manualLayout>
          <c:xMode val="edge"/>
          <c:yMode val="edge"/>
          <c:x val="0.14963092834071687"/>
          <c:y val="3.3458686516644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5154298745397"/>
          <c:y val="0.17658543481020708"/>
          <c:w val="0.81050003032829987"/>
          <c:h val="0.600390478354704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'Упражнение 4'!$K$14</c:f>
              <c:strCache>
                <c:ptCount val="1"/>
                <c:pt idx="0">
                  <c:v>Скин =0, Сs = 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'Упражнение 4'!$H$18:$H$49</c:f>
              <c:numCache>
                <c:formatCode>0.0000</c:formatCode>
                <c:ptCount val="32"/>
              </c:numCache>
            </c:numRef>
          </c:xVal>
          <c:yVal>
            <c:numRef>
              <c:f>'Упражнение 4'!$K$18:$K$49</c:f>
              <c:numCache>
                <c:formatCode>0.00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6-4169-97EF-DDE2528DEE3A}"/>
            </c:ext>
          </c:extLst>
        </c:ser>
        <c:ser>
          <c:idx val="1"/>
          <c:order val="1"/>
          <c:tx>
            <c:strRef>
              <c:f>'Упражнение 4'!$L$14</c:f>
              <c:strCache>
                <c:ptCount val="1"/>
                <c:pt idx="0">
                  <c:v>Скин = 0, Cs =0.00005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'Упражнение 4'!$H$18:$H$49</c:f>
              <c:numCache>
                <c:formatCode>0.0000</c:formatCode>
                <c:ptCount val="32"/>
              </c:numCache>
            </c:numRef>
          </c:xVal>
          <c:yVal>
            <c:numRef>
              <c:f>'Упражнение 4'!$L$18:$L$49</c:f>
              <c:numCache>
                <c:formatCode>0.00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6-4169-97EF-DDE2528D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80640"/>
        <c:axId val="1"/>
      </c:scatterChart>
      <c:valAx>
        <c:axId val="2612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время, часы</a:t>
                </a:r>
              </a:p>
            </c:rich>
          </c:tx>
          <c:layout>
            <c:manualLayout>
              <c:xMode val="edge"/>
              <c:yMode val="edge"/>
              <c:x val="0.45263307295335597"/>
              <c:y val="0.851327682400355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At val="100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2.8679367365361634E-2"/>
              <c:y val="0.349453121638483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612806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11473938521103"/>
          <c:y val="0.95790829425010404"/>
          <c:w val="0.27037063706996872"/>
          <c:h val="3.12023292170445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8.png"/><Relationship Id="rId1" Type="http://schemas.openxmlformats.org/officeDocument/2006/relationships/chart" Target="../charts/chart7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506186</xdr:colOff>
          <xdr:row>1</xdr:row>
          <xdr:rowOff>65314</xdr:rowOff>
        </xdr:from>
        <xdr:to>
          <xdr:col>16</xdr:col>
          <xdr:colOff>0</xdr:colOff>
          <xdr:row>3</xdr:row>
          <xdr:rowOff>92529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563125</xdr:colOff>
      <xdr:row>9</xdr:row>
      <xdr:rowOff>55000</xdr:rowOff>
    </xdr:from>
    <xdr:to>
      <xdr:col>22</xdr:col>
      <xdr:colOff>94813</xdr:colOff>
      <xdr:row>32</xdr:row>
      <xdr:rowOff>7374</xdr:rowOff>
    </xdr:to>
    <xdr:graphicFrame macro="">
      <xdr:nvGraphicFramePr>
        <xdr:cNvPr id="5172" name="Диаграмма 2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103414</xdr:colOff>
          <xdr:row>1</xdr:row>
          <xdr:rowOff>97971</xdr:rowOff>
        </xdr:from>
        <xdr:to>
          <xdr:col>12</xdr:col>
          <xdr:colOff>132443</xdr:colOff>
          <xdr:row>3</xdr:row>
          <xdr:rowOff>92529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27214</xdr:colOff>
          <xdr:row>1</xdr:row>
          <xdr:rowOff>21771</xdr:rowOff>
        </xdr:from>
        <xdr:to>
          <xdr:col>9</xdr:col>
          <xdr:colOff>381000</xdr:colOff>
          <xdr:row>3</xdr:row>
          <xdr:rowOff>125186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FF" mc:Ignorable="a14" a14:legacySpreadsheetColorIndex="1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554746</xdr:colOff>
      <xdr:row>32</xdr:row>
      <xdr:rowOff>107580</xdr:rowOff>
    </xdr:from>
    <xdr:to>
      <xdr:col>19</xdr:col>
      <xdr:colOff>570919</xdr:colOff>
      <xdr:row>50</xdr:row>
      <xdr:rowOff>5277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DF73D2-09F0-4FC3-8934-AEE4B124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614037</xdr:colOff>
      <xdr:row>10</xdr:row>
      <xdr:rowOff>14969</xdr:rowOff>
    </xdr:from>
    <xdr:to>
      <xdr:col>21</xdr:col>
      <xdr:colOff>623503</xdr:colOff>
      <xdr:row>27</xdr:row>
      <xdr:rowOff>75904</xdr:rowOff>
    </xdr:to>
    <xdr:graphicFrame macro="">
      <xdr:nvGraphicFramePr>
        <xdr:cNvPr id="1533" name="Диаграмма 1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30</xdr:row>
      <xdr:rowOff>133350</xdr:rowOff>
    </xdr:from>
    <xdr:to>
      <xdr:col>23</xdr:col>
      <xdr:colOff>542925</xdr:colOff>
      <xdr:row>49</xdr:row>
      <xdr:rowOff>95250</xdr:rowOff>
    </xdr:to>
    <xdr:graphicFrame macro="">
      <xdr:nvGraphicFramePr>
        <xdr:cNvPr id="1534" name="Диаграмма 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</xdr:row>
          <xdr:rowOff>0</xdr:rowOff>
        </xdr:from>
        <xdr:to>
          <xdr:col>9</xdr:col>
          <xdr:colOff>0</xdr:colOff>
          <xdr:row>7</xdr:row>
          <xdr:rowOff>48986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65314</xdr:colOff>
          <xdr:row>3</xdr:row>
          <xdr:rowOff>10886</xdr:rowOff>
        </xdr:from>
        <xdr:to>
          <xdr:col>12</xdr:col>
          <xdr:colOff>136071</xdr:colOff>
          <xdr:row>7</xdr:row>
          <xdr:rowOff>59871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179614</xdr:colOff>
          <xdr:row>3</xdr:row>
          <xdr:rowOff>0</xdr:rowOff>
        </xdr:from>
        <xdr:to>
          <xdr:col>15</xdr:col>
          <xdr:colOff>163286</xdr:colOff>
          <xdr:row>7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12</xdr:row>
      <xdr:rowOff>95250</xdr:rowOff>
    </xdr:from>
    <xdr:to>
      <xdr:col>25</xdr:col>
      <xdr:colOff>390525</xdr:colOff>
      <xdr:row>30</xdr:row>
      <xdr:rowOff>0</xdr:rowOff>
    </xdr:to>
    <xdr:graphicFrame macro="">
      <xdr:nvGraphicFramePr>
        <xdr:cNvPr id="6244" name="Диаграмма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31</xdr:row>
      <xdr:rowOff>123825</xdr:rowOff>
    </xdr:from>
    <xdr:to>
      <xdr:col>25</xdr:col>
      <xdr:colOff>504825</xdr:colOff>
      <xdr:row>50</xdr:row>
      <xdr:rowOff>66675</xdr:rowOff>
    </xdr:to>
    <xdr:graphicFrame macro="">
      <xdr:nvGraphicFramePr>
        <xdr:cNvPr id="6245" name="Диаграмма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402771</xdr:colOff>
          <xdr:row>2</xdr:row>
          <xdr:rowOff>38100</xdr:rowOff>
        </xdr:from>
        <xdr:to>
          <xdr:col>8</xdr:col>
          <xdr:colOff>517071</xdr:colOff>
          <xdr:row>6</xdr:row>
          <xdr:rowOff>65314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288471</xdr:colOff>
          <xdr:row>2</xdr:row>
          <xdr:rowOff>27214</xdr:rowOff>
        </xdr:from>
        <xdr:to>
          <xdr:col>12</xdr:col>
          <xdr:colOff>65314</xdr:colOff>
          <xdr:row>6</xdr:row>
          <xdr:rowOff>59871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65314</xdr:colOff>
          <xdr:row>2</xdr:row>
          <xdr:rowOff>59871</xdr:rowOff>
        </xdr:from>
        <xdr:to>
          <xdr:col>15</xdr:col>
          <xdr:colOff>408214</xdr:colOff>
          <xdr:row>6</xdr:row>
          <xdr:rowOff>97971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11</xdr:row>
      <xdr:rowOff>19050</xdr:rowOff>
    </xdr:from>
    <xdr:to>
      <xdr:col>21</xdr:col>
      <xdr:colOff>47625</xdr:colOff>
      <xdr:row>33</xdr:row>
      <xdr:rowOff>19050</xdr:rowOff>
    </xdr:to>
    <xdr:graphicFrame macro="">
      <xdr:nvGraphicFramePr>
        <xdr:cNvPr id="8615" name="Диаграмма 1">
          <a:extLst>
            <a:ext uri="{FF2B5EF4-FFF2-40B4-BE49-F238E27FC236}">
              <a16:creationId xmlns:a16="http://schemas.microsoft.com/office/drawing/2014/main" id="{00000000-0008-0000-0300-0000A72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314325</xdr:colOff>
      <xdr:row>2</xdr:row>
      <xdr:rowOff>66675</xdr:rowOff>
    </xdr:from>
    <xdr:to>
      <xdr:col>7</xdr:col>
      <xdr:colOff>511629</xdr:colOff>
      <xdr:row>8</xdr:row>
      <xdr:rowOff>54429</xdr:rowOff>
    </xdr:to>
    <xdr:pic>
      <xdr:nvPicPr>
        <xdr:cNvPr id="8616" name="Picture 2">
          <a:extLst>
            <a:ext uri="{FF2B5EF4-FFF2-40B4-BE49-F238E27FC236}">
              <a16:creationId xmlns:a16="http://schemas.microsoft.com/office/drawing/2014/main" id="{00000000-0008-0000-0300-0000A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390525"/>
          <a:ext cx="17240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66675</xdr:colOff>
      <xdr:row>33</xdr:row>
      <xdr:rowOff>47625</xdr:rowOff>
    </xdr:from>
    <xdr:to>
      <xdr:col>21</xdr:col>
      <xdr:colOff>28575</xdr:colOff>
      <xdr:row>54</xdr:row>
      <xdr:rowOff>85725</xdr:rowOff>
    </xdr:to>
    <xdr:graphicFrame macro="">
      <xdr:nvGraphicFramePr>
        <xdr:cNvPr id="8617" name="Диаграмма 3">
          <a:extLst>
            <a:ext uri="{FF2B5EF4-FFF2-40B4-BE49-F238E27FC236}">
              <a16:creationId xmlns:a16="http://schemas.microsoft.com/office/drawing/2014/main" id="{00000000-0008-0000-0300-0000A92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28575</xdr:colOff>
      <xdr:row>2</xdr:row>
      <xdr:rowOff>142875</xdr:rowOff>
    </xdr:from>
    <xdr:to>
      <xdr:col>12</xdr:col>
      <xdr:colOff>0</xdr:colOff>
      <xdr:row>8</xdr:row>
      <xdr:rowOff>0</xdr:rowOff>
    </xdr:to>
    <xdr:pic>
      <xdr:nvPicPr>
        <xdr:cNvPr id="8618" name="Picture 4">
          <a:extLst>
            <a:ext uri="{FF2B5EF4-FFF2-40B4-BE49-F238E27FC236}">
              <a16:creationId xmlns:a16="http://schemas.microsoft.com/office/drawing/2014/main" id="{00000000-0008-0000-0300-0000A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66725"/>
          <a:ext cx="2352675" cy="828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1266825</xdr:colOff>
      <xdr:row>3</xdr:row>
      <xdr:rowOff>38100</xdr:rowOff>
    </xdr:from>
    <xdr:to>
      <xdr:col>4</xdr:col>
      <xdr:colOff>321129</xdr:colOff>
      <xdr:row>8</xdr:row>
      <xdr:rowOff>0</xdr:rowOff>
    </xdr:to>
    <xdr:pic>
      <xdr:nvPicPr>
        <xdr:cNvPr id="8619" name="Picture 5">
          <a:extLst>
            <a:ext uri="{FF2B5EF4-FFF2-40B4-BE49-F238E27FC236}">
              <a16:creationId xmlns:a16="http://schemas.microsoft.com/office/drawing/2014/main" id="{00000000-0008-0000-0300-0000A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523875"/>
          <a:ext cx="1609725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478971</xdr:colOff>
          <xdr:row>3</xdr:row>
          <xdr:rowOff>141514</xdr:rowOff>
        </xdr:from>
        <xdr:to>
          <xdr:col>17</xdr:col>
          <xdr:colOff>63961</xdr:colOff>
          <xdr:row>7</xdr:row>
          <xdr:rowOff>114300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238125</xdr:colOff>
      <xdr:row>63</xdr:row>
      <xdr:rowOff>38100</xdr:rowOff>
    </xdr:from>
    <xdr:to>
      <xdr:col>10</xdr:col>
      <xdr:colOff>228600</xdr:colOff>
      <xdr:row>93</xdr:row>
      <xdr:rowOff>38100</xdr:rowOff>
    </xdr:to>
    <xdr:pic>
      <xdr:nvPicPr>
        <xdr:cNvPr id="8620" name="Picture 3">
          <a:extLst>
            <a:ext uri="{FF2B5EF4-FFF2-40B4-BE49-F238E27FC236}">
              <a16:creationId xmlns:a16="http://schemas.microsoft.com/office/drawing/2014/main" id="{00000000-0008-0000-0300-0000A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239375"/>
          <a:ext cx="7972425" cy="4857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BesselK0"/>
      <definedName name="ExponentialIntegralEN"/>
      <definedName name="transient_P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2:J87"/>
  <sheetViews>
    <sheetView tabSelected="1" zoomScale="120" zoomScaleNormal="120" workbookViewId="0">
      <selection activeCell="I57" sqref="I57"/>
    </sheetView>
  </sheetViews>
  <sheetFormatPr defaultRowHeight="12.45" x14ac:dyDescent="0.3"/>
  <cols>
    <col min="1" max="1" width="11.3828125" customWidth="1"/>
    <col min="2" max="2" width="10.53515625" customWidth="1"/>
    <col min="4" max="4" width="10.3828125" bestFit="1" customWidth="1"/>
    <col min="5" max="5" width="12" bestFit="1" customWidth="1"/>
    <col min="7" max="7" width="9.921875" bestFit="1" customWidth="1"/>
  </cols>
  <sheetData>
    <row r="2" spans="1:10" x14ac:dyDescent="0.3">
      <c r="B2" t="s">
        <v>32</v>
      </c>
    </row>
    <row r="3" spans="1:10" x14ac:dyDescent="0.3">
      <c r="B3" t="s">
        <v>28</v>
      </c>
    </row>
    <row r="5" spans="1:10" x14ac:dyDescent="0.3">
      <c r="B5" t="s">
        <v>25</v>
      </c>
    </row>
    <row r="6" spans="1:10" x14ac:dyDescent="0.3">
      <c r="B6" t="s">
        <v>29</v>
      </c>
      <c r="H6" s="9" t="s">
        <v>35</v>
      </c>
      <c r="I6" s="9">
        <f>-Ei(-1)</f>
        <v>0.21938393439552117</v>
      </c>
      <c r="J6" s="9">
        <f>E_1(1)</f>
        <v>0.21938393439552117</v>
      </c>
    </row>
    <row r="7" spans="1:10" x14ac:dyDescent="0.3">
      <c r="B7" t="s">
        <v>53</v>
      </c>
      <c r="H7" s="9"/>
      <c r="I7" s="9"/>
      <c r="J7" s="9"/>
    </row>
    <row r="9" spans="1:10" x14ac:dyDescent="0.3">
      <c r="A9" s="10" t="s">
        <v>31</v>
      </c>
      <c r="C9" s="9">
        <v>1.2</v>
      </c>
    </row>
    <row r="11" spans="1:10" x14ac:dyDescent="0.3">
      <c r="C11" s="8" t="s">
        <v>30</v>
      </c>
      <c r="D11" s="8" t="s">
        <v>33</v>
      </c>
      <c r="E11" s="8" t="s">
        <v>34</v>
      </c>
    </row>
    <row r="12" spans="1:10" x14ac:dyDescent="0.3">
      <c r="C12" s="7">
        <f>1/1000</f>
        <v>1E-3</v>
      </c>
      <c r="D12" s="32">
        <f>E_1(C12)</f>
        <v>6.3315393641361499</v>
      </c>
      <c r="E12">
        <f>-LN(C12)-0.57</f>
        <v>6.3377552789821365</v>
      </c>
      <c r="F12">
        <f>[1]!ExponentialIntegralEN(C12,1)</f>
        <v>6.331539364136149</v>
      </c>
      <c r="G12" s="34">
        <f>F12-D12</f>
        <v>0</v>
      </c>
    </row>
    <row r="13" spans="1:10" x14ac:dyDescent="0.3">
      <c r="C13" s="7">
        <f>C12*$C$9</f>
        <v>1.1999999999999999E-3</v>
      </c>
      <c r="D13" s="32">
        <f t="shared" ref="D13:D31" si="0">E_1(C13)</f>
        <v>6.1494176973826296</v>
      </c>
      <c r="E13">
        <f t="shared" ref="E13:E31" si="1">-LN(C13)-0.57</f>
        <v>6.1554337221881825</v>
      </c>
      <c r="F13">
        <f>[1]!ExponentialIntegralEN(C13,1)</f>
        <v>6.1494176973826287</v>
      </c>
      <c r="G13" s="34">
        <f t="shared" ref="G13:G31" si="2">F13-D13</f>
        <v>0</v>
      </c>
    </row>
    <row r="14" spans="1:10" x14ac:dyDescent="0.3">
      <c r="C14" s="7">
        <f t="shared" ref="C14:C31" si="3">C13*$C$9</f>
        <v>1.4399999999999999E-3</v>
      </c>
      <c r="D14" s="32">
        <f>E_1(C14)</f>
        <v>5.9673359822585388</v>
      </c>
      <c r="E14">
        <f t="shared" si="1"/>
        <v>5.9731121653942276</v>
      </c>
      <c r="F14">
        <f>[1]!ExponentialIntegralEN(C14,1)</f>
        <v>5.9673359822585388</v>
      </c>
      <c r="G14" s="34">
        <f t="shared" si="2"/>
        <v>0</v>
      </c>
    </row>
    <row r="15" spans="1:10" x14ac:dyDescent="0.3">
      <c r="C15" s="7">
        <f t="shared" si="3"/>
        <v>1.7279999999999997E-3</v>
      </c>
      <c r="D15" s="32">
        <f t="shared" si="0"/>
        <v>5.785302197489302</v>
      </c>
      <c r="E15">
        <f t="shared" si="1"/>
        <v>5.7907906086002727</v>
      </c>
      <c r="F15">
        <f>[1]!ExponentialIntegralEN(C15,1)</f>
        <v>5.785302197489302</v>
      </c>
      <c r="G15" s="34">
        <f t="shared" si="2"/>
        <v>0</v>
      </c>
    </row>
    <row r="16" spans="1:10" x14ac:dyDescent="0.3">
      <c r="C16" s="7">
        <f t="shared" si="3"/>
        <v>2.0735999999999997E-3</v>
      </c>
      <c r="D16" s="32">
        <f t="shared" si="0"/>
        <v>5.6033259124456931</v>
      </c>
      <c r="E16">
        <f t="shared" si="1"/>
        <v>5.6084690518063187</v>
      </c>
      <c r="F16">
        <f>[1]!ExponentialIntegralEN(C16,1)</f>
        <v>5.6033259124456922</v>
      </c>
      <c r="G16" s="34">
        <f t="shared" si="2"/>
        <v>0</v>
      </c>
    </row>
    <row r="17" spans="3:7" x14ac:dyDescent="0.3">
      <c r="C17" s="7">
        <f t="shared" si="3"/>
        <v>2.4883199999999996E-3</v>
      </c>
      <c r="D17" s="32">
        <f t="shared" si="0"/>
        <v>5.4214186030322731</v>
      </c>
      <c r="E17">
        <f>-LN(C17)-0.57</f>
        <v>5.4261474950123638</v>
      </c>
      <c r="F17">
        <f>[1]!ExponentialIntegralEN(C17,1)</f>
        <v>5.4214186030322722</v>
      </c>
      <c r="G17" s="34">
        <f t="shared" si="2"/>
        <v>0</v>
      </c>
    </row>
    <row r="18" spans="3:7" x14ac:dyDescent="0.3">
      <c r="C18" s="7">
        <f t="shared" si="3"/>
        <v>2.9859839999999993E-3</v>
      </c>
      <c r="D18" s="32">
        <f t="shared" si="0"/>
        <v>5.2395940297700117</v>
      </c>
      <c r="E18">
        <f t="shared" si="1"/>
        <v>5.2438259382184089</v>
      </c>
      <c r="F18">
        <f>[1]!ExponentialIntegralEN(C18,1)</f>
        <v>5.2395940297700108</v>
      </c>
      <c r="G18" s="34">
        <f t="shared" si="2"/>
        <v>0</v>
      </c>
    </row>
    <row r="19" spans="3:7" x14ac:dyDescent="0.3">
      <c r="C19" s="7">
        <f t="shared" si="3"/>
        <v>3.583180799999999E-3</v>
      </c>
      <c r="D19" s="32">
        <f t="shared" si="0"/>
        <v>5.0578686900808858</v>
      </c>
      <c r="E19">
        <f t="shared" si="1"/>
        <v>5.0615043814244549</v>
      </c>
      <c r="F19">
        <f>[1]!ExponentialIntegralEN(C19,1)</f>
        <v>5.0578686900808849</v>
      </c>
      <c r="G19" s="34">
        <f t="shared" si="2"/>
        <v>0</v>
      </c>
    </row>
    <row r="20" spans="3:7" x14ac:dyDescent="0.3">
      <c r="C20" s="7">
        <f t="shared" si="3"/>
        <v>4.2998169599999985E-3</v>
      </c>
      <c r="D20" s="32">
        <f t="shared" si="0"/>
        <v>4.8762623589954286</v>
      </c>
      <c r="E20">
        <f t="shared" si="1"/>
        <v>4.8791828246305</v>
      </c>
      <c r="F20">
        <f>[1]!ExponentialIntegralEN(C20,1)</f>
        <v>4.8762623589954286</v>
      </c>
      <c r="G20" s="34">
        <f t="shared" si="2"/>
        <v>0</v>
      </c>
    </row>
    <row r="21" spans="3:7" x14ac:dyDescent="0.3">
      <c r="C21" s="7">
        <f t="shared" si="3"/>
        <v>5.1597803519999978E-3</v>
      </c>
      <c r="D21" s="32">
        <f t="shared" si="0"/>
        <v>4.6947987350780132</v>
      </c>
      <c r="E21">
        <f t="shared" si="1"/>
        <v>4.6968612678365451</v>
      </c>
      <c r="F21">
        <f>[1]!ExponentialIntegralEN(C21,1)</f>
        <v>4.6947987350780123</v>
      </c>
      <c r="G21" s="34">
        <f t="shared" si="2"/>
        <v>0</v>
      </c>
    </row>
    <row r="22" spans="3:7" x14ac:dyDescent="0.3">
      <c r="C22" s="7">
        <f t="shared" si="3"/>
        <v>6.1917364223999976E-3</v>
      </c>
      <c r="D22" s="32">
        <f t="shared" si="0"/>
        <v>4.5135062113357556</v>
      </c>
      <c r="E22">
        <f t="shared" si="1"/>
        <v>4.5145397110425911</v>
      </c>
      <c r="F22">
        <f>[1]!ExponentialIntegralEN(C22,1)</f>
        <v>4.5135062113357556</v>
      </c>
      <c r="G22" s="34">
        <f t="shared" si="2"/>
        <v>0</v>
      </c>
    </row>
    <row r="23" spans="3:7" x14ac:dyDescent="0.3">
      <c r="C23" s="7">
        <f t="shared" si="3"/>
        <v>7.4300837068799969E-3</v>
      </c>
      <c r="D23" s="32">
        <f t="shared" si="0"/>
        <v>4.3324187942744281</v>
      </c>
      <c r="E23">
        <f t="shared" si="1"/>
        <v>4.3322181542486362</v>
      </c>
      <c r="F23">
        <f>[1]!ExponentialIntegralEN(C23,1)</f>
        <v>4.3324187942744281</v>
      </c>
      <c r="G23" s="34">
        <f t="shared" si="2"/>
        <v>0</v>
      </c>
    </row>
    <row r="24" spans="3:7" x14ac:dyDescent="0.3">
      <c r="C24" s="7">
        <f t="shared" si="3"/>
        <v>8.9161004482559963E-3</v>
      </c>
      <c r="D24" s="32">
        <f t="shared" si="0"/>
        <v>4.1515771981017506</v>
      </c>
      <c r="E24">
        <f t="shared" si="1"/>
        <v>4.1498965974546813</v>
      </c>
      <c r="F24">
        <f>[1]!ExponentialIntegralEN(C24,1)</f>
        <v>4.1515771981017489</v>
      </c>
      <c r="G24" s="34">
        <f t="shared" si="2"/>
        <v>0</v>
      </c>
    </row>
    <row r="25" spans="3:7" x14ac:dyDescent="0.3">
      <c r="C25" s="7">
        <f t="shared" si="3"/>
        <v>1.0699320537907194E-2</v>
      </c>
      <c r="D25" s="32">
        <f t="shared" si="0"/>
        <v>3.9710301453408161</v>
      </c>
      <c r="E25">
        <f t="shared" si="1"/>
        <v>3.9675750406607277</v>
      </c>
      <c r="F25">
        <f>[1]!ExponentialIntegralEN(C25,1)</f>
        <v>3.9710301453408157</v>
      </c>
      <c r="G25" s="34">
        <f t="shared" si="2"/>
        <v>0</v>
      </c>
    </row>
    <row r="26" spans="3:7" x14ac:dyDescent="0.3">
      <c r="C26" s="7">
        <f t="shared" si="3"/>
        <v>1.2839184645488633E-2</v>
      </c>
      <c r="D26" s="32">
        <f t="shared" si="0"/>
        <v>3.7908359097443847</v>
      </c>
      <c r="E26">
        <f t="shared" si="1"/>
        <v>3.7852534838667729</v>
      </c>
      <c r="F26">
        <f>[1]!ExponentialIntegralEN(C26,1)</f>
        <v>3.7908359097443842</v>
      </c>
      <c r="G26" s="34">
        <f t="shared" si="2"/>
        <v>0</v>
      </c>
    </row>
    <row r="27" spans="3:7" x14ac:dyDescent="0.3">
      <c r="C27" s="7">
        <f t="shared" si="3"/>
        <v>1.5407021574586359E-2</v>
      </c>
      <c r="D27" s="32">
        <f t="shared" si="0"/>
        <v>3.6110641422631344</v>
      </c>
      <c r="E27">
        <f t="shared" si="1"/>
        <v>3.602931927072818</v>
      </c>
      <c r="F27">
        <f>[1]!ExponentialIntegralEN(C27,1)</f>
        <v>3.6110641422631335</v>
      </c>
      <c r="G27" s="34">
        <f t="shared" si="2"/>
        <v>0</v>
      </c>
    </row>
    <row r="28" spans="3:7" x14ac:dyDescent="0.3">
      <c r="C28" s="7">
        <f t="shared" si="3"/>
        <v>1.848842588950363E-2</v>
      </c>
      <c r="D28" s="32">
        <f t="shared" si="0"/>
        <v>3.4317980256775029</v>
      </c>
      <c r="E28">
        <f t="shared" si="1"/>
        <v>3.4206103702788639</v>
      </c>
      <c r="F28">
        <f>[1]!ExponentialIntegralEN(C28,1)</f>
        <v>3.4317980256775025</v>
      </c>
      <c r="G28" s="34">
        <f t="shared" si="2"/>
        <v>0</v>
      </c>
    </row>
    <row r="29" spans="3:7" x14ac:dyDescent="0.3">
      <c r="C29" s="7">
        <f t="shared" si="3"/>
        <v>2.2186111067404354E-2</v>
      </c>
      <c r="D29" s="32">
        <f t="shared" si="0"/>
        <v>3.2531368079507241</v>
      </c>
      <c r="E29">
        <f t="shared" si="1"/>
        <v>3.2382888134849095</v>
      </c>
      <c r="F29">
        <f>[1]!ExponentialIntegralEN(C29,1)</f>
        <v>3.2531368079507232</v>
      </c>
      <c r="G29" s="34">
        <f t="shared" si="2"/>
        <v>0</v>
      </c>
    </row>
    <row r="30" spans="3:7" x14ac:dyDescent="0.3">
      <c r="C30" s="7">
        <f t="shared" si="3"/>
        <v>2.6623333280885224E-2</v>
      </c>
      <c r="D30" s="32">
        <f t="shared" si="0"/>
        <v>3.0751987677609125</v>
      </c>
      <c r="E30">
        <f t="shared" si="1"/>
        <v>3.0559672566909546</v>
      </c>
      <c r="F30">
        <f>[1]!ExponentialIntegralEN(C30,1)</f>
        <v>3.0751987677609112</v>
      </c>
      <c r="G30" s="34">
        <f t="shared" si="2"/>
        <v>0</v>
      </c>
    </row>
    <row r="31" spans="3:7" x14ac:dyDescent="0.3">
      <c r="C31" s="7">
        <f t="shared" si="3"/>
        <v>3.1947999937062266E-2</v>
      </c>
      <c r="D31" s="32">
        <f t="shared" si="0"/>
        <v>2.8981246670451002</v>
      </c>
      <c r="E31">
        <f t="shared" si="1"/>
        <v>2.8736456998970001</v>
      </c>
      <c r="F31">
        <f>[1]!ExponentialIntegralEN(C31,1)</f>
        <v>2.8981246670450993</v>
      </c>
      <c r="G31" s="34">
        <f t="shared" si="2"/>
        <v>0</v>
      </c>
    </row>
    <row r="50" spans="3:4" x14ac:dyDescent="0.3">
      <c r="C50" s="7">
        <f t="shared" ref="C50:C65" si="4">C51*$C$9</f>
        <v>-2.2186111067404354E-2</v>
      </c>
      <c r="D50">
        <f>Ei(C50)</f>
        <v>-3.2531368079507241</v>
      </c>
    </row>
    <row r="51" spans="3:4" x14ac:dyDescent="0.3">
      <c r="C51" s="7">
        <f t="shared" si="4"/>
        <v>-1.848842588950363E-2</v>
      </c>
      <c r="D51">
        <f t="shared" ref="D51:D87" si="5">Ei(C51)</f>
        <v>-3.4317980256775029</v>
      </c>
    </row>
    <row r="52" spans="3:4" x14ac:dyDescent="0.3">
      <c r="C52" s="7">
        <f t="shared" si="4"/>
        <v>-1.5407021574586359E-2</v>
      </c>
      <c r="D52">
        <f t="shared" si="5"/>
        <v>-3.6110641422631344</v>
      </c>
    </row>
    <row r="53" spans="3:4" x14ac:dyDescent="0.3">
      <c r="C53" s="7">
        <f t="shared" si="4"/>
        <v>-1.2839184645488633E-2</v>
      </c>
      <c r="D53">
        <f t="shared" si="5"/>
        <v>-3.7908359097443847</v>
      </c>
    </row>
    <row r="54" spans="3:4" x14ac:dyDescent="0.3">
      <c r="C54" s="7">
        <f t="shared" si="4"/>
        <v>-1.0699320537907194E-2</v>
      </c>
      <c r="D54">
        <f t="shared" si="5"/>
        <v>-3.9710301453408161</v>
      </c>
    </row>
    <row r="55" spans="3:4" x14ac:dyDescent="0.3">
      <c r="C55" s="7">
        <f t="shared" si="4"/>
        <v>-8.9161004482559963E-3</v>
      </c>
      <c r="D55">
        <f t="shared" si="5"/>
        <v>-4.1515771981017506</v>
      </c>
    </row>
    <row r="56" spans="3:4" x14ac:dyDescent="0.3">
      <c r="C56" s="7">
        <f t="shared" si="4"/>
        <v>-7.4300837068799969E-3</v>
      </c>
      <c r="D56">
        <f t="shared" si="5"/>
        <v>-4.3324187942744281</v>
      </c>
    </row>
    <row r="57" spans="3:4" x14ac:dyDescent="0.3">
      <c r="C57" s="7">
        <f t="shared" si="4"/>
        <v>-6.1917364223999976E-3</v>
      </c>
      <c r="D57">
        <f t="shared" si="5"/>
        <v>-4.5135062113357556</v>
      </c>
    </row>
    <row r="58" spans="3:4" x14ac:dyDescent="0.3">
      <c r="C58" s="7">
        <f t="shared" si="4"/>
        <v>-5.1597803519999978E-3</v>
      </c>
      <c r="D58">
        <f t="shared" si="5"/>
        <v>-4.6947987350780132</v>
      </c>
    </row>
    <row r="59" spans="3:4" x14ac:dyDescent="0.3">
      <c r="C59" s="7">
        <f t="shared" si="4"/>
        <v>-4.2998169599999985E-3</v>
      </c>
      <c r="D59">
        <f t="shared" si="5"/>
        <v>-4.8762623589954286</v>
      </c>
    </row>
    <row r="60" spans="3:4" x14ac:dyDescent="0.3">
      <c r="C60" s="7">
        <f t="shared" si="4"/>
        <v>-3.583180799999999E-3</v>
      </c>
      <c r="D60">
        <f t="shared" si="5"/>
        <v>-5.0578686900808858</v>
      </c>
    </row>
    <row r="61" spans="3:4" x14ac:dyDescent="0.3">
      <c r="C61" s="7">
        <f t="shared" si="4"/>
        <v>-2.9859839999999993E-3</v>
      </c>
      <c r="D61">
        <f t="shared" si="5"/>
        <v>-5.2395940297700117</v>
      </c>
    </row>
    <row r="62" spans="3:4" x14ac:dyDescent="0.3">
      <c r="C62" s="7">
        <f t="shared" si="4"/>
        <v>-2.4883199999999996E-3</v>
      </c>
      <c r="D62">
        <f t="shared" si="5"/>
        <v>-5.4214186030322731</v>
      </c>
    </row>
    <row r="63" spans="3:4" x14ac:dyDescent="0.3">
      <c r="C63" s="7">
        <f t="shared" si="4"/>
        <v>-2.0735999999999997E-3</v>
      </c>
      <c r="D63">
        <f t="shared" si="5"/>
        <v>-5.6033259124456931</v>
      </c>
    </row>
    <row r="64" spans="3:4" x14ac:dyDescent="0.3">
      <c r="C64" s="7">
        <f t="shared" si="4"/>
        <v>-1.7279999999999997E-3</v>
      </c>
      <c r="D64">
        <f t="shared" si="5"/>
        <v>-5.785302197489302</v>
      </c>
    </row>
    <row r="65" spans="3:4" x14ac:dyDescent="0.3">
      <c r="C65" s="7">
        <f t="shared" si="4"/>
        <v>-1.4399999999999999E-3</v>
      </c>
      <c r="D65">
        <f t="shared" si="5"/>
        <v>-5.9673359822585388</v>
      </c>
    </row>
    <row r="66" spans="3:4" x14ac:dyDescent="0.3">
      <c r="C66" s="7">
        <f>C67*$C$9</f>
        <v>-1.1999999999999999E-3</v>
      </c>
      <c r="D66">
        <f t="shared" si="5"/>
        <v>-6.1494176973826296</v>
      </c>
    </row>
    <row r="67" spans="3:4" x14ac:dyDescent="0.3">
      <c r="C67">
        <f>-C68</f>
        <v>-1E-3</v>
      </c>
      <c r="D67">
        <f t="shared" si="5"/>
        <v>-6.3315393641361499</v>
      </c>
    </row>
    <row r="68" spans="3:4" x14ac:dyDescent="0.3">
      <c r="C68" s="7">
        <f>1/1000</f>
        <v>1E-3</v>
      </c>
      <c r="D68">
        <f t="shared" si="5"/>
        <v>0</v>
      </c>
    </row>
    <row r="69" spans="3:4" x14ac:dyDescent="0.3">
      <c r="C69" s="7">
        <f>C68*$C$9</f>
        <v>1.1999999999999999E-3</v>
      </c>
      <c r="D69">
        <f t="shared" si="5"/>
        <v>0</v>
      </c>
    </row>
    <row r="70" spans="3:4" x14ac:dyDescent="0.3">
      <c r="C70" s="7">
        <f t="shared" ref="C70:C87" si="6">C69*$C$9</f>
        <v>1.4399999999999999E-3</v>
      </c>
      <c r="D70">
        <f>Ei(C70)</f>
        <v>0</v>
      </c>
    </row>
    <row r="71" spans="3:4" x14ac:dyDescent="0.3">
      <c r="C71" s="7">
        <f t="shared" si="6"/>
        <v>1.7279999999999997E-3</v>
      </c>
      <c r="D71">
        <f t="shared" si="5"/>
        <v>0</v>
      </c>
    </row>
    <row r="72" spans="3:4" x14ac:dyDescent="0.3">
      <c r="C72" s="7">
        <f t="shared" si="6"/>
        <v>2.0735999999999997E-3</v>
      </c>
      <c r="D72">
        <f t="shared" si="5"/>
        <v>0</v>
      </c>
    </row>
    <row r="73" spans="3:4" x14ac:dyDescent="0.3">
      <c r="C73" s="7">
        <f t="shared" si="6"/>
        <v>2.4883199999999996E-3</v>
      </c>
      <c r="D73">
        <f t="shared" si="5"/>
        <v>0</v>
      </c>
    </row>
    <row r="74" spans="3:4" x14ac:dyDescent="0.3">
      <c r="C74" s="7">
        <f t="shared" si="6"/>
        <v>2.9859839999999993E-3</v>
      </c>
      <c r="D74">
        <f t="shared" si="5"/>
        <v>0</v>
      </c>
    </row>
    <row r="75" spans="3:4" x14ac:dyDescent="0.3">
      <c r="C75" s="7">
        <f t="shared" si="6"/>
        <v>3.583180799999999E-3</v>
      </c>
      <c r="D75">
        <f t="shared" si="5"/>
        <v>0</v>
      </c>
    </row>
    <row r="76" spans="3:4" x14ac:dyDescent="0.3">
      <c r="C76" s="7">
        <f t="shared" si="6"/>
        <v>4.2998169599999985E-3</v>
      </c>
      <c r="D76">
        <f t="shared" si="5"/>
        <v>0</v>
      </c>
    </row>
    <row r="77" spans="3:4" x14ac:dyDescent="0.3">
      <c r="C77" s="7">
        <f t="shared" si="6"/>
        <v>5.1597803519999978E-3</v>
      </c>
      <c r="D77">
        <f t="shared" si="5"/>
        <v>0</v>
      </c>
    </row>
    <row r="78" spans="3:4" x14ac:dyDescent="0.3">
      <c r="C78" s="7">
        <f t="shared" si="6"/>
        <v>6.1917364223999976E-3</v>
      </c>
      <c r="D78">
        <f t="shared" si="5"/>
        <v>0</v>
      </c>
    </row>
    <row r="79" spans="3:4" x14ac:dyDescent="0.3">
      <c r="C79" s="7">
        <f t="shared" si="6"/>
        <v>7.4300837068799969E-3</v>
      </c>
      <c r="D79">
        <f t="shared" si="5"/>
        <v>0</v>
      </c>
    </row>
    <row r="80" spans="3:4" x14ac:dyDescent="0.3">
      <c r="C80" s="7">
        <f t="shared" si="6"/>
        <v>8.9161004482559963E-3</v>
      </c>
      <c r="D80">
        <f t="shared" si="5"/>
        <v>0</v>
      </c>
    </row>
    <row r="81" spans="3:4" x14ac:dyDescent="0.3">
      <c r="C81" s="7">
        <f t="shared" si="6"/>
        <v>1.0699320537907194E-2</v>
      </c>
      <c r="D81">
        <f t="shared" si="5"/>
        <v>0</v>
      </c>
    </row>
    <row r="82" spans="3:4" x14ac:dyDescent="0.3">
      <c r="C82" s="7">
        <f t="shared" si="6"/>
        <v>1.2839184645488633E-2</v>
      </c>
      <c r="D82">
        <f t="shared" si="5"/>
        <v>0</v>
      </c>
    </row>
    <row r="83" spans="3:4" x14ac:dyDescent="0.3">
      <c r="C83" s="7">
        <f t="shared" si="6"/>
        <v>1.5407021574586359E-2</v>
      </c>
      <c r="D83">
        <f t="shared" si="5"/>
        <v>0</v>
      </c>
    </row>
    <row r="84" spans="3:4" x14ac:dyDescent="0.3">
      <c r="C84" s="7">
        <f t="shared" si="6"/>
        <v>1.848842588950363E-2</v>
      </c>
      <c r="D84">
        <f t="shared" si="5"/>
        <v>0</v>
      </c>
    </row>
    <row r="85" spans="3:4" x14ac:dyDescent="0.3">
      <c r="C85" s="7">
        <f t="shared" si="6"/>
        <v>2.2186111067404354E-2</v>
      </c>
      <c r="D85">
        <f t="shared" si="5"/>
        <v>0</v>
      </c>
    </row>
    <row r="86" spans="3:4" x14ac:dyDescent="0.3">
      <c r="C86" s="7">
        <f t="shared" si="6"/>
        <v>2.6623333280885224E-2</v>
      </c>
      <c r="D86">
        <f t="shared" si="5"/>
        <v>0</v>
      </c>
    </row>
    <row r="87" spans="3:4" x14ac:dyDescent="0.3">
      <c r="C87" s="7">
        <f t="shared" si="6"/>
        <v>3.1947999937062266E-2</v>
      </c>
      <c r="D87">
        <f t="shared" si="5"/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>
              <from>
                <xdr:col>12</xdr:col>
                <xdr:colOff>506186</xdr:colOff>
                <xdr:row>1</xdr:row>
                <xdr:rowOff>65314</xdr:rowOff>
              </from>
              <to>
                <xdr:col>16</xdr:col>
                <xdr:colOff>0</xdr:colOff>
                <xdr:row>3</xdr:row>
                <xdr:rowOff>97971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>
              <from>
                <xdr:col>10</xdr:col>
                <xdr:colOff>103414</xdr:colOff>
                <xdr:row>1</xdr:row>
                <xdr:rowOff>97971</xdr:rowOff>
              </from>
              <to>
                <xdr:col>12</xdr:col>
                <xdr:colOff>141514</xdr:colOff>
                <xdr:row>3</xdr:row>
                <xdr:rowOff>97971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4</xdr:col>
                <xdr:colOff>27214</xdr:colOff>
                <xdr:row>1</xdr:row>
                <xdr:rowOff>21771</xdr:rowOff>
              </from>
              <to>
                <xdr:col>9</xdr:col>
                <xdr:colOff>381000</xdr:colOff>
                <xdr:row>3</xdr:row>
                <xdr:rowOff>125186</xdr:rowOff>
              </to>
            </anchor>
          </objectPr>
        </oleObject>
      </mc:Choice>
      <mc:Fallback>
        <oleObject progId="Equation.DSMT4" shapeId="5124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pageSetUpPr fitToPage="1"/>
  </sheetPr>
  <dimension ref="B1:O50"/>
  <sheetViews>
    <sheetView topLeftCell="H1" zoomScale="115" zoomScaleNormal="115" workbookViewId="0">
      <selection activeCell="Y6" sqref="Y6"/>
    </sheetView>
  </sheetViews>
  <sheetFormatPr defaultColWidth="9.15234375" defaultRowHeight="12.45" x14ac:dyDescent="0.3"/>
  <cols>
    <col min="1" max="1" width="9.15234375" style="1"/>
    <col min="2" max="2" width="20" style="1" customWidth="1"/>
    <col min="3" max="7" width="9.15234375" style="1"/>
    <col min="8" max="8" width="12.3828125" style="1" bestFit="1" customWidth="1"/>
    <col min="9" max="9" width="11.53515625" style="1" bestFit="1" customWidth="1"/>
    <col min="10" max="12" width="9.15234375" style="1"/>
    <col min="13" max="13" width="8.84375" style="1" customWidth="1"/>
    <col min="14" max="14" width="9" style="1" customWidth="1"/>
    <col min="15" max="16384" width="9.15234375" style="1"/>
  </cols>
  <sheetData>
    <row r="1" spans="2:13" x14ac:dyDescent="0.3">
      <c r="B1" s="1" t="s">
        <v>0</v>
      </c>
    </row>
    <row r="2" spans="2:13" x14ac:dyDescent="0.3">
      <c r="B2" s="1" t="s">
        <v>1</v>
      </c>
    </row>
    <row r="4" spans="2:13" x14ac:dyDescent="0.3">
      <c r="M4" s="3"/>
    </row>
    <row r="5" spans="2:13" x14ac:dyDescent="0.3">
      <c r="M5" s="3"/>
    </row>
    <row r="6" spans="2:13" x14ac:dyDescent="0.3">
      <c r="M6" s="3"/>
    </row>
    <row r="7" spans="2:13" x14ac:dyDescent="0.3">
      <c r="M7" s="3"/>
    </row>
    <row r="8" spans="2:13" x14ac:dyDescent="0.3">
      <c r="B8" s="4" t="s">
        <v>25</v>
      </c>
      <c r="M8" s="3"/>
    </row>
    <row r="9" spans="2:13" x14ac:dyDescent="0.3">
      <c r="B9" s="4" t="s">
        <v>26</v>
      </c>
      <c r="M9" s="3"/>
    </row>
    <row r="10" spans="2:13" x14ac:dyDescent="0.3">
      <c r="B10" s="4" t="s">
        <v>51</v>
      </c>
      <c r="M10" s="3"/>
    </row>
    <row r="11" spans="2:13" x14ac:dyDescent="0.3">
      <c r="B11" s="4" t="s">
        <v>27</v>
      </c>
      <c r="I11" s="1">
        <v>3.6000000000000002E-4</v>
      </c>
      <c r="M11" s="3"/>
    </row>
    <row r="12" spans="2:13" x14ac:dyDescent="0.3">
      <c r="B12" s="4" t="s">
        <v>52</v>
      </c>
      <c r="I12" s="1">
        <v>5.4318305268875614E-2</v>
      </c>
      <c r="J12" s="4">
        <f>1/I12</f>
        <v>18.41</v>
      </c>
      <c r="M12" s="3"/>
    </row>
    <row r="13" spans="2:13" x14ac:dyDescent="0.3">
      <c r="M13" s="3"/>
    </row>
    <row r="14" spans="2:13" x14ac:dyDescent="0.3">
      <c r="E14" s="4" t="s">
        <v>36</v>
      </c>
      <c r="G14" s="6">
        <v>100</v>
      </c>
      <c r="M14" s="3"/>
    </row>
    <row r="15" spans="2:13" x14ac:dyDescent="0.3">
      <c r="M15" s="3"/>
    </row>
    <row r="16" spans="2:13" x14ac:dyDescent="0.3">
      <c r="B16" s="12" t="s">
        <v>2</v>
      </c>
      <c r="C16" s="13">
        <v>10</v>
      </c>
      <c r="D16" s="13" t="s">
        <v>3</v>
      </c>
      <c r="E16" s="2"/>
      <c r="G16" s="11" t="s">
        <v>4</v>
      </c>
      <c r="H16" s="11" t="s">
        <v>23</v>
      </c>
      <c r="I16" s="11" t="s">
        <v>67</v>
      </c>
      <c r="J16" s="11" t="s">
        <v>24</v>
      </c>
      <c r="K16" s="11" t="s">
        <v>66</v>
      </c>
      <c r="L16" s="11" t="s">
        <v>38</v>
      </c>
      <c r="M16" s="3"/>
    </row>
    <row r="17" spans="2:15" x14ac:dyDescent="0.3">
      <c r="B17" s="12" t="s">
        <v>6</v>
      </c>
      <c r="C17" s="13">
        <v>1</v>
      </c>
      <c r="D17" s="13" t="s">
        <v>7</v>
      </c>
      <c r="E17" s="2"/>
      <c r="G17" s="2">
        <v>0.01</v>
      </c>
      <c r="H17" s="19">
        <f>por*mu*ct*$C$28*$C$28/0.00036/k*G17</f>
        <v>2.7777777777777781E-7</v>
      </c>
      <c r="I17" s="33">
        <f t="shared" ref="I17:I18" si="0">1/2*E_1(-$C$29^2/4/G17)</f>
        <v>2.6744498776701083E-13</v>
      </c>
      <c r="J17" s="19"/>
      <c r="K17" s="19"/>
      <c r="L17" s="19"/>
      <c r="M17" s="19"/>
      <c r="N17" s="19"/>
      <c r="O17" s="19"/>
    </row>
    <row r="18" spans="2:15" x14ac:dyDescent="0.3">
      <c r="B18" s="12" t="s">
        <v>8</v>
      </c>
      <c r="C18" s="14">
        <v>5.0000000000000002E-5</v>
      </c>
      <c r="D18" s="13" t="s">
        <v>9</v>
      </c>
      <c r="E18" s="2"/>
      <c r="G18" s="2">
        <v>0.1</v>
      </c>
      <c r="H18" s="19">
        <f>por*mu*ct*$C$28*$C$28/0.00036/k*G18</f>
        <v>2.7777777777777783E-6</v>
      </c>
      <c r="I18" s="33">
        <f t="shared" si="0"/>
        <v>1.2457458935134825E-2</v>
      </c>
      <c r="J18" s="19"/>
      <c r="K18" s="19"/>
      <c r="L18" s="19"/>
      <c r="M18" s="19"/>
      <c r="N18" s="19"/>
      <c r="O18" s="19"/>
    </row>
    <row r="19" spans="2:15" x14ac:dyDescent="0.3">
      <c r="B19" s="12" t="s">
        <v>10</v>
      </c>
      <c r="C19" s="13">
        <v>0.1</v>
      </c>
      <c r="D19" s="13" t="s">
        <v>11</v>
      </c>
      <c r="E19" s="2"/>
      <c r="G19" s="2">
        <v>1</v>
      </c>
      <c r="H19" s="19">
        <f>por*mu*ct*$C$28*$C$28/0.00036/k*G19</f>
        <v>2.7777777777777782E-5</v>
      </c>
      <c r="I19" s="33">
        <f>1/2*E_1(-$C$29^2/4/G19)</f>
        <v>0.52214131722186941</v>
      </c>
      <c r="J19" s="19"/>
      <c r="K19" s="19"/>
      <c r="L19" s="19"/>
      <c r="M19" s="19"/>
      <c r="N19" s="19"/>
      <c r="O19" s="19"/>
    </row>
    <row r="20" spans="2:15" x14ac:dyDescent="0.3">
      <c r="B20" s="12" t="s">
        <v>12</v>
      </c>
      <c r="C20" s="13">
        <v>10</v>
      </c>
      <c r="D20" s="13" t="s">
        <v>13</v>
      </c>
      <c r="E20" s="2"/>
      <c r="G20" s="2">
        <v>10</v>
      </c>
      <c r="H20" s="19">
        <f>por*mu*ct*$C$28*$C$28/0.00036/k*G20</f>
        <v>2.7777777777777783E-4</v>
      </c>
      <c r="I20" s="33">
        <f t="shared" ref="I20:I46" si="1">1/2*E_1(-$C$29^2/4/G20)</f>
        <v>1.5682542016075844</v>
      </c>
      <c r="J20" s="19"/>
      <c r="K20" s="19"/>
      <c r="L20" s="19"/>
      <c r="M20" s="19"/>
      <c r="N20" s="19"/>
      <c r="O20" s="19"/>
    </row>
    <row r="21" spans="2:15" x14ac:dyDescent="0.3">
      <c r="B21" s="12" t="s">
        <v>14</v>
      </c>
      <c r="C21" s="13">
        <v>1.2</v>
      </c>
      <c r="D21" s="13" t="s">
        <v>15</v>
      </c>
      <c r="E21" s="2"/>
      <c r="G21" s="2">
        <v>100</v>
      </c>
      <c r="H21" s="19">
        <f>por*mu*ct*$C$28*$C$28/0.00036/k*G21</f>
        <v>2.7777777777777783E-3</v>
      </c>
      <c r="I21" s="33">
        <f t="shared" si="1"/>
        <v>2.7083736602870498</v>
      </c>
      <c r="J21" s="19"/>
      <c r="K21" s="19"/>
      <c r="L21" s="19"/>
      <c r="M21" s="19"/>
      <c r="N21" s="19"/>
      <c r="O21" s="19"/>
    </row>
    <row r="22" spans="2:15" x14ac:dyDescent="0.3">
      <c r="B22" s="12" t="s">
        <v>16</v>
      </c>
      <c r="C22" s="13">
        <v>250</v>
      </c>
      <c r="D22" s="16" t="s">
        <v>50</v>
      </c>
      <c r="E22" s="2"/>
      <c r="G22" s="2">
        <f t="shared" ref="G22:G50" si="2">G21+$G$14</f>
        <v>200</v>
      </c>
      <c r="H22" s="19">
        <f>por*mu*ct*$C$28*$C$28/0.00036/k*G22</f>
        <v>5.5555555555555566E-3</v>
      </c>
      <c r="I22" s="33">
        <f t="shared" si="1"/>
        <v>3.0543228361249382</v>
      </c>
      <c r="J22" s="19"/>
      <c r="K22" s="19"/>
      <c r="L22" s="19"/>
      <c r="M22" s="19"/>
      <c r="N22" s="19"/>
      <c r="O22" s="19"/>
    </row>
    <row r="23" spans="2:15" x14ac:dyDescent="0.3">
      <c r="B23" s="12" t="s">
        <v>18</v>
      </c>
      <c r="C23" s="13">
        <v>0.2</v>
      </c>
      <c r="D23" s="12"/>
      <c r="G23" s="2">
        <f t="shared" si="2"/>
        <v>300</v>
      </c>
      <c r="H23" s="19">
        <f>por*mu*ct*$C$28*$C$28/0.00036/k*G23</f>
        <v>8.333333333333335E-3</v>
      </c>
      <c r="I23" s="33">
        <f t="shared" si="1"/>
        <v>3.2568471653144635</v>
      </c>
      <c r="J23" s="19"/>
      <c r="K23" s="19"/>
      <c r="L23" s="19"/>
      <c r="M23" s="19"/>
      <c r="N23" s="19"/>
      <c r="O23" s="19"/>
    </row>
    <row r="24" spans="2:15" x14ac:dyDescent="0.3">
      <c r="B24" s="15"/>
      <c r="C24" s="13"/>
      <c r="D24" s="16"/>
      <c r="E24" s="5"/>
      <c r="G24" s="2">
        <f t="shared" si="2"/>
        <v>400</v>
      </c>
      <c r="H24" s="19">
        <f>por*mu*ct*$C$28*$C$28/0.00036/k*G24</f>
        <v>1.1111111111111113E-2</v>
      </c>
      <c r="I24" s="33">
        <f t="shared" si="1"/>
        <v>3.4005840728418262</v>
      </c>
      <c r="J24" s="19"/>
      <c r="K24" s="19"/>
      <c r="L24" s="19"/>
      <c r="M24" s="19"/>
      <c r="N24" s="19"/>
      <c r="O24" s="19"/>
    </row>
    <row r="25" spans="2:15" x14ac:dyDescent="0.3">
      <c r="B25" s="15" t="s">
        <v>21</v>
      </c>
      <c r="C25" s="16">
        <v>1</v>
      </c>
      <c r="D25" s="16" t="s">
        <v>22</v>
      </c>
      <c r="E25" s="5"/>
      <c r="G25" s="2">
        <f t="shared" si="2"/>
        <v>500</v>
      </c>
      <c r="H25" s="19">
        <f>por*mu*ct*$C$28*$C$28/0.00036/k*G25</f>
        <v>1.3888888888888892E-2</v>
      </c>
      <c r="I25" s="33">
        <f t="shared" si="1"/>
        <v>3.512093366073747</v>
      </c>
      <c r="J25" s="19"/>
      <c r="K25" s="19"/>
      <c r="L25" s="19"/>
      <c r="M25" s="19"/>
      <c r="N25" s="19"/>
      <c r="O25" s="19"/>
    </row>
    <row r="26" spans="2:15" x14ac:dyDescent="0.3">
      <c r="B26" s="15" t="s">
        <v>54</v>
      </c>
      <c r="C26" s="16">
        <v>0</v>
      </c>
      <c r="D26" s="16"/>
      <c r="G26" s="2">
        <f t="shared" si="2"/>
        <v>600</v>
      </c>
      <c r="H26" s="19">
        <f>por*mu*ct*$C$28*$C$28/0.00036/k*G26</f>
        <v>1.666666666666667E-2</v>
      </c>
      <c r="I26" s="33">
        <f t="shared" si="1"/>
        <v>3.6032124873512066</v>
      </c>
      <c r="J26" s="19"/>
      <c r="K26" s="19"/>
      <c r="L26" s="19"/>
      <c r="M26" s="19"/>
      <c r="N26" s="19"/>
      <c r="O26" s="19"/>
    </row>
    <row r="27" spans="2:15" x14ac:dyDescent="0.3">
      <c r="G27" s="2">
        <f t="shared" si="2"/>
        <v>700</v>
      </c>
      <c r="H27" s="19">
        <f>por*mu*ct*$C$28*$C$28/0.00036/k*G27</f>
        <v>1.9444444444444448E-2</v>
      </c>
      <c r="I27" s="33">
        <f t="shared" si="1"/>
        <v>3.6802580711168411</v>
      </c>
      <c r="J27" s="19"/>
      <c r="K27" s="19"/>
      <c r="L27" s="19"/>
      <c r="M27" s="19"/>
      <c r="N27" s="19"/>
      <c r="O27" s="19"/>
    </row>
    <row r="28" spans="2:15" x14ac:dyDescent="0.3">
      <c r="B28" s="1" t="s">
        <v>65</v>
      </c>
      <c r="C28" s="1">
        <v>0.1</v>
      </c>
      <c r="G28" s="2">
        <f t="shared" si="2"/>
        <v>800</v>
      </c>
      <c r="H28" s="19">
        <f>por*mu*ct*$C$28*$C$28/0.00036/k*G28</f>
        <v>2.2222222222222227E-2</v>
      </c>
      <c r="I28" s="33">
        <f t="shared" si="1"/>
        <v>3.7470014497369588</v>
      </c>
      <c r="J28" s="19"/>
      <c r="K28" s="19"/>
      <c r="L28" s="19"/>
      <c r="M28" s="19"/>
      <c r="N28" s="19"/>
      <c r="O28" s="19"/>
    </row>
    <row r="29" spans="2:15" x14ac:dyDescent="0.3">
      <c r="B29" s="1" t="s">
        <v>42</v>
      </c>
      <c r="C29" s="1">
        <f>C28/rw</f>
        <v>1</v>
      </c>
      <c r="G29" s="2">
        <f t="shared" si="2"/>
        <v>900</v>
      </c>
      <c r="H29" s="19">
        <f>por*mu*ct*$C$28*$C$28/0.00036/k*G29</f>
        <v>2.5000000000000005E-2</v>
      </c>
      <c r="I29" s="33">
        <f t="shared" si="1"/>
        <v>3.8058756090157573</v>
      </c>
      <c r="J29" s="19"/>
      <c r="K29" s="19"/>
      <c r="L29" s="19"/>
      <c r="M29" s="19"/>
      <c r="N29" s="19"/>
      <c r="O29" s="19"/>
    </row>
    <row r="30" spans="2:15" x14ac:dyDescent="0.3">
      <c r="G30" s="2">
        <f t="shared" si="2"/>
        <v>1000</v>
      </c>
      <c r="H30" s="19">
        <f>por*mu*ct*$C$28*$C$28/0.00036/k*G30</f>
        <v>2.7777777777777783E-2</v>
      </c>
      <c r="I30" s="33">
        <f t="shared" si="1"/>
        <v>3.8585419797881819</v>
      </c>
      <c r="J30" s="19"/>
      <c r="K30" s="19"/>
      <c r="L30" s="19"/>
      <c r="M30" s="19"/>
      <c r="N30" s="19"/>
      <c r="O30" s="19"/>
    </row>
    <row r="31" spans="2:15" x14ac:dyDescent="0.3">
      <c r="G31" s="2">
        <f t="shared" si="2"/>
        <v>1100</v>
      </c>
      <c r="H31" s="19">
        <f>por*mu*ct*$C$28*$C$28/0.00036/k*G31</f>
        <v>3.0555555555555561E-2</v>
      </c>
      <c r="I31" s="33">
        <f t="shared" si="1"/>
        <v>3.9061857074097612</v>
      </c>
      <c r="J31" s="19"/>
      <c r="K31" s="19"/>
      <c r="L31" s="19"/>
      <c r="M31" s="19"/>
      <c r="N31" s="19"/>
      <c r="O31" s="19"/>
    </row>
    <row r="32" spans="2:15" x14ac:dyDescent="0.3">
      <c r="G32" s="2">
        <f t="shared" si="2"/>
        <v>1200</v>
      </c>
      <c r="H32" s="19">
        <f>por*mu*ct*$C$28*$C$28/0.00036/k*G32</f>
        <v>3.333333333333334E-2</v>
      </c>
      <c r="I32" s="33">
        <f t="shared" si="1"/>
        <v>3.949681927238796</v>
      </c>
      <c r="J32" s="19"/>
      <c r="K32" s="19"/>
      <c r="L32" s="19"/>
      <c r="M32" s="19"/>
      <c r="N32" s="19"/>
      <c r="O32" s="19"/>
    </row>
    <row r="33" spans="7:15" x14ac:dyDescent="0.3">
      <c r="G33" s="2">
        <f t="shared" si="2"/>
        <v>1300</v>
      </c>
      <c r="H33" s="19">
        <f>por*mu*ct*$C$28*$C$28/0.00036/k*G33</f>
        <v>3.6111111111111115E-2</v>
      </c>
      <c r="I33" s="33">
        <f t="shared" si="1"/>
        <v>3.9896952690575636</v>
      </c>
      <c r="J33" s="19"/>
      <c r="K33" s="19"/>
      <c r="L33" s="19"/>
      <c r="M33" s="19"/>
      <c r="N33" s="19"/>
      <c r="O33" s="19"/>
    </row>
    <row r="34" spans="7:15" x14ac:dyDescent="0.3">
      <c r="G34" s="2">
        <f t="shared" si="2"/>
        <v>1400</v>
      </c>
      <c r="H34" s="19">
        <f>por*mu*ct*$C$28*$C$28/0.00036/k*G34</f>
        <v>3.8888888888888896E-2</v>
      </c>
      <c r="I34" s="33">
        <f t="shared" si="1"/>
        <v>4.0267423876393291</v>
      </c>
      <c r="J34" s="19"/>
      <c r="K34" s="19"/>
      <c r="L34" s="19"/>
      <c r="M34" s="19"/>
      <c r="N34" s="19"/>
      <c r="O34" s="19"/>
    </row>
    <row r="35" spans="7:15" x14ac:dyDescent="0.3">
      <c r="G35" s="2">
        <f t="shared" si="2"/>
        <v>1500</v>
      </c>
      <c r="H35" s="19">
        <f>por*mu*ct*$C$28*$C$28/0.00036/k*G35</f>
        <v>4.1666666666666671E-2</v>
      </c>
      <c r="I35" s="33">
        <f t="shared" si="1"/>
        <v>4.0612328715155694</v>
      </c>
      <c r="J35" s="19"/>
      <c r="K35" s="19"/>
      <c r="L35" s="19"/>
      <c r="M35" s="19"/>
      <c r="N35" s="19"/>
      <c r="O35" s="19"/>
    </row>
    <row r="36" spans="7:15" x14ac:dyDescent="0.3">
      <c r="G36" s="2">
        <f t="shared" si="2"/>
        <v>1600</v>
      </c>
      <c r="H36" s="19">
        <f>por*mu*ct*$C$28*$C$28/0.00036/k*G36</f>
        <v>4.4444444444444453E-2</v>
      </c>
      <c r="I36" s="33">
        <f t="shared" si="1"/>
        <v>4.0934969241714629</v>
      </c>
      <c r="J36" s="19"/>
      <c r="K36" s="19"/>
      <c r="L36" s="19"/>
      <c r="M36" s="19"/>
      <c r="N36" s="19"/>
      <c r="O36" s="19"/>
    </row>
    <row r="37" spans="7:15" x14ac:dyDescent="0.3">
      <c r="G37" s="2">
        <f t="shared" si="2"/>
        <v>1700</v>
      </c>
      <c r="H37" s="19">
        <f>por*mu*ct*$C$28*$C$28/0.00036/k*G37</f>
        <v>4.7222222222222228E-2</v>
      </c>
      <c r="I37" s="33">
        <f t="shared" si="1"/>
        <v>4.1238046398398982</v>
      </c>
      <c r="J37" s="19"/>
      <c r="K37" s="19"/>
      <c r="L37" s="19"/>
      <c r="M37" s="19"/>
      <c r="N37" s="19"/>
      <c r="O37" s="19"/>
    </row>
    <row r="38" spans="7:15" x14ac:dyDescent="0.3">
      <c r="G38" s="2">
        <f t="shared" si="2"/>
        <v>1800</v>
      </c>
      <c r="H38" s="19">
        <f>por*mu*ct*$C$28*$C$28/0.00036/k*G38</f>
        <v>5.000000000000001E-2</v>
      </c>
      <c r="I38" s="33">
        <f t="shared" si="1"/>
        <v>4.1523797620845606</v>
      </c>
      <c r="J38" s="19"/>
      <c r="K38" s="19"/>
      <c r="L38" s="19"/>
      <c r="M38" s="19"/>
      <c r="N38" s="19"/>
      <c r="O38" s="19"/>
    </row>
    <row r="39" spans="7:15" x14ac:dyDescent="0.3">
      <c r="G39" s="2">
        <f t="shared" si="2"/>
        <v>1900</v>
      </c>
      <c r="H39" s="19">
        <f>por*mu*ct*$C$28*$C$28/0.00036/k*G39</f>
        <v>5.2777777777777785E-2</v>
      </c>
      <c r="I39" s="33">
        <f t="shared" si="1"/>
        <v>4.179409717996065</v>
      </c>
      <c r="J39" s="19"/>
      <c r="K39" s="19"/>
      <c r="L39" s="19"/>
      <c r="M39" s="19"/>
      <c r="N39" s="19"/>
      <c r="O39" s="19"/>
    </row>
    <row r="40" spans="7:15" x14ac:dyDescent="0.3">
      <c r="G40" s="2">
        <f t="shared" si="2"/>
        <v>2000</v>
      </c>
      <c r="H40" s="19">
        <f>por*mu*ct*$C$28*$C$28/0.00036/k*G40</f>
        <v>5.5555555555555566E-2</v>
      </c>
      <c r="I40" s="33">
        <f t="shared" si="1"/>
        <v>4.2050530759271503</v>
      </c>
      <c r="J40" s="19"/>
      <c r="K40" s="19"/>
      <c r="L40" s="19"/>
      <c r="M40" s="19"/>
      <c r="N40" s="19"/>
      <c r="O40" s="19"/>
    </row>
    <row r="41" spans="7:15" x14ac:dyDescent="0.3">
      <c r="G41" s="2">
        <f t="shared" si="2"/>
        <v>2100</v>
      </c>
      <c r="H41" s="19">
        <f>por*mu*ct*$C$28*$C$28/0.00036/k*G41</f>
        <v>5.8333333333333341E-2</v>
      </c>
      <c r="I41" s="33">
        <f t="shared" si="1"/>
        <v>4.2294451820029657</v>
      </c>
      <c r="J41" s="19"/>
      <c r="K41" s="19"/>
      <c r="L41" s="19"/>
      <c r="M41" s="19"/>
      <c r="N41" s="19"/>
      <c r="O41" s="19"/>
    </row>
    <row r="42" spans="7:15" x14ac:dyDescent="0.3">
      <c r="G42" s="2">
        <f t="shared" si="2"/>
        <v>2200</v>
      </c>
      <c r="H42" s="19">
        <f>por*mu*ct*$C$28*$C$28/0.00036/k*G42</f>
        <v>6.1111111111111123E-2</v>
      </c>
      <c r="I42" s="33">
        <f t="shared" si="1"/>
        <v>4.2527024843500891</v>
      </c>
      <c r="J42" s="19"/>
      <c r="K42" s="19"/>
      <c r="L42" s="19"/>
      <c r="M42" s="19"/>
      <c r="N42" s="19"/>
      <c r="O42" s="19"/>
    </row>
    <row r="43" spans="7:15" x14ac:dyDescent="0.3">
      <c r="G43" s="2">
        <f t="shared" si="2"/>
        <v>2300</v>
      </c>
      <c r="H43" s="19">
        <f>por*mu*ct*$C$28*$C$28/0.00036/k*G43</f>
        <v>6.3888888888888898E-2</v>
      </c>
      <c r="I43" s="33">
        <f t="shared" si="1"/>
        <v>4.2749258954170788</v>
      </c>
      <c r="J43" s="19"/>
      <c r="K43" s="19"/>
      <c r="L43" s="19"/>
      <c r="M43" s="19"/>
      <c r="N43" s="19"/>
      <c r="O43" s="19"/>
    </row>
    <row r="44" spans="7:15" x14ac:dyDescent="0.3">
      <c r="G44" s="2">
        <f t="shared" si="2"/>
        <v>2400</v>
      </c>
      <c r="H44" s="19">
        <f>por*mu*ct*$C$28*$C$28/0.00036/k*G44</f>
        <v>6.666666666666668E-2</v>
      </c>
      <c r="I44" s="33">
        <f t="shared" si="1"/>
        <v>4.296203438254226</v>
      </c>
      <c r="J44" s="19"/>
      <c r="K44" s="19"/>
      <c r="L44" s="19"/>
      <c r="M44" s="19"/>
      <c r="N44" s="19"/>
      <c r="O44" s="19"/>
    </row>
    <row r="45" spans="7:15" x14ac:dyDescent="0.3">
      <c r="G45" s="2">
        <f t="shared" si="2"/>
        <v>2500</v>
      </c>
      <c r="H45" s="19">
        <f>por*mu*ct*$C$28*$C$28/0.00036/k*G45</f>
        <v>6.9444444444444461E-2</v>
      </c>
      <c r="I45" s="33">
        <f t="shared" si="1"/>
        <v>4.3166123522873523</v>
      </c>
      <c r="J45" s="19"/>
      <c r="K45" s="19"/>
      <c r="L45" s="19"/>
      <c r="M45" s="19"/>
      <c r="N45" s="19"/>
      <c r="O45" s="19"/>
    </row>
    <row r="46" spans="7:15" x14ac:dyDescent="0.3">
      <c r="G46" s="2">
        <f t="shared" si="2"/>
        <v>2600</v>
      </c>
      <c r="H46" s="19">
        <f>por*mu*ct*$C$28*$C$28/0.00036/k*G46</f>
        <v>7.2222222222222229E-2</v>
      </c>
      <c r="I46" s="33">
        <f t="shared" si="1"/>
        <v>4.3362207858813733</v>
      </c>
      <c r="J46" s="19"/>
      <c r="K46" s="19"/>
      <c r="L46" s="19"/>
      <c r="M46" s="19"/>
      <c r="N46" s="19"/>
      <c r="O46" s="19"/>
    </row>
    <row r="47" spans="7:15" x14ac:dyDescent="0.3">
      <c r="G47" s="2">
        <f t="shared" si="2"/>
        <v>2700</v>
      </c>
      <c r="H47" s="19"/>
      <c r="I47" s="19"/>
      <c r="J47" s="19"/>
      <c r="K47" s="19"/>
      <c r="L47" s="19"/>
      <c r="M47" s="19"/>
      <c r="N47" s="19"/>
      <c r="O47" s="19"/>
    </row>
    <row r="48" spans="7:15" x14ac:dyDescent="0.3">
      <c r="G48" s="2">
        <f t="shared" si="2"/>
        <v>2800</v>
      </c>
      <c r="H48" s="19"/>
      <c r="I48" s="19"/>
      <c r="J48" s="19"/>
      <c r="K48" s="19"/>
      <c r="L48" s="19"/>
      <c r="M48" s="19"/>
      <c r="N48" s="19"/>
      <c r="O48" s="19"/>
    </row>
    <row r="49" spans="7:15" x14ac:dyDescent="0.3">
      <c r="G49" s="2">
        <f t="shared" si="2"/>
        <v>2900</v>
      </c>
      <c r="H49" s="19"/>
      <c r="I49" s="19"/>
      <c r="J49" s="19"/>
      <c r="K49" s="19"/>
      <c r="L49" s="19"/>
      <c r="M49" s="19"/>
      <c r="N49" s="19"/>
      <c r="O49" s="19"/>
    </row>
    <row r="50" spans="7:15" x14ac:dyDescent="0.3">
      <c r="G50" s="17">
        <f t="shared" si="2"/>
        <v>3000</v>
      </c>
      <c r="H50" s="17">
        <f>G50*por*mu*ct*rw*rw/k/0.00036</f>
        <v>8.3333333333333343E-2</v>
      </c>
      <c r="I50" s="17">
        <f>-1/2*Ei(-1/4/G50)</f>
        <v>4.4077647977329288</v>
      </c>
      <c r="J50" s="17">
        <f>1/2*(LN(G50)+0.80907)</f>
        <v>4.4077187838251231</v>
      </c>
      <c r="K50" s="17">
        <f>Pi-I50*$J$12*q*B*mu/k/h</f>
        <v>152.62366008848414</v>
      </c>
      <c r="L50" s="17">
        <f>Pi-(J50+S)*$J$12*q*B*mu/k/h</f>
        <v>152.6246766277354</v>
      </c>
      <c r="M50" s="17">
        <f>Pi-18.41*q*B*mu/k/h*(-1/2*Ei(-por*mu*ct*rw*rw/0.00144/k/H50))</f>
        <v>152.62366008848414</v>
      </c>
      <c r="N50" s="17">
        <f>M50-K50</f>
        <v>0</v>
      </c>
      <c r="O50" s="17">
        <f>Pi-9.205*q*B*mu/k/h*(LN(k*H50/(por*mu*ct*rw*rw))-7.12)</f>
        <v>152.62095935586044</v>
      </c>
    </row>
  </sheetData>
  <phoneticPr fontId="3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>
              <from>
                <xdr:col>6</xdr:col>
                <xdr:colOff>228600</xdr:colOff>
                <xdr:row>3</xdr:row>
                <xdr:rowOff>0</xdr:rowOff>
              </from>
              <to>
                <xdr:col>9</xdr:col>
                <xdr:colOff>0</xdr:colOff>
                <xdr:row>7</xdr:row>
                <xdr:rowOff>48986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>
              <from>
                <xdr:col>9</xdr:col>
                <xdr:colOff>65314</xdr:colOff>
                <xdr:row>3</xdr:row>
                <xdr:rowOff>10886</xdr:rowOff>
              </from>
              <to>
                <xdr:col>12</xdr:col>
                <xdr:colOff>136071</xdr:colOff>
                <xdr:row>7</xdr:row>
                <xdr:rowOff>59871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>
              <from>
                <xdr:col>12</xdr:col>
                <xdr:colOff>179614</xdr:colOff>
                <xdr:row>3</xdr:row>
                <xdr:rowOff>0</xdr:rowOff>
              </from>
              <to>
                <xdr:col>15</xdr:col>
                <xdr:colOff>163286</xdr:colOff>
                <xdr:row>7</xdr:row>
                <xdr:rowOff>76200</xdr:rowOff>
              </to>
            </anchor>
          </objectPr>
        </oleObject>
      </mc:Choice>
      <mc:Fallback>
        <oleObject progId="Equation.DSMT4" shapeId="1032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8">
    <pageSetUpPr fitToPage="1"/>
  </sheetPr>
  <dimension ref="B1:M50"/>
  <sheetViews>
    <sheetView zoomScaleNormal="100" workbookViewId="0">
      <selection activeCell="I18" sqref="I18"/>
    </sheetView>
  </sheetViews>
  <sheetFormatPr defaultColWidth="9.15234375" defaultRowHeight="12.45" x14ac:dyDescent="0.3"/>
  <cols>
    <col min="1" max="1" width="9.15234375" style="1"/>
    <col min="2" max="2" width="20" style="1" customWidth="1"/>
    <col min="3" max="7" width="9.15234375" style="1"/>
    <col min="8" max="8" width="12.3828125" style="1" bestFit="1" customWidth="1"/>
    <col min="9" max="11" width="9.15234375" style="1"/>
    <col min="12" max="12" width="12.3828125" style="1" bestFit="1" customWidth="1"/>
    <col min="13" max="13" width="8.84375" style="1" customWidth="1"/>
    <col min="14" max="14" width="9" style="1" customWidth="1"/>
    <col min="15" max="16384" width="9.15234375" style="1"/>
  </cols>
  <sheetData>
    <row r="1" spans="2:13" x14ac:dyDescent="0.3">
      <c r="B1" s="4" t="s">
        <v>39</v>
      </c>
    </row>
    <row r="2" spans="2:13" x14ac:dyDescent="0.3">
      <c r="B2" s="4" t="s">
        <v>40</v>
      </c>
    </row>
    <row r="4" spans="2:13" x14ac:dyDescent="0.3">
      <c r="M4" s="3"/>
    </row>
    <row r="5" spans="2:13" x14ac:dyDescent="0.3">
      <c r="M5" s="3"/>
    </row>
    <row r="6" spans="2:13" x14ac:dyDescent="0.3">
      <c r="M6" s="3"/>
    </row>
    <row r="7" spans="2:13" x14ac:dyDescent="0.3">
      <c r="M7" s="3"/>
    </row>
    <row r="8" spans="2:13" x14ac:dyDescent="0.3">
      <c r="B8" s="4" t="s">
        <v>25</v>
      </c>
      <c r="M8" s="3"/>
    </row>
    <row r="9" spans="2:13" x14ac:dyDescent="0.3">
      <c r="B9" s="4" t="s">
        <v>26</v>
      </c>
      <c r="M9" s="3"/>
    </row>
    <row r="10" spans="2:13" x14ac:dyDescent="0.3">
      <c r="B10" s="4" t="s">
        <v>41</v>
      </c>
      <c r="M10" s="3"/>
    </row>
    <row r="11" spans="2:13" x14ac:dyDescent="0.3">
      <c r="B11" s="4" t="s">
        <v>27</v>
      </c>
      <c r="M11" s="3"/>
    </row>
    <row r="12" spans="2:13" x14ac:dyDescent="0.3">
      <c r="B12" s="4" t="s">
        <v>52</v>
      </c>
      <c r="M12" s="3"/>
    </row>
    <row r="13" spans="2:13" x14ac:dyDescent="0.3">
      <c r="M13" s="3"/>
    </row>
    <row r="14" spans="2:13" x14ac:dyDescent="0.3">
      <c r="E14" s="4" t="s">
        <v>36</v>
      </c>
      <c r="G14" s="6">
        <v>100</v>
      </c>
      <c r="M14" s="3"/>
    </row>
    <row r="15" spans="2:13" x14ac:dyDescent="0.3">
      <c r="M15" s="3"/>
    </row>
    <row r="16" spans="2:13" x14ac:dyDescent="0.3">
      <c r="B16" s="12" t="s">
        <v>2</v>
      </c>
      <c r="C16" s="13">
        <v>1</v>
      </c>
      <c r="D16" s="13" t="s">
        <v>3</v>
      </c>
      <c r="E16" s="2"/>
      <c r="G16" s="11" t="s">
        <v>42</v>
      </c>
      <c r="H16" s="11" t="s">
        <v>23</v>
      </c>
      <c r="I16" s="11" t="s">
        <v>5</v>
      </c>
      <c r="J16" s="11" t="s">
        <v>24</v>
      </c>
      <c r="K16" s="11" t="s">
        <v>37</v>
      </c>
      <c r="L16" s="11" t="s">
        <v>38</v>
      </c>
      <c r="M16" s="3"/>
    </row>
    <row r="17" spans="2:13" x14ac:dyDescent="0.3">
      <c r="B17" s="12" t="s">
        <v>6</v>
      </c>
      <c r="C17" s="13">
        <v>1</v>
      </c>
      <c r="D17" s="13" t="s">
        <v>7</v>
      </c>
      <c r="E17" s="2"/>
      <c r="G17" s="2">
        <v>0.01</v>
      </c>
      <c r="H17" s="3"/>
      <c r="I17" s="3"/>
      <c r="J17" s="3"/>
      <c r="K17" s="3"/>
      <c r="L17" s="3"/>
      <c r="M17" s="3"/>
    </row>
    <row r="18" spans="2:13" x14ac:dyDescent="0.3">
      <c r="B18" s="12" t="s">
        <v>8</v>
      </c>
      <c r="C18" s="14">
        <v>5.0000000000000002E-5</v>
      </c>
      <c r="D18" s="13" t="s">
        <v>9</v>
      </c>
      <c r="E18" s="2"/>
      <c r="G18" s="2">
        <v>0.1</v>
      </c>
    </row>
    <row r="19" spans="2:13" x14ac:dyDescent="0.3">
      <c r="B19" s="12" t="s">
        <v>10</v>
      </c>
      <c r="C19" s="13">
        <v>0.1</v>
      </c>
      <c r="D19" s="13" t="s">
        <v>11</v>
      </c>
      <c r="E19" s="2"/>
      <c r="G19" s="2">
        <v>1</v>
      </c>
    </row>
    <row r="20" spans="2:13" x14ac:dyDescent="0.3">
      <c r="B20" s="12" t="s">
        <v>12</v>
      </c>
      <c r="C20" s="13">
        <v>10</v>
      </c>
      <c r="D20" s="13" t="s">
        <v>13</v>
      </c>
      <c r="E20" s="2"/>
      <c r="G20" s="2">
        <v>10</v>
      </c>
    </row>
    <row r="21" spans="2:13" x14ac:dyDescent="0.3">
      <c r="B21" s="12" t="s">
        <v>14</v>
      </c>
      <c r="C21" s="13">
        <v>1.2</v>
      </c>
      <c r="D21" s="13" t="s">
        <v>15</v>
      </c>
      <c r="E21" s="2"/>
      <c r="G21" s="2">
        <v>100</v>
      </c>
    </row>
    <row r="22" spans="2:13" x14ac:dyDescent="0.3">
      <c r="B22" s="12" t="s">
        <v>16</v>
      </c>
      <c r="C22" s="13">
        <v>250</v>
      </c>
      <c r="D22" s="13" t="s">
        <v>17</v>
      </c>
      <c r="E22" s="2"/>
      <c r="G22" s="2">
        <f t="shared" ref="G22:G50" si="0">G21+$G$14</f>
        <v>200</v>
      </c>
    </row>
    <row r="23" spans="2:13" x14ac:dyDescent="0.3">
      <c r="B23" s="12" t="s">
        <v>18</v>
      </c>
      <c r="C23" s="13">
        <v>0.2</v>
      </c>
      <c r="D23" s="12"/>
      <c r="G23" s="2">
        <f t="shared" si="0"/>
        <v>300</v>
      </c>
    </row>
    <row r="24" spans="2:13" x14ac:dyDescent="0.3">
      <c r="B24" s="15" t="s">
        <v>19</v>
      </c>
      <c r="C24" s="13">
        <v>1</v>
      </c>
      <c r="D24" s="16" t="s">
        <v>20</v>
      </c>
      <c r="E24" s="5"/>
      <c r="G24" s="2">
        <f t="shared" si="0"/>
        <v>400</v>
      </c>
    </row>
    <row r="25" spans="2:13" x14ac:dyDescent="0.3">
      <c r="B25" s="15" t="s">
        <v>21</v>
      </c>
      <c r="C25" s="16">
        <v>1</v>
      </c>
      <c r="D25" s="16" t="s">
        <v>22</v>
      </c>
      <c r="E25" s="5"/>
      <c r="G25" s="2">
        <f t="shared" si="0"/>
        <v>500</v>
      </c>
    </row>
    <row r="26" spans="2:13" x14ac:dyDescent="0.3">
      <c r="G26" s="2">
        <f t="shared" si="0"/>
        <v>600</v>
      </c>
    </row>
    <row r="27" spans="2:13" x14ac:dyDescent="0.3">
      <c r="G27" s="2">
        <f t="shared" si="0"/>
        <v>700</v>
      </c>
    </row>
    <row r="28" spans="2:13" x14ac:dyDescent="0.3">
      <c r="B28" s="15" t="s">
        <v>43</v>
      </c>
      <c r="C28" s="13">
        <v>10</v>
      </c>
      <c r="D28" s="15" t="s">
        <v>44</v>
      </c>
      <c r="G28" s="2">
        <f t="shared" si="0"/>
        <v>800</v>
      </c>
    </row>
    <row r="29" spans="2:13" x14ac:dyDescent="0.3">
      <c r="B29" s="15" t="s">
        <v>45</v>
      </c>
      <c r="C29" s="13">
        <f>0.00036*k/(por*mu*ct*rw*rw)*t</f>
        <v>35999.999999999993</v>
      </c>
      <c r="D29" s="12"/>
      <c r="G29" s="2">
        <f t="shared" si="0"/>
        <v>900</v>
      </c>
    </row>
    <row r="30" spans="2:13" x14ac:dyDescent="0.3">
      <c r="G30" s="2">
        <f t="shared" si="0"/>
        <v>1000</v>
      </c>
    </row>
    <row r="31" spans="2:13" x14ac:dyDescent="0.3">
      <c r="G31" s="2">
        <f t="shared" si="0"/>
        <v>1100</v>
      </c>
    </row>
    <row r="32" spans="2:13" x14ac:dyDescent="0.3">
      <c r="G32" s="2">
        <f t="shared" si="0"/>
        <v>1200</v>
      </c>
    </row>
    <row r="33" spans="2:7" x14ac:dyDescent="0.3">
      <c r="B33" s="15" t="s">
        <v>46</v>
      </c>
      <c r="C33" s="18" t="s">
        <v>49</v>
      </c>
      <c r="D33" s="16" t="s">
        <v>22</v>
      </c>
      <c r="G33" s="2">
        <f t="shared" si="0"/>
        <v>1300</v>
      </c>
    </row>
    <row r="34" spans="2:7" x14ac:dyDescent="0.3">
      <c r="C34" s="1" t="str">
        <f>C33</f>
        <v>формула</v>
      </c>
      <c r="G34" s="2">
        <f t="shared" si="0"/>
        <v>1400</v>
      </c>
    </row>
    <row r="35" spans="2:7" x14ac:dyDescent="0.3">
      <c r="G35" s="2">
        <f t="shared" si="0"/>
        <v>1500</v>
      </c>
    </row>
    <row r="36" spans="2:7" x14ac:dyDescent="0.3">
      <c r="G36" s="2">
        <f t="shared" si="0"/>
        <v>1600</v>
      </c>
    </row>
    <row r="37" spans="2:7" x14ac:dyDescent="0.3">
      <c r="B37" s="15" t="s">
        <v>47</v>
      </c>
      <c r="C37" s="13">
        <v>0</v>
      </c>
      <c r="D37" s="13" t="str">
        <f>C33</f>
        <v>формула</v>
      </c>
      <c r="G37" s="2">
        <f t="shared" si="0"/>
        <v>1700</v>
      </c>
    </row>
    <row r="38" spans="2:7" x14ac:dyDescent="0.3">
      <c r="B38" s="15" t="s">
        <v>48</v>
      </c>
      <c r="C38" s="13">
        <v>350</v>
      </c>
      <c r="D38" s="13" t="str">
        <f>C33</f>
        <v>формула</v>
      </c>
      <c r="G38" s="2">
        <f t="shared" si="0"/>
        <v>1800</v>
      </c>
    </row>
    <row r="39" spans="2:7" x14ac:dyDescent="0.3">
      <c r="G39" s="2">
        <f t="shared" si="0"/>
        <v>1900</v>
      </c>
    </row>
    <row r="40" spans="2:7" x14ac:dyDescent="0.3">
      <c r="G40" s="2">
        <f t="shared" si="0"/>
        <v>2000</v>
      </c>
    </row>
    <row r="41" spans="2:7" x14ac:dyDescent="0.3">
      <c r="G41" s="2">
        <f t="shared" si="0"/>
        <v>2100</v>
      </c>
    </row>
    <row r="42" spans="2:7" x14ac:dyDescent="0.3">
      <c r="G42" s="2">
        <f t="shared" si="0"/>
        <v>2200</v>
      </c>
    </row>
    <row r="43" spans="2:7" x14ac:dyDescent="0.3">
      <c r="G43" s="2">
        <f t="shared" si="0"/>
        <v>2300</v>
      </c>
    </row>
    <row r="44" spans="2:7" x14ac:dyDescent="0.3">
      <c r="G44" s="2">
        <f t="shared" si="0"/>
        <v>2400</v>
      </c>
    </row>
    <row r="45" spans="2:7" x14ac:dyDescent="0.3">
      <c r="G45" s="2">
        <f t="shared" si="0"/>
        <v>2500</v>
      </c>
    </row>
    <row r="46" spans="2:7" x14ac:dyDescent="0.3">
      <c r="G46" s="2">
        <f t="shared" si="0"/>
        <v>2600</v>
      </c>
    </row>
    <row r="47" spans="2:7" x14ac:dyDescent="0.3">
      <c r="G47" s="2">
        <f t="shared" si="0"/>
        <v>2700</v>
      </c>
    </row>
    <row r="48" spans="2:7" x14ac:dyDescent="0.3">
      <c r="G48" s="2">
        <f t="shared" si="0"/>
        <v>2800</v>
      </c>
    </row>
    <row r="49" spans="7:12" x14ac:dyDescent="0.3">
      <c r="G49" s="2">
        <f t="shared" si="0"/>
        <v>2900</v>
      </c>
    </row>
    <row r="50" spans="7:12" x14ac:dyDescent="0.3">
      <c r="G50" s="17">
        <f t="shared" si="0"/>
        <v>3000</v>
      </c>
      <c r="H50" s="17">
        <f>G50*rw</f>
        <v>300</v>
      </c>
      <c r="I50" s="17">
        <f>1/2*E_1(G50^2/4/$C$29)</f>
        <v>5.6610329661793132E-30</v>
      </c>
      <c r="J50" s="17">
        <f>-1/2*(LN(G50^2/4/$C$29)+0.80907)</f>
        <v>-2.4721182783711781</v>
      </c>
      <c r="K50" s="17">
        <f>Pi-I50*18.41*q*B*mu/k/h</f>
        <v>250</v>
      </c>
      <c r="L50" s="17">
        <f>Pi-J50*18.41*q*B*mu/k/h</f>
        <v>796.14037005776061</v>
      </c>
    </row>
  </sheetData>
  <phoneticPr fontId="3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6147" r:id="rId4">
          <objectPr defaultSize="0" autoPict="0" r:id="rId5">
            <anchor moveWithCells="1">
              <from>
                <xdr:col>6</xdr:col>
                <xdr:colOff>402771</xdr:colOff>
                <xdr:row>2</xdr:row>
                <xdr:rowOff>38100</xdr:rowOff>
              </from>
              <to>
                <xdr:col>8</xdr:col>
                <xdr:colOff>517071</xdr:colOff>
                <xdr:row>6</xdr:row>
                <xdr:rowOff>65314</xdr:rowOff>
              </to>
            </anchor>
          </objectPr>
        </oleObject>
      </mc:Choice>
      <mc:Fallback>
        <oleObject progId="Equation.DSMT4" shapeId="6147" r:id="rId4"/>
      </mc:Fallback>
    </mc:AlternateContent>
    <mc:AlternateContent xmlns:mc="http://schemas.openxmlformats.org/markup-compatibility/2006">
      <mc:Choice Requires="x14">
        <oleObject progId="Equation.DSMT4" shapeId="6148" r:id="rId6">
          <objectPr defaultSize="0" autoPict="0" r:id="rId7">
            <anchor moveWithCells="1">
              <from>
                <xdr:col>9</xdr:col>
                <xdr:colOff>288471</xdr:colOff>
                <xdr:row>2</xdr:row>
                <xdr:rowOff>27214</xdr:rowOff>
              </from>
              <to>
                <xdr:col>12</xdr:col>
                <xdr:colOff>65314</xdr:colOff>
                <xdr:row>6</xdr:row>
                <xdr:rowOff>59871</xdr:rowOff>
              </to>
            </anchor>
          </objectPr>
        </oleObject>
      </mc:Choice>
      <mc:Fallback>
        <oleObject progId="Equation.DSMT4" shapeId="6148" r:id="rId6"/>
      </mc:Fallback>
    </mc:AlternateContent>
    <mc:AlternateContent xmlns:mc="http://schemas.openxmlformats.org/markup-compatibility/2006">
      <mc:Choice Requires="x14">
        <oleObject progId="Equation.DSMT4" shapeId="6149" r:id="rId8">
          <objectPr defaultSize="0" autoPict="0" r:id="rId9">
            <anchor moveWithCells="1">
              <from>
                <xdr:col>13</xdr:col>
                <xdr:colOff>65314</xdr:colOff>
                <xdr:row>2</xdr:row>
                <xdr:rowOff>59871</xdr:rowOff>
              </from>
              <to>
                <xdr:col>15</xdr:col>
                <xdr:colOff>408214</xdr:colOff>
                <xdr:row>6</xdr:row>
                <xdr:rowOff>97971</xdr:rowOff>
              </to>
            </anchor>
          </objectPr>
        </oleObject>
      </mc:Choice>
      <mc:Fallback>
        <oleObject progId="Equation.DSMT4" shapeId="6149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B1:Y64"/>
  <sheetViews>
    <sheetView zoomScaleNormal="100" workbookViewId="0">
      <selection activeCell="B60" sqref="B60"/>
    </sheetView>
  </sheetViews>
  <sheetFormatPr defaultColWidth="9.15234375" defaultRowHeight="12.45" x14ac:dyDescent="0.3"/>
  <cols>
    <col min="1" max="1" width="9.15234375" style="1"/>
    <col min="2" max="2" width="20" style="1" customWidth="1"/>
    <col min="3" max="5" width="9.15234375" style="1"/>
    <col min="6" max="6" width="12.3828125" style="1" bestFit="1" customWidth="1"/>
    <col min="7" max="7" width="10.3828125" style="1" bestFit="1" customWidth="1"/>
    <col min="8" max="11" width="13.3828125" style="1" bestFit="1" customWidth="1"/>
    <col min="12" max="12" width="8.84375" style="1" customWidth="1"/>
    <col min="13" max="13" width="9" style="1" customWidth="1"/>
    <col min="14" max="16384" width="9.15234375" style="1"/>
  </cols>
  <sheetData>
    <row r="1" spans="2:25" x14ac:dyDescent="0.3">
      <c r="B1" s="1" t="s">
        <v>0</v>
      </c>
    </row>
    <row r="2" spans="2:25" x14ac:dyDescent="0.3">
      <c r="B2" s="4" t="s">
        <v>55</v>
      </c>
    </row>
    <row r="3" spans="2:25" x14ac:dyDescent="0.3">
      <c r="N3" s="4" t="s">
        <v>64</v>
      </c>
    </row>
    <row r="4" spans="2:25" x14ac:dyDescent="0.3">
      <c r="L4" s="3"/>
    </row>
    <row r="5" spans="2:25" x14ac:dyDescent="0.3">
      <c r="L5" s="3"/>
    </row>
    <row r="6" spans="2:25" x14ac:dyDescent="0.3">
      <c r="L6" s="3"/>
    </row>
    <row r="7" spans="2:25" x14ac:dyDescent="0.3">
      <c r="L7" s="3"/>
      <c r="N7" s="1">
        <f>Stehfest(G21,CD,skin)</f>
        <v>2.4538580894946147</v>
      </c>
    </row>
    <row r="8" spans="2:25" x14ac:dyDescent="0.3">
      <c r="L8" s="3"/>
    </row>
    <row r="9" spans="2:25" x14ac:dyDescent="0.3">
      <c r="B9" s="4" t="s">
        <v>25</v>
      </c>
      <c r="L9" s="3"/>
    </row>
    <row r="10" spans="2:25" x14ac:dyDescent="0.3">
      <c r="B10" s="4" t="s">
        <v>56</v>
      </c>
      <c r="L10" s="3"/>
    </row>
    <row r="11" spans="2:25" x14ac:dyDescent="0.3">
      <c r="B11" s="4" t="s">
        <v>57</v>
      </c>
      <c r="L11" s="3"/>
    </row>
    <row r="12" spans="2:25" x14ac:dyDescent="0.3">
      <c r="B12" s="4" t="s">
        <v>58</v>
      </c>
      <c r="L12" s="3"/>
    </row>
    <row r="13" spans="2:25" x14ac:dyDescent="0.3">
      <c r="L13" s="3"/>
    </row>
    <row r="14" spans="2:25" x14ac:dyDescent="0.3">
      <c r="G14" s="20">
        <v>1.7</v>
      </c>
      <c r="K14" s="4" t="s">
        <v>59</v>
      </c>
      <c r="L14" s="3" t="str">
        <f>CONCATENATE(B28," = ",skin,", Cs =",Cs)</f>
        <v>Скин = 0, Cs =0.00005</v>
      </c>
    </row>
    <row r="15" spans="2:25" x14ac:dyDescent="0.3">
      <c r="L15" s="3"/>
      <c r="N15" s="1">
        <v>0</v>
      </c>
      <c r="W15" s="1">
        <v>0.1</v>
      </c>
      <c r="X15" s="1">
        <f>[1]!BesselK0(W15)</f>
        <v>2.4270690247020155</v>
      </c>
      <c r="Y15" s="1">
        <f>_xludf.BesselK(W15,0)</f>
        <v>2.4270690247020164</v>
      </c>
    </row>
    <row r="16" spans="2:25" x14ac:dyDescent="0.3">
      <c r="B16" s="12" t="s">
        <v>2</v>
      </c>
      <c r="C16" s="21">
        <v>10</v>
      </c>
      <c r="D16" s="13" t="s">
        <v>3</v>
      </c>
      <c r="E16" s="2"/>
      <c r="F16" s="6" t="s">
        <v>71</v>
      </c>
      <c r="G16" s="11" t="s">
        <v>4</v>
      </c>
      <c r="H16" s="11" t="s">
        <v>23</v>
      </c>
      <c r="I16" s="11" t="s">
        <v>5</v>
      </c>
      <c r="J16" s="11" t="s">
        <v>60</v>
      </c>
      <c r="K16" s="11" t="s">
        <v>61</v>
      </c>
      <c r="L16" s="22" t="s">
        <v>62</v>
      </c>
      <c r="W16" s="1">
        <f>W15*2</f>
        <v>0.2</v>
      </c>
      <c r="X16" s="1">
        <f t="shared" ref="X16:Y16" si="0">X15*2</f>
        <v>4.8541380494040309</v>
      </c>
      <c r="Y16" s="1">
        <f t="shared" si="0"/>
        <v>4.8541380494040327</v>
      </c>
    </row>
    <row r="17" spans="2:25" x14ac:dyDescent="0.3">
      <c r="B17" s="12" t="s">
        <v>6</v>
      </c>
      <c r="C17" s="21">
        <v>1</v>
      </c>
      <c r="D17" s="13" t="s">
        <v>7</v>
      </c>
      <c r="E17" s="2"/>
      <c r="F17" s="1">
        <f t="shared" ref="F17:F50" si="1">0.00036*k/por/mu/ct/$C$32/$C$32*H17</f>
        <v>0</v>
      </c>
      <c r="G17" s="31">
        <v>0.1</v>
      </c>
      <c r="H17" s="27"/>
      <c r="I17" s="27" t="e">
        <f ca="1">[1]!transient_Pd(G17,CD,skin)</f>
        <v>#NAME?</v>
      </c>
      <c r="J17" s="35">
        <f>Stehfest(G17,CD,skin)</f>
        <v>1.3319146487436477E-2</v>
      </c>
      <c r="K17" s="28"/>
      <c r="L17" s="28"/>
      <c r="N17" s="26"/>
      <c r="W17" s="1">
        <f t="shared" ref="W17:W38" si="2">W16*2</f>
        <v>0.4</v>
      </c>
      <c r="X17" s="1">
        <f t="shared" ref="X17:X38" si="3">X16*2</f>
        <v>9.7082760988080619</v>
      </c>
      <c r="Y17" s="1">
        <f t="shared" ref="Y17:Y38" si="4">Y16*2</f>
        <v>9.7082760988080654</v>
      </c>
    </row>
    <row r="18" spans="2:25" x14ac:dyDescent="0.3">
      <c r="B18" s="12" t="s">
        <v>8</v>
      </c>
      <c r="C18" s="24">
        <v>5.0000000000000002E-5</v>
      </c>
      <c r="D18" s="13" t="s">
        <v>9</v>
      </c>
      <c r="E18" s="2"/>
      <c r="F18" s="1">
        <f t="shared" si="1"/>
        <v>0</v>
      </c>
      <c r="G18" s="31">
        <v>0.2</v>
      </c>
      <c r="H18" s="27"/>
      <c r="I18" s="27" t="e">
        <f ca="1">[1]!transient_Pd(G18,CD,skin)</f>
        <v>#NAME?</v>
      </c>
      <c r="J18" s="35">
        <f>Stehfest(G18,CD,skin)</f>
        <v>1.8937956484743765E-2</v>
      </c>
      <c r="K18" s="28"/>
      <c r="L18" s="28"/>
      <c r="M18" s="23"/>
      <c r="N18" s="26"/>
      <c r="P18" s="26"/>
      <c r="W18" s="1">
        <f t="shared" si="2"/>
        <v>0.8</v>
      </c>
      <c r="X18" s="1">
        <f t="shared" si="3"/>
        <v>19.416552197616124</v>
      </c>
      <c r="Y18" s="1">
        <f t="shared" si="4"/>
        <v>19.416552197616131</v>
      </c>
    </row>
    <row r="19" spans="2:25" x14ac:dyDescent="0.3">
      <c r="B19" s="12" t="s">
        <v>10</v>
      </c>
      <c r="C19" s="30">
        <v>0.1</v>
      </c>
      <c r="D19" s="13" t="s">
        <v>11</v>
      </c>
      <c r="E19" s="2"/>
      <c r="F19" s="1">
        <f t="shared" si="1"/>
        <v>0</v>
      </c>
      <c r="G19" s="31">
        <v>1</v>
      </c>
      <c r="H19" s="27"/>
      <c r="I19" s="27" t="e">
        <f ca="1">[1]!transient_Pd(G19,CD,skin)</f>
        <v>#NAME?</v>
      </c>
      <c r="J19" s="35">
        <f>Stehfest(G19,CD,skin)</f>
        <v>0.10108696653028851</v>
      </c>
      <c r="K19" s="28"/>
      <c r="L19" s="28"/>
      <c r="M19" s="23"/>
      <c r="N19" s="26"/>
      <c r="P19" s="26"/>
      <c r="W19" s="1">
        <f t="shared" si="2"/>
        <v>1.6</v>
      </c>
      <c r="X19" s="1">
        <f t="shared" si="3"/>
        <v>38.833104395232247</v>
      </c>
      <c r="Y19" s="1">
        <f t="shared" si="4"/>
        <v>38.833104395232262</v>
      </c>
    </row>
    <row r="20" spans="2:25" x14ac:dyDescent="0.3">
      <c r="B20" s="12" t="s">
        <v>12</v>
      </c>
      <c r="C20" s="21">
        <v>50</v>
      </c>
      <c r="D20" s="13" t="s">
        <v>13</v>
      </c>
      <c r="E20" s="2"/>
      <c r="F20" s="1">
        <f t="shared" si="1"/>
        <v>0</v>
      </c>
      <c r="G20" s="31">
        <v>10</v>
      </c>
      <c r="H20" s="27"/>
      <c r="I20" s="27" t="e">
        <f ca="1">[1]!transient_Pd(G20,CD,skin)</f>
        <v>#NAME?</v>
      </c>
      <c r="J20" s="35">
        <f>Stehfest(G20,CD,skin)</f>
        <v>0.74955368084093066</v>
      </c>
      <c r="K20" s="28"/>
      <c r="L20" s="28"/>
      <c r="M20" s="23"/>
      <c r="N20" s="26"/>
      <c r="P20" s="26"/>
      <c r="W20" s="1">
        <f t="shared" si="2"/>
        <v>3.2</v>
      </c>
      <c r="X20" s="1">
        <f t="shared" si="3"/>
        <v>77.666208790464495</v>
      </c>
      <c r="Y20" s="1">
        <f t="shared" si="4"/>
        <v>77.666208790464523</v>
      </c>
    </row>
    <row r="21" spans="2:25" x14ac:dyDescent="0.3">
      <c r="B21" s="12" t="s">
        <v>14</v>
      </c>
      <c r="C21" s="21">
        <v>1.2</v>
      </c>
      <c r="D21" s="13" t="s">
        <v>15</v>
      </c>
      <c r="E21" s="2"/>
      <c r="F21" s="1">
        <f t="shared" si="1"/>
        <v>0</v>
      </c>
      <c r="G21" s="31">
        <v>100</v>
      </c>
      <c r="H21" s="27"/>
      <c r="I21" s="27" t="e">
        <f ca="1">[1]!transient_Pd(G21,CD,skin)</f>
        <v>#NAME?</v>
      </c>
      <c r="J21" s="35">
        <f>Stehfest(G21,CD,skin)</f>
        <v>2.4538580894946147</v>
      </c>
      <c r="K21" s="28"/>
      <c r="L21" s="28"/>
      <c r="M21" s="23"/>
      <c r="N21" s="26"/>
      <c r="P21" s="26"/>
      <c r="W21" s="1">
        <f t="shared" si="2"/>
        <v>6.4</v>
      </c>
      <c r="X21" s="1">
        <f t="shared" si="3"/>
        <v>155.33241758092899</v>
      </c>
      <c r="Y21" s="1">
        <f t="shared" si="4"/>
        <v>155.33241758092905</v>
      </c>
    </row>
    <row r="22" spans="2:25" x14ac:dyDescent="0.3">
      <c r="B22" s="12" t="s">
        <v>16</v>
      </c>
      <c r="C22" s="21">
        <v>250</v>
      </c>
      <c r="D22" s="13" t="s">
        <v>17</v>
      </c>
      <c r="E22" s="2"/>
      <c r="F22" s="1">
        <f t="shared" si="1"/>
        <v>0</v>
      </c>
      <c r="G22" s="31">
        <v>1000</v>
      </c>
      <c r="H22" s="27"/>
      <c r="I22" s="27" t="e">
        <f ca="1">[1]!transient_Pd(G22,CD,skin)</f>
        <v>#NAME?</v>
      </c>
      <c r="J22" s="35">
        <f>Stehfest(G22,CD,skin)</f>
        <v>3.8268270411371041</v>
      </c>
      <c r="K22" s="28"/>
      <c r="L22" s="28"/>
      <c r="M22" s="23"/>
      <c r="N22" s="26"/>
      <c r="P22" s="26"/>
      <c r="W22" s="1">
        <f t="shared" si="2"/>
        <v>12.8</v>
      </c>
      <c r="X22" s="1">
        <f t="shared" si="3"/>
        <v>310.66483516185798</v>
      </c>
      <c r="Y22" s="1">
        <f t="shared" si="4"/>
        <v>310.66483516185809</v>
      </c>
    </row>
    <row r="23" spans="2:25" x14ac:dyDescent="0.3">
      <c r="B23" s="12" t="s">
        <v>18</v>
      </c>
      <c r="C23" s="21">
        <v>0.2</v>
      </c>
      <c r="D23" s="12"/>
      <c r="F23" s="1">
        <f t="shared" si="1"/>
        <v>0</v>
      </c>
      <c r="G23" s="31">
        <v>5000</v>
      </c>
      <c r="H23" s="27"/>
      <c r="I23" s="27" t="e">
        <f ca="1">[1]!transient_Pd(G23,CD,skin)</f>
        <v>#NAME?</v>
      </c>
      <c r="J23" s="35">
        <f>Stehfest(G23,CD,skin)</f>
        <v>4.6556836371855823</v>
      </c>
      <c r="K23" s="28"/>
      <c r="L23" s="28"/>
      <c r="M23" s="23"/>
      <c r="N23" s="26"/>
      <c r="P23" s="26"/>
      <c r="W23" s="1">
        <f t="shared" si="2"/>
        <v>25.6</v>
      </c>
      <c r="X23" s="1">
        <f t="shared" si="3"/>
        <v>621.32967032371596</v>
      </c>
      <c r="Y23" s="1">
        <f t="shared" si="4"/>
        <v>621.32967032371619</v>
      </c>
    </row>
    <row r="24" spans="2:25" x14ac:dyDescent="0.3">
      <c r="B24" s="15" t="s">
        <v>21</v>
      </c>
      <c r="C24" s="18">
        <v>10</v>
      </c>
      <c r="D24" s="16" t="s">
        <v>22</v>
      </c>
      <c r="E24" s="5"/>
      <c r="F24" s="1">
        <f t="shared" si="1"/>
        <v>0</v>
      </c>
      <c r="G24" s="31">
        <f t="shared" ref="G24:G50" si="5">G23*$G$14</f>
        <v>8500</v>
      </c>
      <c r="H24" s="27"/>
      <c r="I24" s="27" t="e">
        <f ca="1">[1]!transient_Pd(G24,CD,skin)</f>
        <v>#NAME?</v>
      </c>
      <c r="J24" s="35">
        <f>Stehfest(G24,CD,skin)</f>
        <v>4.92383065423099</v>
      </c>
      <c r="K24" s="28"/>
      <c r="L24" s="28"/>
      <c r="M24" s="23"/>
      <c r="N24" s="26"/>
      <c r="P24" s="26"/>
      <c r="W24" s="1">
        <f t="shared" si="2"/>
        <v>51.2</v>
      </c>
      <c r="X24" s="1">
        <f t="shared" si="3"/>
        <v>1242.6593406474319</v>
      </c>
      <c r="Y24" s="1">
        <f t="shared" si="4"/>
        <v>1242.6593406474324</v>
      </c>
    </row>
    <row r="25" spans="2:25" x14ac:dyDescent="0.3">
      <c r="E25" s="5"/>
      <c r="F25" s="1">
        <f t="shared" si="1"/>
        <v>0</v>
      </c>
      <c r="G25" s="31">
        <f t="shared" si="5"/>
        <v>14450</v>
      </c>
      <c r="H25" s="27"/>
      <c r="I25" s="27" t="e">
        <f ca="1">[1]!transient_Pd(G25,CD,skin)</f>
        <v>#NAME?</v>
      </c>
      <c r="J25" s="35">
        <f>Stehfest(G25,CD,skin)</f>
        <v>5.1909059175275232</v>
      </c>
      <c r="K25" s="28"/>
      <c r="L25" s="28"/>
      <c r="M25" s="23"/>
      <c r="N25" s="26"/>
      <c r="P25" s="26"/>
      <c r="W25" s="1">
        <f t="shared" si="2"/>
        <v>102.4</v>
      </c>
      <c r="X25" s="1">
        <f t="shared" si="3"/>
        <v>2485.3186812948638</v>
      </c>
      <c r="Y25" s="1">
        <f t="shared" si="4"/>
        <v>2485.3186812948647</v>
      </c>
    </row>
    <row r="26" spans="2:25" x14ac:dyDescent="0.3">
      <c r="F26" s="1">
        <f t="shared" si="1"/>
        <v>0</v>
      </c>
      <c r="G26" s="31">
        <f t="shared" si="5"/>
        <v>24565</v>
      </c>
      <c r="H26" s="27"/>
      <c r="I26" s="27" t="e">
        <f ca="1">[1]!transient_Pd(G26,CD,skin)</f>
        <v>#NAME?</v>
      </c>
      <c r="J26" s="35">
        <f>Stehfest(G26,CD,skin)</f>
        <v>5.457313136451063</v>
      </c>
      <c r="K26" s="28"/>
      <c r="L26" s="28"/>
      <c r="M26" s="23"/>
      <c r="N26" s="26"/>
      <c r="P26" s="26"/>
      <c r="W26" s="1">
        <f t="shared" si="2"/>
        <v>204.8</v>
      </c>
      <c r="X26" s="1">
        <f t="shared" si="3"/>
        <v>4970.6373625897277</v>
      </c>
      <c r="Y26" s="1">
        <f t="shared" si="4"/>
        <v>4970.6373625897295</v>
      </c>
    </row>
    <row r="27" spans="2:25" x14ac:dyDescent="0.3">
      <c r="B27" s="15" t="s">
        <v>19</v>
      </c>
      <c r="C27" s="29">
        <v>5.0000000000000002E-5</v>
      </c>
      <c r="D27" s="16" t="s">
        <v>20</v>
      </c>
      <c r="F27" s="1">
        <f t="shared" si="1"/>
        <v>0</v>
      </c>
      <c r="G27" s="31">
        <f t="shared" si="5"/>
        <v>41760.5</v>
      </c>
      <c r="H27" s="27"/>
      <c r="I27" s="27" t="e">
        <f ca="1">[1]!transient_Pd(G27,CD,skin)</f>
        <v>#NAME?</v>
      </c>
      <c r="J27" s="35">
        <f>Stehfest(G27,CD,skin)</f>
        <v>5.7233044371607207</v>
      </c>
      <c r="K27" s="28"/>
      <c r="L27" s="28"/>
      <c r="M27" s="23"/>
      <c r="N27" s="26"/>
      <c r="P27" s="26"/>
      <c r="W27" s="1">
        <f t="shared" si="2"/>
        <v>409.6</v>
      </c>
      <c r="X27" s="1">
        <f t="shared" si="3"/>
        <v>9941.2747251794553</v>
      </c>
      <c r="Y27" s="1">
        <f t="shared" si="4"/>
        <v>9941.274725179459</v>
      </c>
    </row>
    <row r="28" spans="2:25" x14ac:dyDescent="0.3">
      <c r="B28" s="15" t="s">
        <v>54</v>
      </c>
      <c r="C28" s="13">
        <v>0</v>
      </c>
      <c r="D28" s="12"/>
      <c r="F28" s="1">
        <f t="shared" si="1"/>
        <v>0</v>
      </c>
      <c r="G28" s="31">
        <f t="shared" si="5"/>
        <v>70992.849999999991</v>
      </c>
      <c r="H28" s="27"/>
      <c r="I28" s="27" t="e">
        <f ca="1">[1]!transient_Pd(G28,CD,skin)</f>
        <v>#NAME?</v>
      </c>
      <c r="J28" s="35">
        <f>Stehfest(G28,CD,skin)</f>
        <v>5.9890372314941231</v>
      </c>
      <c r="K28" s="28"/>
      <c r="L28" s="28"/>
      <c r="M28" s="23"/>
      <c r="N28" s="26"/>
      <c r="P28" s="26"/>
      <c r="W28" s="1">
        <f t="shared" si="2"/>
        <v>819.2</v>
      </c>
      <c r="X28" s="1">
        <f t="shared" si="3"/>
        <v>19882.549450358911</v>
      </c>
      <c r="Y28" s="1">
        <f t="shared" si="4"/>
        <v>19882.549450358918</v>
      </c>
    </row>
    <row r="29" spans="2:25" x14ac:dyDescent="0.3">
      <c r="B29" s="15" t="s">
        <v>63</v>
      </c>
      <c r="C29" s="13">
        <f>Cs*0.159/h/por/ct/rw/rw</f>
        <v>7.9499999999999993</v>
      </c>
      <c r="D29" s="12"/>
      <c r="F29" s="1">
        <f t="shared" si="1"/>
        <v>0</v>
      </c>
      <c r="G29" s="31">
        <f t="shared" si="5"/>
        <v>120687.84499999999</v>
      </c>
      <c r="H29" s="27"/>
      <c r="I29" s="27" t="e">
        <f ca="1">[1]!transient_Pd(G29,CD,skin)</f>
        <v>#NAME?</v>
      </c>
      <c r="J29" s="35">
        <f>Stehfest(G29,CD,skin)</f>
        <v>6.2546096873673633</v>
      </c>
      <c r="K29" s="28"/>
      <c r="L29" s="28"/>
      <c r="M29" s="23"/>
      <c r="N29" s="26"/>
      <c r="P29" s="26"/>
      <c r="W29" s="1">
        <f t="shared" si="2"/>
        <v>1638.4</v>
      </c>
      <c r="X29" s="1">
        <f t="shared" si="3"/>
        <v>39765.098900717821</v>
      </c>
      <c r="Y29" s="1">
        <f t="shared" si="4"/>
        <v>39765.098900717836</v>
      </c>
    </row>
    <row r="30" spans="2:25" x14ac:dyDescent="0.3">
      <c r="B30" s="6" t="s">
        <v>68</v>
      </c>
      <c r="C30" s="1">
        <v>1</v>
      </c>
      <c r="F30" s="1">
        <f t="shared" si="1"/>
        <v>0</v>
      </c>
      <c r="G30" s="31">
        <f t="shared" si="5"/>
        <v>205169.33649999998</v>
      </c>
      <c r="H30" s="27"/>
      <c r="I30" s="27" t="e">
        <f ca="1">[1]!transient_Pd(G30,CD,skin)</f>
        <v>#NAME?</v>
      </c>
      <c r="J30" s="35">
        <f>Stehfest(G30,CD,skin)</f>
        <v>6.5200828966644195</v>
      </c>
      <c r="K30" s="28"/>
      <c r="L30" s="28"/>
      <c r="M30" s="23"/>
      <c r="N30" s="26"/>
      <c r="P30" s="26"/>
      <c r="W30" s="1">
        <f t="shared" si="2"/>
        <v>3276.8</v>
      </c>
      <c r="X30" s="1">
        <f t="shared" si="3"/>
        <v>79530.197801435643</v>
      </c>
      <c r="Y30" s="1">
        <f t="shared" si="4"/>
        <v>79530.197801435672</v>
      </c>
    </row>
    <row r="31" spans="2:25" x14ac:dyDescent="0.3">
      <c r="B31" s="6" t="s">
        <v>69</v>
      </c>
      <c r="C31" s="1">
        <v>-1</v>
      </c>
      <c r="F31" s="1">
        <f t="shared" si="1"/>
        <v>0</v>
      </c>
      <c r="G31" s="31">
        <f t="shared" si="5"/>
        <v>348787.87204999995</v>
      </c>
      <c r="H31" s="27"/>
      <c r="I31" s="27" t="e">
        <f ca="1">[1]!transient_Pd(G31,CD,skin)</f>
        <v>#NAME?</v>
      </c>
      <c r="J31" s="35">
        <f>Stehfest(G31,CD,skin)</f>
        <v>6.7854948070499432</v>
      </c>
      <c r="K31" s="28"/>
      <c r="L31" s="28"/>
      <c r="M31" s="23"/>
      <c r="N31" s="26"/>
      <c r="P31" s="26"/>
      <c r="W31" s="1">
        <f t="shared" si="2"/>
        <v>6553.6</v>
      </c>
      <c r="X31" s="1">
        <f t="shared" si="3"/>
        <v>159060.39560287129</v>
      </c>
      <c r="Y31" s="1">
        <f t="shared" si="4"/>
        <v>159060.39560287134</v>
      </c>
    </row>
    <row r="32" spans="2:25" x14ac:dyDescent="0.3">
      <c r="B32" s="6" t="s">
        <v>70</v>
      </c>
      <c r="C32" s="1">
        <f>rw*EXP(-C31)</f>
        <v>0.27182818284590454</v>
      </c>
      <c r="F32" s="1">
        <f t="shared" si="1"/>
        <v>0</v>
      </c>
      <c r="G32" s="31">
        <f t="shared" si="5"/>
        <v>592939.38248499995</v>
      </c>
      <c r="H32" s="27"/>
      <c r="I32" s="27" t="e">
        <f ca="1">[1]!transient_Pd(G32,CD,skin)</f>
        <v>#NAME?</v>
      </c>
      <c r="J32" s="35">
        <f>Stehfest(G32,CD,skin)</f>
        <v>7.0508689325259724</v>
      </c>
      <c r="K32" s="28"/>
      <c r="L32" s="28"/>
      <c r="M32" s="23"/>
      <c r="N32" s="26"/>
      <c r="P32" s="26"/>
      <c r="W32" s="1">
        <f t="shared" si="2"/>
        <v>13107.2</v>
      </c>
      <c r="X32" s="1">
        <f t="shared" si="3"/>
        <v>318120.79120574257</v>
      </c>
      <c r="Y32" s="1">
        <f t="shared" si="4"/>
        <v>318120.79120574269</v>
      </c>
    </row>
    <row r="33" spans="6:25" x14ac:dyDescent="0.3">
      <c r="F33" s="1">
        <f t="shared" si="1"/>
        <v>0</v>
      </c>
      <c r="G33" s="31">
        <f t="shared" si="5"/>
        <v>1007996.9502244999</v>
      </c>
      <c r="H33" s="27"/>
      <c r="I33" s="27" t="e">
        <f ca="1">[1]!transient_Pd(G33,CD,skin)</f>
        <v>#NAME?</v>
      </c>
      <c r="J33" s="35">
        <f>Stehfest(G33,CD,skin)</f>
        <v>7.3162198132770442</v>
      </c>
      <c r="K33" s="28"/>
      <c r="L33" s="28"/>
      <c r="M33" s="23"/>
      <c r="N33" s="26"/>
      <c r="O33" s="26"/>
      <c r="P33" s="26"/>
      <c r="W33" s="1">
        <f t="shared" si="2"/>
        <v>26214.400000000001</v>
      </c>
      <c r="X33" s="1">
        <f t="shared" si="3"/>
        <v>636241.58241148514</v>
      </c>
      <c r="Y33" s="1">
        <f t="shared" si="4"/>
        <v>636241.58241148537</v>
      </c>
    </row>
    <row r="34" spans="6:25" x14ac:dyDescent="0.3">
      <c r="F34" s="1">
        <f t="shared" si="1"/>
        <v>0</v>
      </c>
      <c r="G34" s="31">
        <f t="shared" si="5"/>
        <v>1713594.8153816499</v>
      </c>
      <c r="H34" s="27"/>
      <c r="I34" s="27" t="e">
        <f ca="1">[1]!transient_Pd(G34,CD,skin)</f>
        <v>#NAME?</v>
      </c>
      <c r="J34" s="35">
        <f>Stehfest(G34,CD,skin)</f>
        <v>7.5815564194895018</v>
      </c>
      <c r="K34" s="28"/>
      <c r="L34" s="28"/>
      <c r="M34" s="23"/>
      <c r="N34" s="26"/>
      <c r="O34" s="26"/>
      <c r="P34" s="26"/>
      <c r="W34" s="1">
        <f t="shared" si="2"/>
        <v>52428.800000000003</v>
      </c>
      <c r="X34" s="1">
        <f t="shared" si="3"/>
        <v>1272483.1648229703</v>
      </c>
      <c r="Y34" s="1">
        <f t="shared" si="4"/>
        <v>1272483.1648229707</v>
      </c>
    </row>
    <row r="35" spans="6:25" x14ac:dyDescent="0.3">
      <c r="F35" s="1">
        <f t="shared" si="1"/>
        <v>0</v>
      </c>
      <c r="G35" s="31">
        <f t="shared" si="5"/>
        <v>2913111.1861488046</v>
      </c>
      <c r="H35" s="27"/>
      <c r="I35" s="27" t="e">
        <f ca="1">[1]!transient_Pd(G35,CD,skin)</f>
        <v>#NAME?</v>
      </c>
      <c r="J35" s="35">
        <f>Stehfest(G35,CD,skin)</f>
        <v>7.8468842743040312</v>
      </c>
      <c r="K35" s="28"/>
      <c r="L35" s="28"/>
      <c r="M35" s="23"/>
      <c r="N35" s="26"/>
      <c r="O35" s="26"/>
      <c r="P35" s="26"/>
      <c r="W35" s="1">
        <f t="shared" si="2"/>
        <v>104857.60000000001</v>
      </c>
      <c r="X35" s="1">
        <f t="shared" si="3"/>
        <v>2544966.3296459406</v>
      </c>
      <c r="Y35" s="1">
        <f t="shared" si="4"/>
        <v>2544966.3296459415</v>
      </c>
    </row>
    <row r="36" spans="6:25" x14ac:dyDescent="0.3">
      <c r="F36" s="1">
        <f t="shared" si="1"/>
        <v>0</v>
      </c>
      <c r="G36" s="31">
        <f t="shared" si="5"/>
        <v>4952289.0164529681</v>
      </c>
      <c r="H36" s="27"/>
      <c r="I36" s="27" t="e">
        <f ca="1">[1]!transient_Pd(G36,CD,skin)</f>
        <v>#NAME?</v>
      </c>
      <c r="J36" s="35">
        <f>Stehfest(G36,CD,skin)</f>
        <v>8.1122067750481079</v>
      </c>
      <c r="K36" s="28"/>
      <c r="L36" s="28"/>
      <c r="M36" s="23"/>
      <c r="N36" s="26"/>
      <c r="O36" s="26"/>
      <c r="P36" s="26"/>
      <c r="W36" s="1">
        <f t="shared" si="2"/>
        <v>209715.20000000001</v>
      </c>
      <c r="X36" s="1">
        <f t="shared" si="3"/>
        <v>5089932.6592918811</v>
      </c>
      <c r="Y36" s="1">
        <f t="shared" si="4"/>
        <v>5089932.659291883</v>
      </c>
    </row>
    <row r="37" spans="6:25" x14ac:dyDescent="0.3">
      <c r="F37" s="1">
        <f t="shared" si="1"/>
        <v>0</v>
      </c>
      <c r="G37" s="31">
        <f t="shared" si="5"/>
        <v>8418891.3279700447</v>
      </c>
      <c r="H37" s="27"/>
      <c r="I37" s="27" t="e">
        <f ca="1">[1]!transient_Pd(G37,CD,skin)</f>
        <v>#NAME?</v>
      </c>
      <c r="J37" s="35">
        <f>Stehfest(G37,CD,skin)</f>
        <v>8.3775260021653963</v>
      </c>
      <c r="K37" s="28"/>
      <c r="L37" s="28"/>
      <c r="M37" s="23"/>
      <c r="N37" s="26"/>
      <c r="O37" s="26"/>
      <c r="P37" s="26"/>
      <c r="W37" s="1">
        <f t="shared" si="2"/>
        <v>419430.40000000002</v>
      </c>
      <c r="X37" s="1">
        <f t="shared" si="3"/>
        <v>10179865.318583762</v>
      </c>
      <c r="Y37" s="1">
        <f t="shared" si="4"/>
        <v>10179865.318583766</v>
      </c>
    </row>
    <row r="38" spans="6:25" x14ac:dyDescent="0.3">
      <c r="F38" s="1">
        <f t="shared" si="1"/>
        <v>0</v>
      </c>
      <c r="G38" s="31">
        <f t="shared" si="5"/>
        <v>14312115.257549075</v>
      </c>
      <c r="H38" s="27"/>
      <c r="I38" s="27" t="e">
        <f ca="1">[1]!transient_Pd(G38,CD,skin)</f>
        <v>#NAME?</v>
      </c>
      <c r="J38" s="35">
        <f>Stehfest(G38,CD,skin)</f>
        <v>8.6428432323627788</v>
      </c>
      <c r="K38" s="28"/>
      <c r="L38" s="28"/>
      <c r="M38" s="23"/>
      <c r="N38" s="26"/>
      <c r="O38" s="26"/>
      <c r="P38" s="26"/>
      <c r="W38" s="1">
        <f t="shared" si="2"/>
        <v>838860.80000000005</v>
      </c>
      <c r="X38" s="1">
        <f t="shared" si="3"/>
        <v>20359730.637167525</v>
      </c>
      <c r="Y38" s="1">
        <f t="shared" si="4"/>
        <v>20359730.637167532</v>
      </c>
    </row>
    <row r="39" spans="6:25" x14ac:dyDescent="0.3">
      <c r="F39" s="1">
        <f t="shared" si="1"/>
        <v>0</v>
      </c>
      <c r="G39" s="31">
        <f t="shared" si="5"/>
        <v>24330595.937833428</v>
      </c>
      <c r="H39" s="27"/>
      <c r="I39" s="27" t="e">
        <f ca="1">[1]!transient_Pd(G39,CD,skin)</f>
        <v>#NAME?</v>
      </c>
      <c r="J39" s="35">
        <f>Stehfest(G39,CD,skin)</f>
        <v>8.9081592445162556</v>
      </c>
      <c r="K39" s="28"/>
      <c r="L39" s="28"/>
      <c r="M39" s="23"/>
      <c r="N39" s="26"/>
      <c r="O39" s="26"/>
      <c r="P39" s="26"/>
    </row>
    <row r="40" spans="6:25" x14ac:dyDescent="0.3">
      <c r="F40" s="1">
        <f t="shared" si="1"/>
        <v>0</v>
      </c>
      <c r="G40" s="31">
        <f t="shared" si="5"/>
        <v>41362013.094316825</v>
      </c>
      <c r="H40" s="27"/>
      <c r="I40" s="27" t="e">
        <f ca="1">[1]!transient_Pd(G40,CD,skin)</f>
        <v>#NAME?</v>
      </c>
      <c r="J40" s="35">
        <f>Stehfest(G40,CD,skin)</f>
        <v>9.1734745143944991</v>
      </c>
      <c r="K40" s="28"/>
      <c r="L40" s="28"/>
      <c r="M40" s="23"/>
      <c r="N40" s="26"/>
      <c r="O40" s="26"/>
      <c r="P40" s="26"/>
    </row>
    <row r="41" spans="6:25" x14ac:dyDescent="0.3">
      <c r="F41" s="1">
        <f t="shared" si="1"/>
        <v>0</v>
      </c>
      <c r="G41" s="31">
        <f t="shared" si="5"/>
        <v>70315422.260338604</v>
      </c>
      <c r="H41" s="27"/>
      <c r="I41" s="27" t="e">
        <f ca="1">[1]!transient_Pd(G41,CD,skin)</f>
        <v>#NAME?</v>
      </c>
      <c r="J41" s="35">
        <f>Stehfest(G41,CD,skin)</f>
        <v>9.438789335833448</v>
      </c>
      <c r="K41" s="28"/>
      <c r="L41" s="28"/>
      <c r="M41" s="23"/>
      <c r="N41" s="26"/>
      <c r="O41" s="26"/>
      <c r="P41" s="26"/>
    </row>
    <row r="42" spans="6:25" x14ac:dyDescent="0.3">
      <c r="F42" s="1">
        <f t="shared" si="1"/>
        <v>0</v>
      </c>
      <c r="G42" s="31">
        <f t="shared" si="5"/>
        <v>119536217.84257562</v>
      </c>
      <c r="H42" s="27"/>
      <c r="I42" s="27" t="e">
        <f ca="1">[1]!transient_Pd(G42,CD,skin)</f>
        <v>#NAME?</v>
      </c>
      <c r="J42" s="35">
        <f>Stehfest(G42,CD,skin)</f>
        <v>9.7041038818974954</v>
      </c>
      <c r="K42" s="28"/>
      <c r="L42" s="28"/>
      <c r="M42" s="23"/>
      <c r="N42" s="26"/>
      <c r="O42" s="26"/>
      <c r="P42" s="26"/>
    </row>
    <row r="43" spans="6:25" x14ac:dyDescent="0.3">
      <c r="F43" s="1">
        <f t="shared" si="1"/>
        <v>0</v>
      </c>
      <c r="G43" s="31">
        <f>G42*$G$14</f>
        <v>203211570.33237857</v>
      </c>
      <c r="H43" s="27"/>
      <c r="I43" s="27" t="e">
        <f ca="1">[1]!transient_Pd(G43,CD,skin)</f>
        <v>#NAME?</v>
      </c>
      <c r="J43" s="35">
        <f>Stehfest(G43,CD,skin)</f>
        <v>9.9694182618136864</v>
      </c>
      <c r="K43" s="28"/>
      <c r="L43" s="28"/>
      <c r="M43" s="23"/>
      <c r="N43" s="26"/>
      <c r="O43" s="26"/>
      <c r="P43" s="26"/>
    </row>
    <row r="44" spans="6:25" x14ac:dyDescent="0.3">
      <c r="F44" s="1">
        <f t="shared" si="1"/>
        <v>0</v>
      </c>
      <c r="G44" s="31">
        <f t="shared" si="5"/>
        <v>345459669.56504357</v>
      </c>
      <c r="H44" s="27"/>
      <c r="I44" s="27" t="e">
        <f ca="1">[1]!transient_Pd(G44,CD,skin)</f>
        <v>#NAME?</v>
      </c>
      <c r="J44" s="35">
        <f>Stehfest(G44,CD,skin)</f>
        <v>10.23473253987558</v>
      </c>
      <c r="K44" s="28"/>
      <c r="L44" s="28"/>
      <c r="M44" s="23"/>
      <c r="N44" s="26"/>
      <c r="O44" s="26"/>
      <c r="P44" s="26"/>
    </row>
    <row r="45" spans="6:25" x14ac:dyDescent="0.3">
      <c r="F45" s="1">
        <f t="shared" si="1"/>
        <v>0</v>
      </c>
      <c r="G45" s="31">
        <f t="shared" si="5"/>
        <v>587281438.2605741</v>
      </c>
      <c r="H45" s="27"/>
      <c r="I45" s="27" t="e">
        <f ca="1">[1]!transient_Pd(G45,CD,skin)</f>
        <v>#NAME?</v>
      </c>
      <c r="J45" s="35">
        <f>Stehfest(G45,CD,skin)</f>
        <v>10.500046761130676</v>
      </c>
      <c r="K45" s="28"/>
      <c r="L45" s="28"/>
      <c r="M45" s="23"/>
      <c r="N45" s="26"/>
      <c r="O45" s="26"/>
      <c r="P45" s="26"/>
    </row>
    <row r="46" spans="6:25" x14ac:dyDescent="0.3">
      <c r="F46" s="1">
        <f t="shared" si="1"/>
        <v>0</v>
      </c>
      <c r="G46" s="31">
        <f t="shared" si="5"/>
        <v>998378445.0429759</v>
      </c>
      <c r="H46" s="27"/>
      <c r="I46" s="27" t="e">
        <f ca="1">[1]!transient_Pd(G46,CD,skin)</f>
        <v>#NAME?</v>
      </c>
      <c r="J46" s="35">
        <f>Stehfest(G46,CD,skin)</f>
        <v>10.765360940797166</v>
      </c>
      <c r="K46" s="28"/>
      <c r="L46" s="28"/>
      <c r="M46" s="23"/>
      <c r="N46" s="26"/>
      <c r="O46" s="26"/>
      <c r="P46" s="26"/>
    </row>
    <row r="47" spans="6:25" x14ac:dyDescent="0.3">
      <c r="F47" s="1">
        <f t="shared" si="1"/>
        <v>0</v>
      </c>
      <c r="G47" s="31">
        <f t="shared" si="5"/>
        <v>1697243356.5730591</v>
      </c>
      <c r="H47" s="27"/>
      <c r="I47" s="27" t="e">
        <f ca="1">[1]!transient_Pd(G47,CD,skin)</f>
        <v>#NAME?</v>
      </c>
      <c r="J47" s="35">
        <f>Stehfest(G47,CD,skin)</f>
        <v>11.030675101304666</v>
      </c>
      <c r="K47" s="28"/>
      <c r="L47" s="28"/>
      <c r="M47" s="23"/>
      <c r="N47" s="26"/>
      <c r="O47" s="26"/>
      <c r="P47" s="26"/>
    </row>
    <row r="48" spans="6:25" x14ac:dyDescent="0.3">
      <c r="F48" s="1">
        <f t="shared" si="1"/>
        <v>0</v>
      </c>
      <c r="G48" s="31">
        <f t="shared" si="5"/>
        <v>2885313706.1742005</v>
      </c>
      <c r="H48" s="27"/>
      <c r="I48" s="27" t="e">
        <f ca="1">[1]!transient_Pd(G48,CD,skin)</f>
        <v>#NAME?</v>
      </c>
      <c r="J48" s="35">
        <f>Stehfest(G48,CD,skin)</f>
        <v>11.295989246141033</v>
      </c>
      <c r="K48" s="28"/>
      <c r="L48" s="28"/>
      <c r="M48" s="23"/>
      <c r="N48" s="26"/>
      <c r="O48" s="26"/>
      <c r="P48" s="26"/>
    </row>
    <row r="49" spans="6:16" x14ac:dyDescent="0.3">
      <c r="F49" s="1">
        <f t="shared" si="1"/>
        <v>0</v>
      </c>
      <c r="G49" s="31">
        <f t="shared" si="5"/>
        <v>4905033300.4961405</v>
      </c>
      <c r="H49" s="27"/>
      <c r="I49" s="27" t="e">
        <f ca="1">[1]!transient_Pd(G49,CD,skin)</f>
        <v>#NAME?</v>
      </c>
      <c r="J49" s="35">
        <f>Stehfest(G49,CD,skin)</f>
        <v>11.561303384996563</v>
      </c>
      <c r="K49" s="28"/>
      <c r="L49" s="28"/>
      <c r="O49" s="26"/>
      <c r="P49" s="26"/>
    </row>
    <row r="50" spans="6:16" x14ac:dyDescent="0.3">
      <c r="F50" s="25">
        <f t="shared" si="1"/>
        <v>1128500920.713026</v>
      </c>
      <c r="G50" s="25">
        <f t="shared" si="5"/>
        <v>8338556610.8434381</v>
      </c>
      <c r="H50" s="25">
        <f>G50*por*mu*ct*rw*rw/k/0.00036</f>
        <v>231626.57252342888</v>
      </c>
      <c r="I50" s="27" t="e">
        <f ca="1">[1]!transient_Pd(G50,CD,skin)</f>
        <v>#NAME?</v>
      </c>
      <c r="J50" s="25">
        <f>Stehfest(F50,CD,skin)</f>
        <v>10.826617452407163</v>
      </c>
      <c r="K50" s="25" t="e">
        <f ca="1">Pi-I50*18.41*q*B*mu/k/h</f>
        <v>#NAME?</v>
      </c>
      <c r="L50" s="25">
        <f>Pi-J50*18.41*q*B*mu/k/h</f>
        <v>130.40918362071048</v>
      </c>
      <c r="O50" s="26"/>
      <c r="P50" s="26"/>
    </row>
    <row r="51" spans="6:16" x14ac:dyDescent="0.3">
      <c r="O51" s="26"/>
      <c r="P51" s="26"/>
    </row>
    <row r="52" spans="6:16" x14ac:dyDescent="0.3">
      <c r="O52" s="26"/>
      <c r="P52" s="26"/>
    </row>
    <row r="53" spans="6:16" x14ac:dyDescent="0.3">
      <c r="O53" s="26"/>
      <c r="P53" s="26"/>
    </row>
    <row r="54" spans="6:16" x14ac:dyDescent="0.3">
      <c r="O54" s="26"/>
      <c r="P54" s="26"/>
    </row>
    <row r="55" spans="6:16" x14ac:dyDescent="0.3">
      <c r="O55" s="26"/>
      <c r="P55" s="26"/>
    </row>
    <row r="56" spans="6:16" x14ac:dyDescent="0.3">
      <c r="O56" s="26"/>
      <c r="P56" s="26"/>
    </row>
    <row r="57" spans="6:16" x14ac:dyDescent="0.3">
      <c r="O57" s="26"/>
      <c r="P57" s="26"/>
    </row>
    <row r="58" spans="6:16" x14ac:dyDescent="0.3">
      <c r="O58" s="26"/>
      <c r="P58" s="26"/>
    </row>
    <row r="59" spans="6:16" x14ac:dyDescent="0.3">
      <c r="O59" s="26"/>
      <c r="P59" s="26"/>
    </row>
    <row r="60" spans="6:16" x14ac:dyDescent="0.3">
      <c r="O60" s="26"/>
      <c r="P60" s="26"/>
    </row>
    <row r="61" spans="6:16" x14ac:dyDescent="0.3">
      <c r="O61" s="26"/>
      <c r="P61" s="26"/>
    </row>
    <row r="62" spans="6:16" x14ac:dyDescent="0.3">
      <c r="O62" s="26"/>
      <c r="P62" s="26"/>
    </row>
    <row r="63" spans="6:16" x14ac:dyDescent="0.3">
      <c r="O63" s="26"/>
      <c r="P63" s="26"/>
    </row>
    <row r="64" spans="6:16" x14ac:dyDescent="0.3">
      <c r="O64" s="26"/>
      <c r="P64" s="26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8198" r:id="rId4">
          <objectPr defaultSize="0" autoPict="0" r:id="rId5">
            <anchor moveWithCells="1">
              <from>
                <xdr:col>14</xdr:col>
                <xdr:colOff>478971</xdr:colOff>
                <xdr:row>3</xdr:row>
                <xdr:rowOff>141514</xdr:rowOff>
              </from>
              <to>
                <xdr:col>17</xdr:col>
                <xdr:colOff>65314</xdr:colOff>
                <xdr:row>7</xdr:row>
                <xdr:rowOff>114300</xdr:rowOff>
              </to>
            </anchor>
          </objectPr>
        </oleObject>
      </mc:Choice>
      <mc:Fallback>
        <oleObject progId="Equation.DSMT4" shapeId="819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42</vt:i4>
      </vt:variant>
    </vt:vector>
  </HeadingPairs>
  <TitlesOfParts>
    <vt:vector size="46" baseType="lpstr">
      <vt:lpstr>Упражнение 1</vt:lpstr>
      <vt:lpstr>Упражнение 2</vt:lpstr>
      <vt:lpstr>Упражнение  3</vt:lpstr>
      <vt:lpstr>Упражнение 4</vt:lpstr>
      <vt:lpstr>'Упражнение  3'!B</vt:lpstr>
      <vt:lpstr>'Упражнение 4'!B</vt:lpstr>
      <vt:lpstr>B</vt:lpstr>
      <vt:lpstr>'Упражнение 4'!CD</vt:lpstr>
      <vt:lpstr>'Упражнение  3'!Cs</vt:lpstr>
      <vt:lpstr>'Упражнение 4'!Cs</vt:lpstr>
      <vt:lpstr>Cs</vt:lpstr>
      <vt:lpstr>'Упражнение  3'!ct</vt:lpstr>
      <vt:lpstr>'Упражнение 4'!ct</vt:lpstr>
      <vt:lpstr>ct</vt:lpstr>
      <vt:lpstr>'Упражнение  3'!h</vt:lpstr>
      <vt:lpstr>'Упражнение 4'!h</vt:lpstr>
      <vt:lpstr>h</vt:lpstr>
      <vt:lpstr>'Упражнение  3'!k</vt:lpstr>
      <vt:lpstr>'Упражнение 4'!k</vt:lpstr>
      <vt:lpstr>k</vt:lpstr>
      <vt:lpstr>'Упражнение  3'!mu</vt:lpstr>
      <vt:lpstr>'Упражнение 4'!mu</vt:lpstr>
      <vt:lpstr>mu</vt:lpstr>
      <vt:lpstr>'Упражнение  3'!Perm</vt:lpstr>
      <vt:lpstr>'Упражнение 4'!Perm</vt:lpstr>
      <vt:lpstr>Perm</vt:lpstr>
      <vt:lpstr>'Упражнение  3'!Pi</vt:lpstr>
      <vt:lpstr>'Упражнение 4'!Pi</vt:lpstr>
      <vt:lpstr>Pi</vt:lpstr>
      <vt:lpstr>'Упражнение  3'!por</vt:lpstr>
      <vt:lpstr>'Упражнение 4'!por</vt:lpstr>
      <vt:lpstr>por</vt:lpstr>
      <vt:lpstr>'Упражнение  3'!q</vt:lpstr>
      <vt:lpstr>'Упражнение 4'!q</vt:lpstr>
      <vt:lpstr>q</vt:lpstr>
      <vt:lpstr>rinat</vt:lpstr>
      <vt:lpstr>'Упражнение  3'!rw</vt:lpstr>
      <vt:lpstr>'Упражнение 4'!rw</vt:lpstr>
      <vt:lpstr>rw</vt:lpstr>
      <vt:lpstr>S</vt:lpstr>
      <vt:lpstr>'Упражнение 4'!skin</vt:lpstr>
      <vt:lpstr>t</vt:lpstr>
      <vt:lpstr>td</vt:lpstr>
      <vt:lpstr>'Упражнение  3'!р</vt:lpstr>
      <vt:lpstr>'Упражнение 4'!р</vt:lpstr>
      <vt:lpstr>р</vt:lpstr>
    </vt:vector>
  </TitlesOfParts>
  <Company>kntc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rnt</dc:creator>
  <cp:lastModifiedBy>Ринат Хабибуллин</cp:lastModifiedBy>
  <cp:lastPrinted>2005-08-21T19:27:26Z</cp:lastPrinted>
  <dcterms:created xsi:type="dcterms:W3CDTF">2005-08-18T07:57:40Z</dcterms:created>
  <dcterms:modified xsi:type="dcterms:W3CDTF">2019-10-13T16:40:24Z</dcterms:modified>
</cp:coreProperties>
</file>