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е" sheetId="107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Упражнение!$C$13</definedName>
    <definedName name="Dcas_" localSheetId="0">Упражнение!$C$20</definedName>
    <definedName name="Dintake_" localSheetId="0">Упражнение!$C$23</definedName>
    <definedName name="Dtub_" localSheetId="0">Упражнение!$C$22</definedName>
    <definedName name="Dtub_out_" localSheetId="0">Упражнение!$C$21</definedName>
    <definedName name="Dштуц__мм">Фонтан!$B$34</definedName>
    <definedName name="Freq_" localSheetId="0">Упражнение!$C$34</definedName>
    <definedName name="Freq1_" localSheetId="0">Упражнение!$D$86</definedName>
    <definedName name="gamma_gas_" localSheetId="0">Упражнение!$C$8</definedName>
    <definedName name="gamma_oil_" localSheetId="0">Упражнение!$C$7</definedName>
    <definedName name="Head_ESP_" localSheetId="0">Упражнение!$C$33</definedName>
    <definedName name="Hmes_" localSheetId="0">Упражнение!$C$17</definedName>
    <definedName name="Hpump_" localSheetId="0">Упражнение!$C$19</definedName>
    <definedName name="Kdegr_" localSheetId="0">Упражнение!$D$52</definedName>
    <definedName name="KsepGasSep_" localSheetId="0">Упражнение!$C$39</definedName>
    <definedName name="N_" localSheetId="0">Упражнение!$C$45</definedName>
    <definedName name="NumStage_" localSheetId="0">Упражнение!$C$38</definedName>
    <definedName name="Pb_" localSheetId="0">Упражнение!$C$11</definedName>
    <definedName name="Pbuf_" localSheetId="0">Упражнение!$C$24</definedName>
    <definedName name="Pdis_" localSheetId="0">Упражнение!$C$29</definedName>
    <definedName name="PI_" localSheetId="0">Упражнение!$C$42</definedName>
    <definedName name="Pintake_" localSheetId="0">Упражнение!$C$25</definedName>
    <definedName name="Pres_" localSheetId="0">Упражнение!$C$41</definedName>
    <definedName name="PumpID_" localSheetId="0">Упражнение!$C$35</definedName>
    <definedName name="Pwf_" localSheetId="0">Упражнение!$C$27</definedName>
    <definedName name="Pwf1_" localSheetId="0">Упражнение!$D$84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Упражнение!$C$28</definedName>
    <definedName name="Q_ESP_" localSheetId="0">Упражнение!$C$32</definedName>
    <definedName name="Qmax" localSheetId="0">Упражнение!$C$37</definedName>
    <definedName name="Qreal_" localSheetId="0">Упражнение!$D$85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Упражнение!$C$10</definedName>
    <definedName name="Rsb_" localSheetId="0">Упражнение!$C$9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Упражнение!$C$43</definedName>
    <definedName name="Tintake_" localSheetId="0">Упражнение!$C$26</definedName>
    <definedName name="Tres_" localSheetId="0">Упражнение!$C$12</definedName>
    <definedName name="Udl_" localSheetId="0">Упражнение!$C$18</definedName>
    <definedName name="wc_" localSheetId="0">Упражнение!$C$14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N68" i="107" l="1"/>
  <c r="N67" i="107" s="1"/>
  <c r="N66" i="107"/>
  <c r="N65" i="107" s="1"/>
  <c r="N64" i="107" s="1"/>
  <c r="N63" i="107"/>
  <c r="N62" i="107" s="1"/>
  <c r="N61" i="107" s="1"/>
  <c r="N60" i="107" s="1"/>
  <c r="N59" i="107" s="1"/>
  <c r="N58" i="107" s="1"/>
  <c r="N57" i="107" s="1"/>
  <c r="N56" i="107" s="1"/>
  <c r="N55" i="107" s="1"/>
  <c r="N69" i="107"/>
  <c r="J69" i="107"/>
  <c r="J70" i="107"/>
  <c r="F74" i="107"/>
  <c r="I105" i="107"/>
  <c r="F108" i="107"/>
  <c r="F109" i="107"/>
  <c r="C42" i="107"/>
  <c r="D85" i="107"/>
  <c r="J55" i="107" l="1"/>
  <c r="F110" i="107" l="1"/>
  <c r="D110" i="107"/>
  <c r="C91" i="107"/>
  <c r="C92" i="107" s="1"/>
  <c r="C93" i="107" s="1"/>
  <c r="C94" i="107" s="1"/>
  <c r="C95" i="107" s="1"/>
  <c r="C96" i="107" s="1"/>
  <c r="C97" i="107" s="1"/>
  <c r="C98" i="107" s="1"/>
  <c r="C99" i="107" s="1"/>
  <c r="C100" i="107" s="1"/>
  <c r="C101" i="107" s="1"/>
  <c r="C102" i="107" s="1"/>
  <c r="C103" i="107" s="1"/>
  <c r="C104" i="107" s="1"/>
  <c r="C105" i="107" s="1"/>
  <c r="C106" i="107" s="1"/>
  <c r="C107" i="107" s="1"/>
  <c r="C108" i="107" s="1"/>
  <c r="C109" i="107" s="1"/>
  <c r="C110" i="107" s="1"/>
  <c r="F75" i="107"/>
  <c r="D75" i="107"/>
  <c r="C56" i="107"/>
  <c r="C57" i="107" s="1"/>
  <c r="C58" i="107" s="1"/>
  <c r="C59" i="107" s="1"/>
  <c r="C60" i="107" s="1"/>
  <c r="C61" i="107" s="1"/>
  <c r="C62" i="107" s="1"/>
  <c r="C63" i="107" s="1"/>
  <c r="C64" i="107" s="1"/>
  <c r="C65" i="107" s="1"/>
  <c r="C66" i="107" s="1"/>
  <c r="C67" i="107" s="1"/>
  <c r="C68" i="107" s="1"/>
  <c r="C69" i="107" s="1"/>
  <c r="C70" i="107" s="1"/>
  <c r="C71" i="107" s="1"/>
  <c r="C72" i="107" s="1"/>
  <c r="C73" i="107" s="1"/>
  <c r="C74" i="107" s="1"/>
  <c r="C75" i="107" s="1"/>
  <c r="D74" i="107" s="1"/>
  <c r="E10" i="107"/>
  <c r="E9" i="107"/>
  <c r="E8" i="107"/>
  <c r="E7" i="107"/>
  <c r="C35" i="107"/>
  <c r="C37" i="107"/>
  <c r="C38" i="107"/>
  <c r="C36" i="107"/>
  <c r="F73" i="107"/>
  <c r="D73" i="107" l="1"/>
  <c r="D109" i="107"/>
  <c r="F72" i="107"/>
  <c r="D108" i="107" l="1"/>
  <c r="D72" i="107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F107" i="107"/>
  <c r="F71" i="107"/>
  <c r="D107" i="107" l="1"/>
  <c r="D71" i="107"/>
  <c r="F106" i="107"/>
  <c r="F70" i="107"/>
  <c r="D106" i="107" l="1"/>
  <c r="O70" i="107"/>
  <c r="D70" i="107"/>
  <c r="F105" i="107"/>
  <c r="G70" i="107"/>
  <c r="H70" i="107" s="1"/>
  <c r="I70" i="107"/>
  <c r="M105" i="107" l="1"/>
  <c r="D105" i="107"/>
  <c r="D69" i="107"/>
  <c r="G105" i="107"/>
  <c r="H105" i="107" s="1"/>
  <c r="J105" i="107"/>
  <c r="K105" i="107" l="1"/>
  <c r="D104" i="107"/>
  <c r="D103" i="107" s="1"/>
  <c r="D102" i="107" s="1"/>
  <c r="D101" i="107" s="1"/>
  <c r="D100" i="107" s="1"/>
  <c r="D99" i="107" s="1"/>
  <c r="D98" i="107" s="1"/>
  <c r="D97" i="107" s="1"/>
  <c r="D96" i="107" s="1"/>
  <c r="D95" i="107" s="1"/>
  <c r="D94" i="107" s="1"/>
  <c r="D93" i="107" s="1"/>
  <c r="D92" i="107" s="1"/>
  <c r="D91" i="107" s="1"/>
  <c r="D90" i="107" s="1"/>
  <c r="D68" i="107"/>
  <c r="K104" i="107"/>
  <c r="K103" i="107" s="1"/>
  <c r="K102" i="107" s="1"/>
  <c r="K101" i="107" s="1"/>
  <c r="K100" i="107" s="1"/>
  <c r="K99" i="107" s="1"/>
  <c r="K98" i="107" s="1"/>
  <c r="K97" i="107" s="1"/>
  <c r="K96" i="107" s="1"/>
  <c r="K95" i="107" s="1"/>
  <c r="K94" i="107" s="1"/>
  <c r="K93" i="107" s="1"/>
  <c r="K92" i="107" s="1"/>
  <c r="K91" i="107" s="1"/>
  <c r="K90" i="107" s="1"/>
  <c r="D67" i="107" l="1"/>
  <c r="D66" i="107" l="1"/>
  <c r="D65" i="107" l="1"/>
  <c r="D64" i="107" l="1"/>
  <c r="D63" i="107" l="1"/>
  <c r="D62" i="107" l="1"/>
  <c r="D61" i="107" l="1"/>
  <c r="D60" i="107" l="1"/>
  <c r="D59" i="107" l="1"/>
  <c r="D58" i="107" l="1"/>
  <c r="D57" i="107" l="1"/>
  <c r="D56" i="107" l="1"/>
  <c r="D55" i="107" l="1"/>
  <c r="J56" i="107"/>
  <c r="J57" i="107" s="1"/>
  <c r="J58" i="107" s="1"/>
  <c r="J59" i="107" s="1"/>
  <c r="J60" i="107" s="1"/>
  <c r="J61" i="107" s="1"/>
  <c r="J62" i="107" s="1"/>
  <c r="J63" i="107" s="1"/>
  <c r="J64" i="107" s="1"/>
  <c r="J65" i="107" s="1"/>
  <c r="J66" i="107" s="1"/>
  <c r="J67" i="107" s="1"/>
  <c r="J68" i="107" s="1"/>
  <c r="L70" i="107" s="1"/>
  <c r="N70" i="107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<sst xmlns="http://schemas.openxmlformats.org/spreadsheetml/2006/main" count="2844" uniqueCount="356">
  <si>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</si>
  <si>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</si>
  <si>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</si>
  <si>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</si>
  <si>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</si>
  <si>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</si>
  <si>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</si>
  <si>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</si>
  <si>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</si>
  <si>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</si>
  <si>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</si>
  <si>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</si>
  <si>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</si>
  <si>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</si>
  <si>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</si>
  <si>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</si>
  <si>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</si>
  <si>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</si>
  <si>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</si>
  <si>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</si>
  <si>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</si>
  <si>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</si>
  <si>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</si>
  <si>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</si>
  <si>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</si>
  <si>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</si>
  <si>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</si>
  <si>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</si>
  <si>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</si>
  <si>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</si>
  <si>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</si>
  <si>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</si>
  <si>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</si>
  <si>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</si>
  <si>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</si>
  <si>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</si>
  <si>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</si>
  <si>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</si>
  <si>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</si>
  <si>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</si>
  <si>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</si>
  <si>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</si>
  <si>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</si>
  <si>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</si>
  <si>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</si>
  <si>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</si>
  <si>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</si>
  <si>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</si>
  <si>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</si>
  <si>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</si>
  <si>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</si>
  <si>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</si>
  <si>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</si>
  <si>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</si>
  <si>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</si>
  <si>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</si>
  <si>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</si>
  <si>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</si>
  <si>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</si>
  <si>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</si>
  <si>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</si>
  <si>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</si>
  <si>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</si>
  <si>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</si>
  <si>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</si>
  <si>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</si>
  <si>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</si>
  <si>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</si>
  <si>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</si>
  <si>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</si>
  <si>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</si>
  <si>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</si>
  <si>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</si>
  <si>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</si>
  <si>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</si>
  <si>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</si>
  <si>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</si>
  <si>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</si>
  <si>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</si>
  <si>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</si>
  <si>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</si>
  <si>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</si>
  <si>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</si>
  <si>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</si>
  <si>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</si>
  <si>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</si>
  <si>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</si>
  <si>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</si>
  <si>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</si>
  <si>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</si>
  <si>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</si>
  <si>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</si>
  <si>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</si>
  <si>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</si>
  <si>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</si>
  <si>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</si>
  <si>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</si>
  <si>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</si>
  <si>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</si>
  <si>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</si>
  <si>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</si>
  <si>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</si>
  <si>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</si>
  <si>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</si>
  <si>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</si>
  <si>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</si>
  <si>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</si>
  <si>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</si>
  <si>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</si>
  <si>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</si>
  <si>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</si>
  <si>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</si>
  <si>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</si>
  <si>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</si>
  <si>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</si>
  <si>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</si>
  <si>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</si>
  <si>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</si>
  <si>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</si>
  <si>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</si>
  <si>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</si>
  <si>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</si>
  <si>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</si>
  <si>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</si>
  <si>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</si>
  <si>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</si>
  <si>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</si>
  <si>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</si>
  <si>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</si>
  <si>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</si>
  <si>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</si>
  <si>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</si>
  <si>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</si>
  <si>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</si>
  <si>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</si>
  <si>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</si>
  <si>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</si>
  <si>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</si>
  <si>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</si>
  <si>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</si>
  <si>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</si>
  <si>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</si>
  <si>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</si>
  <si>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</si>
  <si>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</si>
  <si>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</si>
  <si>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</si>
  <si>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</si>
  <si>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</si>
  <si>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</si>
  <si>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</si>
  <si>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</si>
  <si>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</si>
  <si>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</si>
  <si>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</si>
  <si>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</si>
  <si>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</si>
  <si>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</si>
  <si>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</si>
  <si>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</si>
  <si>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</si>
  <si>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</si>
  <si>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</si>
  <si>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</si>
  <si>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</si>
  <si>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</si>
  <si>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</si>
  <si>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</si>
  <si>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</si>
  <si>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</si>
  <si>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</si>
  <si>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</si>
  <si>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</si>
  <si>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</si>
  <si>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</si>
  <si>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</si>
  <si>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</si>
  <si>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</si>
  <si>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</si>
  <si>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</si>
  <si>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</si>
  <si>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</si>
  <si>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</si>
  <si>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</si>
  <si>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</si>
  <si>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</si>
  <si>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</si>
  <si>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</si>
  <si>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</si>
  <si>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</si>
  <si>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</si>
  <si>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</si>
  <si>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</si>
  <si>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</si>
  <si>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</si>
  <si>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</si>
  <si>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</si>
  <si>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</si>
  <si>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</si>
  <si>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</si>
  <si>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</si>
  <si>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</si>
  <si>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</si>
  <si>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</si>
  <si>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</si>
  <si>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</si>
  <si>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</si>
  <si>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</si>
  <si>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</si>
  <si>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</si>
  <si>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</si>
  <si>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</si>
  <si>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</si>
  <si>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</si>
  <si>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</si>
  <si>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</si>
  <si>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</si>
  <si>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</si>
  <si>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</si>
  <si>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</si>
  <si>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</si>
  <si>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</si>
  <si>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</si>
  <si>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</si>
  <si>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</si>
  <si>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</si>
  <si>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</si>
  <si>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</si>
  <si>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</si>
  <si>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</si>
  <si>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</si>
  <si>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</si>
  <si>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</si>
  <si>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</si>
  <si>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</si>
  <si>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</si>
  <si>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</si>
  <si>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</si>
  <si>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</si>
  <si>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</si>
  <si>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</si>
  <si>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</si>
  <si>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</si>
  <si>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</si>
  <si>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</si>
  <si>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</si>
  <si>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</si>
  <si>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</si>
  <si>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</si>
  <si>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</si>
  <si>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</si>
  <si>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</si>
  <si>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</si>
  <si>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</si>
  <si>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</si>
  <si>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</si>
  <si>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</si>
  <si>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</si>
  <si>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</si>
  <si>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</si>
  <si>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</si>
  <si>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</si>
  <si>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</si>
  <si>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</si>
  <si>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</si>
  <si>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</si>
  <si>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</si>
  <si>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</si>
  <si>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</si>
  <si>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</si>
  <si>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</si>
  <si>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</si>
  <si>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</si>
  <si>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</si>
  <si>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</si>
  <si>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</si>
  <si>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</si>
  <si>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</si>
  <si>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</si>
  <si>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</si>
  <si>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</si>
  <si>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</si>
  <si>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</si>
  <si>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</si>
  <si>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</si>
  <si>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</si>
  <si>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</si>
  <si>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</si>
  <si>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</si>
  <si>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</si>
  <si>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</si>
  <si>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</si>
  <si>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</si>
  <si>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</si>
  <si>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</si>
  <si>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</si>
  <si>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</si>
  <si>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</si>
  <si>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</si>
  <si>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Qmax</t>
  </si>
  <si>
    <t>шт</t>
  </si>
  <si>
    <t>м3/сут/атм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</si>
  <si>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</si>
  <si>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</si>
  <si>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</si>
  <si>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</si>
  <si>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</si>
  <si>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</si>
  <si>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</si>
  <si>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</si>
  <si>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</si>
  <si>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</si>
  <si>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</si>
  <si>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</si>
  <si>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</si>
  <si>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</si>
  <si>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</si>
  <si>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</si>
  <si>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</si>
  <si>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</si>
  <si>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</si>
  <si>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</si>
  <si>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</si>
  <si>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</si>
  <si>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</si>
  <si>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</si>
  <si>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</si>
  <si>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</si>
  <si>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Дебит скважины</t>
  </si>
  <si>
    <t>Давление на выкиде</t>
  </si>
  <si>
    <t>ЭЦН</t>
  </si>
  <si>
    <t>Номинальная производительность</t>
  </si>
  <si>
    <t>Номинальный напор</t>
  </si>
  <si>
    <t>Номер насоса ID</t>
  </si>
  <si>
    <t>Название насоса</t>
  </si>
  <si>
    <t>Ступени</t>
  </si>
  <si>
    <t>Коэффициет сепарации газосепаратора</t>
  </si>
  <si>
    <t>Пласт</t>
  </si>
  <si>
    <t>Пластовое давление</t>
  </si>
  <si>
    <t>Коэффициет продуктивности</t>
  </si>
  <si>
    <t>Темп град</t>
  </si>
  <si>
    <t>Доля газа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</si>
  <si>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</si>
  <si>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</si>
  <si>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</si>
  <si>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</si>
  <si>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</si>
  <si>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Перепад давления в насосе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</si>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</sst>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0"/>
      <color rgb="FFFF000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17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Fill="1" applyBorder="1"/>
    <xf numFmtId="9" fontId="0" fillId="8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8" borderId="2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9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2" fontId="0" fillId="10" borderId="0" xfId="0" applyNumberForma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0" fillId="10" borderId="0" xfId="0" applyFill="1"/>
    <xf numFmtId="9" fontId="0" fillId="10" borderId="0" xfId="7" applyFont="1" applyFill="1" applyAlignment="1">
      <alignment horizontal="center"/>
    </xf>
    <xf numFmtId="2" fontId="0" fillId="10" borderId="0" xfId="0" applyNumberFormat="1" applyFill="1" applyAlignment="1">
      <alignment horizontal="center" vertical="center"/>
    </xf>
  </cellXfs>
  <cellStyles count="8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Процентный" xfId="7" builtin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Упражнение!$F$55:$F$75</c:f>
              <c:numCache>
                <c:formatCode>0.00</c:formatCode>
                <c:ptCount val="21"/>
                <c:pt idx="15">
                  <c:v>45.103800507038635</c:v>
                </c:pt>
                <c:pt idx="16">
                  <c:v>49.843439708893321</c:v>
                </c:pt>
                <c:pt idx="17">
                  <c:v>54.717070524554195</c:v>
                </c:pt>
                <c:pt idx="18">
                  <c:v>59.709930740760477</c:v>
                </c:pt>
                <c:pt idx="19">
                  <c:v>64.808396349388133</c:v>
                </c:pt>
                <c:pt idx="20" formatCode="General">
                  <c:v>70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Упражнение!$N$55:$N$75</c:f>
              <c:numCache>
                <c:formatCode>0.00</c:formatCode>
                <c:ptCount val="21"/>
                <c:pt idx="0">
                  <c:v>20.337772900131444</c:v>
                </c:pt>
                <c:pt idx="1">
                  <c:v>26.237170786288186</c:v>
                </c:pt>
                <c:pt idx="2">
                  <c:v>32.487811729663996</c:v>
                </c:pt>
                <c:pt idx="3">
                  <c:v>39.035864232984672</c:v>
                </c:pt>
                <c:pt idx="4">
                  <c:v>45.974881810084298</c:v>
                </c:pt>
                <c:pt idx="5">
                  <c:v>53.218080555182681</c:v>
                </c:pt>
                <c:pt idx="6">
                  <c:v>60.521964627419756</c:v>
                </c:pt>
                <c:pt idx="7">
                  <c:v>67.817455304980584</c:v>
                </c:pt>
                <c:pt idx="8">
                  <c:v>75.103332768514463</c:v>
                </c:pt>
                <c:pt idx="9">
                  <c:v>82.37871281355163</c:v>
                </c:pt>
                <c:pt idx="10">
                  <c:v>89.642933195119511</c:v>
                </c:pt>
                <c:pt idx="11">
                  <c:v>96.895484451939836</c:v>
                </c:pt>
                <c:pt idx="12">
                  <c:v>104.13596583501116</c:v>
                </c:pt>
                <c:pt idx="13">
                  <c:v>111.36405614552461</c:v>
                </c:pt>
                <c:pt idx="14">
                  <c:v>118.57949381117588</c:v>
                </c:pt>
                <c:pt idx="15">
                  <c:v>125.78206289640363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Упражнение!$J$55:$J$75</c:f>
              <c:numCache>
                <c:formatCode>0.00</c:formatCode>
                <c:ptCount val="21"/>
                <c:pt idx="0">
                  <c:v>20</c:v>
                </c:pt>
                <c:pt idx="1">
                  <c:v>25.912487925111527</c:v>
                </c:pt>
                <c:pt idx="2">
                  <c:v>32.18382385191488</c:v>
                </c:pt>
                <c:pt idx="3">
                  <c:v>38.757654810388196</c:v>
                </c:pt>
                <c:pt idx="4">
                  <c:v>45.7278168815144</c:v>
                </c:pt>
                <c:pt idx="5">
                  <c:v>53.001414008801902</c:v>
                </c:pt>
                <c:pt idx="6">
                  <c:v>60.324197065923506</c:v>
                </c:pt>
                <c:pt idx="7">
                  <c:v>67.638194430265258</c:v>
                </c:pt>
                <c:pt idx="8">
                  <c:v>74.942266849534903</c:v>
                </c:pt>
                <c:pt idx="9">
                  <c:v>82.235589552148454</c:v>
                </c:pt>
                <c:pt idx="10">
                  <c:v>89.517545269594507</c:v>
                </c:pt>
                <c:pt idx="11">
                  <c:v>96.787659311555998</c:v>
                </c:pt>
                <c:pt idx="12">
                  <c:v>104.04555829903281</c:v>
                </c:pt>
                <c:pt idx="13">
                  <c:v>111.29094291060836</c:v>
                </c:pt>
                <c:pt idx="14">
                  <c:v>118.52356929261312</c:v>
                </c:pt>
                <c:pt idx="15">
                  <c:v>125.743236023785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Упражнение!$O$55:$O$75</c:f>
              <c:numCache>
                <c:formatCode>0.00</c:formatCode>
                <c:ptCount val="21"/>
                <c:pt idx="15" formatCode="General">
                  <c:v>45.103800507038635</c:v>
                </c:pt>
              </c:numCache>
            </c:numRef>
          </c:xVal>
          <c:yVal>
            <c:numRef>
              <c:f>Упражнение!$C$55:$C$75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Упражнение!$F$90:$F$110</c:f>
              <c:numCache>
                <c:formatCode>0.00</c:formatCode>
                <c:ptCount val="21"/>
                <c:pt idx="15">
                  <c:v>38.283450826948958</c:v>
                </c:pt>
                <c:pt idx="16">
                  <c:v>42.746114755414069</c:v>
                </c:pt>
                <c:pt idx="17">
                  <c:v>47.364352825560566</c:v>
                </c:pt>
                <c:pt idx="18">
                  <c:v>52.122429955538543</c:v>
                </c:pt>
                <c:pt idx="19">
                  <c:v>57.005559771226039</c:v>
                </c:pt>
                <c:pt idx="20" formatCode="General">
                  <c:v>62</c:v>
                </c:pt>
              </c:numCache>
            </c:numRef>
          </c:xVal>
          <c:yVal>
            <c:numRef>
              <c:f>Упражнение!$C$90:$C$110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30-4962-9B53-F3495E0C2214}"/>
            </c:ext>
          </c:extLst>
        </c:ser>
        <c:ser>
          <c:idx val="1"/>
          <c:order val="1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Упражнение!$K$90:$K$110</c:f>
              <c:numCache>
                <c:formatCode>0.00</c:formatCode>
                <c:ptCount val="21"/>
                <c:pt idx="0">
                  <c:v>17.942029386802961</c:v>
                </c:pt>
                <c:pt idx="1">
                  <c:v>23.848482287693571</c:v>
                </c:pt>
                <c:pt idx="2">
                  <c:v>30.14374055563027</c:v>
                </c:pt>
                <c:pt idx="3">
                  <c:v>36.797963848252621</c:v>
                </c:pt>
                <c:pt idx="4">
                  <c:v>43.87699058076074</c:v>
                </c:pt>
                <c:pt idx="5">
                  <c:v>51.201142493014103</c:v>
                </c:pt>
                <c:pt idx="6">
                  <c:v>58.529181495148599</c:v>
                </c:pt>
                <c:pt idx="7">
                  <c:v>65.84842296020301</c:v>
                </c:pt>
                <c:pt idx="8">
                  <c:v>73.157693757699363</c:v>
                </c:pt>
                <c:pt idx="9">
                  <c:v>80.456152419810337</c:v>
                </c:pt>
                <c:pt idx="10">
                  <c:v>87.743173822331954</c:v>
                </c:pt>
                <c:pt idx="11">
                  <c:v>95.018280122548404</c:v>
                </c:pt>
                <c:pt idx="12">
                  <c:v>102.28109733708494</c:v>
                </c:pt>
                <c:pt idx="13">
                  <c:v>109.53132692294135</c:v>
                </c:pt>
                <c:pt idx="14">
                  <c:v>116.76872654041483</c:v>
                </c:pt>
                <c:pt idx="15">
                  <c:v>123.99309665182025</c:v>
                </c:pt>
              </c:numCache>
            </c:numRef>
          </c:xVal>
          <c:yVal>
            <c:numRef>
              <c:f>Упражнение!$C$90:$C$110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30-4962-9B53-F3495E0C2214}"/>
            </c:ext>
          </c:extLst>
        </c:ser>
        <c:ser>
          <c:idx val="3"/>
          <c:order val="2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Упражнение!$M$90:$M$110</c:f>
              <c:numCache>
                <c:formatCode>0.00</c:formatCode>
                <c:ptCount val="21"/>
                <c:pt idx="15">
                  <c:v>38.283450826948958</c:v>
                </c:pt>
              </c:numCache>
            </c:numRef>
          </c:xVal>
          <c:yVal>
            <c:numRef>
              <c:f>Упражнение!$C$90:$C$110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30-4962-9B53-F3495E0C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7520"/>
        <c:axId val="304005120"/>
      </c:scatterChart>
      <c:valAx>
        <c:axId val="30430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005120"/>
        <c:crosses val="autoZero"/>
        <c:crossBetween val="midCat"/>
      </c:valAx>
      <c:valAx>
        <c:axId val="304005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09152"/>
        <c:axId val="304009728"/>
      </c:scatterChart>
      <c:valAx>
        <c:axId val="3040091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009728"/>
        <c:crosses val="autoZero"/>
        <c:crossBetween val="midCat"/>
      </c:valAx>
      <c:valAx>
        <c:axId val="3040097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00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11456"/>
        <c:axId val="304012032"/>
      </c:scatterChart>
      <c:valAx>
        <c:axId val="30401145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012032"/>
        <c:crosses val="autoZero"/>
        <c:crossBetween val="midCat"/>
      </c:valAx>
      <c:valAx>
        <c:axId val="304012032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01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11904"/>
        <c:axId val="304612480"/>
      </c:scatterChart>
      <c:valAx>
        <c:axId val="304611904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612480"/>
        <c:crosses val="autoZero"/>
        <c:crossBetween val="midCat"/>
      </c:valAx>
      <c:valAx>
        <c:axId val="304612480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046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455839</xdr:colOff>
      <xdr:row>53</xdr:row>
      <xdr:rowOff>27215</xdr:rowOff>
    </xdr:from>
    <xdr:to>
      <xdr:col>23</xdr:col>
      <xdr:colOff>210911</xdr:colOff>
      <xdr:row>75</xdr:row>
      <xdr:rowOff>61232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176893</xdr:colOff>
      <xdr:row>87</xdr:row>
      <xdr:rowOff>136071</xdr:rowOff>
    </xdr:from>
    <xdr:to>
      <xdr:col>20</xdr:col>
      <xdr:colOff>639535</xdr:colOff>
      <xdr:row>111</xdr:row>
      <xdr:rowOff>47624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ESP_dP_atma"/>
      <definedName name="IPR_PI_sm3dayatm"/>
      <definedName name="IPR_Ql_sm3Day"/>
      <definedName name="MF_dPpipe_atma"/>
      <definedName name="MF_GasFraction_d"/>
      <definedName name="MF_SeparNat_d"/>
      <definedName name="MF_SeparTotal_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O183"/>
  <sheetViews>
    <sheetView tabSelected="1" topLeftCell="B86" zoomScale="85" zoomScaleNormal="85" workbookViewId="0">
      <selection activeCell="H101" sqref="H101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307</v>
      </c>
    </row>
    <row r="6" spans="1:6" x14ac:dyDescent="0.2">
      <c r="A6" s="52" t="s">
        <v>308</v>
      </c>
    </row>
    <row r="7" spans="1:6" outlineLevel="1" x14ac:dyDescent="0.2">
      <c r="B7" s="53" t="s">
        <v>309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310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311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312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313</v>
      </c>
      <c r="C11" s="54">
        <v>150</v>
      </c>
      <c r="D11" s="53" t="s">
        <v>291</v>
      </c>
    </row>
    <row r="12" spans="1:6" outlineLevel="1" x14ac:dyDescent="0.2">
      <c r="B12" s="53" t="s">
        <v>314</v>
      </c>
      <c r="C12" s="54">
        <v>120</v>
      </c>
      <c r="D12" s="53" t="s">
        <v>292</v>
      </c>
    </row>
    <row r="13" spans="1:6" ht="38.25" outlineLevel="1" x14ac:dyDescent="0.2">
      <c r="B13" s="57" t="s">
        <v>315</v>
      </c>
      <c r="C13" s="54"/>
      <c r="D13" s="53" t="s">
        <v>289</v>
      </c>
    </row>
    <row r="14" spans="1:6" outlineLevel="1" x14ac:dyDescent="0.2">
      <c r="B14" s="57" t="s">
        <v>139</v>
      </c>
      <c r="C14" s="54">
        <v>22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316</v>
      </c>
      <c r="B16" s="59"/>
      <c r="C16" s="60"/>
    </row>
    <row r="17" spans="1:4" outlineLevel="1" x14ac:dyDescent="0.2">
      <c r="B17" s="57" t="s">
        <v>317</v>
      </c>
      <c r="C17" s="54">
        <v>2000</v>
      </c>
      <c r="D17" s="53" t="s">
        <v>294</v>
      </c>
    </row>
    <row r="18" spans="1:4" outlineLevel="1" x14ac:dyDescent="0.2">
      <c r="B18" s="57" t="s">
        <v>318</v>
      </c>
      <c r="C18" s="54">
        <v>0</v>
      </c>
      <c r="D18" s="53" t="s">
        <v>294</v>
      </c>
    </row>
    <row r="19" spans="1:4" outlineLevel="1" x14ac:dyDescent="0.2">
      <c r="B19" s="57" t="s">
        <v>319</v>
      </c>
      <c r="C19" s="54">
        <v>1500</v>
      </c>
      <c r="D19" s="53" t="s">
        <v>294</v>
      </c>
    </row>
    <row r="20" spans="1:4" outlineLevel="1" x14ac:dyDescent="0.2">
      <c r="B20" s="57" t="s">
        <v>320</v>
      </c>
      <c r="C20" s="54">
        <v>125</v>
      </c>
      <c r="D20" s="53" t="s">
        <v>295</v>
      </c>
    </row>
    <row r="21" spans="1:4" outlineLevel="1" x14ac:dyDescent="0.2">
      <c r="B21" s="57" t="s">
        <v>321</v>
      </c>
      <c r="C21" s="54">
        <v>73</v>
      </c>
      <c r="D21" s="53" t="s">
        <v>295</v>
      </c>
    </row>
    <row r="22" spans="1:4" outlineLevel="1" x14ac:dyDescent="0.2">
      <c r="B22" s="57" t="s">
        <v>322</v>
      </c>
      <c r="C22" s="54">
        <v>62</v>
      </c>
      <c r="D22" s="53" t="s">
        <v>295</v>
      </c>
    </row>
    <row r="23" spans="1:4" ht="25.5" outlineLevel="1" x14ac:dyDescent="0.2">
      <c r="B23" s="57" t="s">
        <v>323</v>
      </c>
      <c r="C23" s="54">
        <v>100</v>
      </c>
      <c r="D23" s="53" t="s">
        <v>295</v>
      </c>
    </row>
    <row r="24" spans="1:4" ht="25.5" outlineLevel="1" x14ac:dyDescent="0.2">
      <c r="B24" s="57" t="s">
        <v>324</v>
      </c>
      <c r="C24" s="54">
        <v>20</v>
      </c>
      <c r="D24" s="53" t="s">
        <v>291</v>
      </c>
    </row>
    <row r="25" spans="1:4" outlineLevel="1" x14ac:dyDescent="0.2">
      <c r="B25" s="57" t="s">
        <v>325</v>
      </c>
      <c r="C25" s="54">
        <v>80</v>
      </c>
      <c r="D25" s="53" t="s">
        <v>291</v>
      </c>
    </row>
    <row r="26" spans="1:4" ht="25.5" outlineLevel="1" x14ac:dyDescent="0.2">
      <c r="B26" s="57" t="s">
        <v>326</v>
      </c>
      <c r="C26" s="54">
        <v>80</v>
      </c>
      <c r="D26" s="53" t="s">
        <v>292</v>
      </c>
    </row>
    <row r="27" spans="1:4" outlineLevel="1" x14ac:dyDescent="0.2">
      <c r="B27" s="57" t="s">
        <v>327</v>
      </c>
      <c r="C27" s="54">
        <v>70</v>
      </c>
      <c r="D27" s="53" t="s">
        <v>291</v>
      </c>
    </row>
    <row r="28" spans="1:4" outlineLevel="1" x14ac:dyDescent="0.2">
      <c r="B28" s="57" t="s">
        <v>328</v>
      </c>
      <c r="C28" s="54">
        <v>50</v>
      </c>
      <c r="D28" s="53" t="s">
        <v>296</v>
      </c>
    </row>
    <row r="29" spans="1:4" outlineLevel="1" x14ac:dyDescent="0.2">
      <c r="B29" s="57" t="s">
        <v>329</v>
      </c>
      <c r="C29" s="54">
        <v>150</v>
      </c>
      <c r="D29" s="53" t="s">
        <v>291</v>
      </c>
    </row>
    <row r="31" spans="1:4" x14ac:dyDescent="0.2">
      <c r="A31" s="52" t="s">
        <v>330</v>
      </c>
    </row>
    <row r="32" spans="1:4" outlineLevel="1" x14ac:dyDescent="0.2">
      <c r="B32" s="53" t="s">
        <v>331</v>
      </c>
      <c r="C32" s="54">
        <v>80</v>
      </c>
      <c r="D32" s="53" t="s">
        <v>296</v>
      </c>
    </row>
    <row r="33" spans="1:4" outlineLevel="1" x14ac:dyDescent="0.2">
      <c r="B33" s="53" t="s">
        <v>332</v>
      </c>
      <c r="C33" s="54">
        <v>2000</v>
      </c>
      <c r="D33" s="53" t="s">
        <v>297</v>
      </c>
    </row>
    <row r="34" spans="1:4" outlineLevel="1" x14ac:dyDescent="0.2">
      <c r="B34" s="53" t="s">
        <v>172</v>
      </c>
      <c r="C34" s="54">
        <v>50</v>
      </c>
      <c r="D34" s="53" t="s">
        <v>298</v>
      </c>
    </row>
    <row r="35" spans="1:4" outlineLevel="1" x14ac:dyDescent="0.2">
      <c r="B35" s="53" t="s">
        <v>333</v>
      </c>
      <c r="C35" s="61">
        <f>ESP_IDbyRate(Q_ESP_)</f>
        <v>1006</v>
      </c>
      <c r="D35" s="53"/>
    </row>
    <row r="36" spans="1:4" outlineLevel="1" x14ac:dyDescent="0.2">
      <c r="B36" s="53" t="s">
        <v>334</v>
      </c>
      <c r="C36" s="61" t="str">
        <f>ESP_name(C35)</f>
        <v>ВНН5-80</v>
      </c>
      <c r="D36" s="53"/>
    </row>
    <row r="37" spans="1:4" outlineLevel="1" x14ac:dyDescent="0.2">
      <c r="B37" s="53" t="s">
        <v>299</v>
      </c>
      <c r="C37" s="61">
        <f>ESP_maxRate_m3day(Freq_,PumpID_)*1</f>
        <v>175</v>
      </c>
      <c r="D37" s="53"/>
    </row>
    <row r="38" spans="1:4" outlineLevel="1" x14ac:dyDescent="0.2">
      <c r="B38" s="53" t="s">
        <v>335</v>
      </c>
      <c r="C38" s="61">
        <f>INT(Head_ESP_/ESP_head_m(Q_ESP_,1,,PumpID_))</f>
        <v>334</v>
      </c>
      <c r="D38" s="53" t="s">
        <v>300</v>
      </c>
    </row>
    <row r="39" spans="1:4" outlineLevel="1" x14ac:dyDescent="0.2">
      <c r="B39" s="62" t="s">
        <v>336</v>
      </c>
      <c r="C39" s="63">
        <v>0.5</v>
      </c>
    </row>
    <row r="40" spans="1:4" x14ac:dyDescent="0.2">
      <c r="A40" s="52" t="s">
        <v>337</v>
      </c>
    </row>
    <row r="41" spans="1:4" x14ac:dyDescent="0.2">
      <c r="B41" s="53" t="s">
        <v>338</v>
      </c>
      <c r="C41" s="54">
        <v>250</v>
      </c>
      <c r="D41" s="53" t="s">
        <v>291</v>
      </c>
    </row>
    <row r="42" spans="1:4" x14ac:dyDescent="0.2">
      <c r="B42" s="53" t="s">
        <v>339</v>
      </c>
      <c r="C42" s="66">
        <f>[1]!IPR_PI_sm3dayatm(Q_,Pwf_,Pres_,wc_,Pb_)</f>
        <v>0.30594092089479125</v>
      </c>
      <c r="D42" s="53" t="s">
        <v>301</v>
      </c>
    </row>
    <row r="43" spans="1:4" x14ac:dyDescent="0.2">
      <c r="B43" s="53" t="s">
        <v>340</v>
      </c>
      <c r="C43" s="54">
        <v>3</v>
      </c>
      <c r="D43" s="53" t="s">
        <v>302</v>
      </c>
    </row>
    <row r="45" spans="1:4" x14ac:dyDescent="0.2">
      <c r="B45" s="53" t="s">
        <v>303</v>
      </c>
      <c r="C45" s="54">
        <v>20</v>
      </c>
      <c r="D45" s="53"/>
    </row>
    <row r="48" spans="1:4" outlineLevel="1" x14ac:dyDescent="0.2"/>
    <row r="49" spans="1:15" x14ac:dyDescent="0.2">
      <c r="A49" t="s">
        <v>355</v>
      </c>
    </row>
    <row r="50" spans="1:15" outlineLevel="1" x14ac:dyDescent="0.2">
      <c r="A50" t="s">
        <v>344</v>
      </c>
    </row>
    <row r="51" spans="1:15" outlineLevel="1" x14ac:dyDescent="0.2"/>
    <row r="52" spans="1:15" outlineLevel="1" x14ac:dyDescent="0.2">
      <c r="C52" t="s">
        <v>345</v>
      </c>
      <c r="D52" s="67">
        <v>0</v>
      </c>
    </row>
    <row r="53" spans="1:15" outlineLevel="1" x14ac:dyDescent="0.2"/>
    <row r="54" spans="1:15" ht="51" outlineLevel="1" x14ac:dyDescent="0.2">
      <c r="C54" s="68" t="s">
        <v>305</v>
      </c>
      <c r="D54" s="68" t="s">
        <v>304</v>
      </c>
      <c r="E54" s="69"/>
      <c r="F54" s="69" t="s">
        <v>343</v>
      </c>
      <c r="G54" s="69" t="s">
        <v>353</v>
      </c>
      <c r="H54" s="69" t="s">
        <v>342</v>
      </c>
      <c r="I54" s="69" t="s">
        <v>341</v>
      </c>
      <c r="J54" s="69" t="s">
        <v>346</v>
      </c>
      <c r="K54" s="69" t="s">
        <v>345</v>
      </c>
      <c r="L54" s="69" t="s">
        <v>347</v>
      </c>
      <c r="N54" s="69" t="s">
        <v>348</v>
      </c>
      <c r="O54" s="69" t="s">
        <v>349</v>
      </c>
    </row>
    <row r="55" spans="1:15" outlineLevel="1" x14ac:dyDescent="0.2">
      <c r="C55" s="70">
        <v>0</v>
      </c>
      <c r="D55" s="70">
        <f t="shared" ref="D55:D74" si="0">D56-Tgrad*(C56-C55)/100</f>
        <v>60</v>
      </c>
      <c r="F55" s="64"/>
      <c r="I55" s="64"/>
      <c r="J55" s="71">
        <f>Pbuf_</f>
        <v>20</v>
      </c>
      <c r="N55" s="64">
        <f>[1]!MF_dPpipe_atma(Q_,wc_,C56,C55,N56,D56,,Dtub_,,gamma_gas_,gamma_oil_,,Rsb_,Rp_,Pb_,Tres_,,,,$H$70,$F$70,$D$70)</f>
        <v>20.337772900131444</v>
      </c>
      <c r="O55" s="64"/>
    </row>
    <row r="56" spans="1:15" outlineLevel="1" x14ac:dyDescent="0.2">
      <c r="C56" s="70">
        <f t="shared" ref="C56:C75" si="1">C55+Hmes_/N_</f>
        <v>100</v>
      </c>
      <c r="D56" s="70">
        <f t="shared" si="0"/>
        <v>63</v>
      </c>
      <c r="F56" s="64"/>
      <c r="I56" s="64"/>
      <c r="J56" s="112">
        <f>[1]!MF_dPpipe_atma(Q_,wc_,C55,C56,J55,D55,,Dtub_,,gamma_gas_,gamma_oil_,,Rsb_,Rp_,Pb_,Tres_,,,,$H$70,$F$70,$D$70)</f>
        <v>25.912487925111527</v>
      </c>
      <c r="N56" s="64">
        <f>[1]!MF_dPpipe_atma(Q_,wc_,C57,C56,N57,D57,,Dtub_,,gamma_gas_,gamma_oil_,,Rsb_,Rp_,Pb_,Tres_,,,,$H$70,$F$70,$D$70)</f>
        <v>26.237170786288186</v>
      </c>
      <c r="O56" s="64"/>
    </row>
    <row r="57" spans="1:15" outlineLevel="1" x14ac:dyDescent="0.2">
      <c r="C57" s="70">
        <f t="shared" si="1"/>
        <v>200</v>
      </c>
      <c r="D57" s="70">
        <f t="shared" si="0"/>
        <v>66</v>
      </c>
      <c r="F57" s="64"/>
      <c r="I57" s="64"/>
      <c r="J57" s="112">
        <f>[1]!MF_dPpipe_atma(Q_,wc_,C56,C57,J56,D56,,Dtub_,,gamma_gas_,gamma_oil_,,Rsb_,Rp_,Pb_,Tres_,,,,$H$70,$F$70,$D$70)</f>
        <v>32.18382385191488</v>
      </c>
      <c r="N57" s="64">
        <f>[1]!MF_dPpipe_atma(Q_,wc_,C58,C57,N58,D58,,Dtub_,,gamma_gas_,gamma_oil_,,Rsb_,Rp_,Pb_,Tres_,,,,$H$70,$F$70,$D$70)</f>
        <v>32.487811729663996</v>
      </c>
      <c r="O57" s="64"/>
    </row>
    <row r="58" spans="1:15" outlineLevel="1" x14ac:dyDescent="0.2">
      <c r="C58" s="70">
        <f t="shared" si="1"/>
        <v>300</v>
      </c>
      <c r="D58" s="70">
        <f t="shared" si="0"/>
        <v>69</v>
      </c>
      <c r="F58" s="64"/>
      <c r="I58" s="64"/>
      <c r="J58" s="112">
        <f>[1]!MF_dPpipe_atma(Q_,wc_,C57,C58,J57,D57,,Dtub_,,gamma_gas_,gamma_oil_,,Rsb_,Rp_,Pb_,Tres_,,,,$H$70,$F$70,$D$70)</f>
        <v>38.757654810388196</v>
      </c>
      <c r="N58" s="64">
        <f>[1]!MF_dPpipe_atma(Q_,wc_,C59,C58,N59,D59,,Dtub_,,gamma_gas_,gamma_oil_,,Rsb_,Rp_,Pb_,Tres_,,,,$H$70,$F$70,$D$70)</f>
        <v>39.035864232984672</v>
      </c>
      <c r="O58" s="64"/>
    </row>
    <row r="59" spans="1:15" outlineLevel="1" x14ac:dyDescent="0.2">
      <c r="C59" s="70">
        <f t="shared" si="1"/>
        <v>400</v>
      </c>
      <c r="D59" s="70">
        <f t="shared" si="0"/>
        <v>72</v>
      </c>
      <c r="F59" s="64"/>
      <c r="I59" s="64"/>
      <c r="J59" s="112">
        <f>[1]!MF_dPpipe_atma(Q_,wc_,C58,C59,J58,D58,,Dtub_,,gamma_gas_,gamma_oil_,,Rsb_,Rp_,Pb_,Tres_,,,,$H$70,$F$70,$D$70)</f>
        <v>45.7278168815144</v>
      </c>
      <c r="N59" s="64">
        <f>[1]!MF_dPpipe_atma(Q_,wc_,C60,C59,N60,D60,,Dtub_,,gamma_gas_,gamma_oil_,,Rsb_,Rp_,Pb_,Tres_,,,,$H$70,$F$70,$D$70)</f>
        <v>45.974881810084298</v>
      </c>
      <c r="O59" s="64"/>
    </row>
    <row r="60" spans="1:15" outlineLevel="1" x14ac:dyDescent="0.2">
      <c r="C60" s="70">
        <f t="shared" si="1"/>
        <v>500</v>
      </c>
      <c r="D60" s="70">
        <f t="shared" si="0"/>
        <v>75</v>
      </c>
      <c r="F60" s="64"/>
      <c r="I60" s="64"/>
      <c r="J60" s="112">
        <f>[1]!MF_dPpipe_atma(Q_,wc_,C59,C60,J59,D59,,Dtub_,,gamma_gas_,gamma_oil_,,Rsb_,Rp_,Pb_,Tres_,,,,$H$70,$F$70,$D$70)</f>
        <v>53.001414008801902</v>
      </c>
      <c r="N60" s="64">
        <f>[1]!MF_dPpipe_atma(Q_,wc_,C61,C60,N61,D61,,Dtub_,,gamma_gas_,gamma_oil_,,Rsb_,Rp_,Pb_,Tres_,,,,$H$70,$F$70,$D$70)</f>
        <v>53.218080555182681</v>
      </c>
      <c r="O60" s="64"/>
    </row>
    <row r="61" spans="1:15" outlineLevel="1" x14ac:dyDescent="0.2">
      <c r="C61" s="70">
        <f t="shared" si="1"/>
        <v>600</v>
      </c>
      <c r="D61" s="70">
        <f t="shared" si="0"/>
        <v>78</v>
      </c>
      <c r="F61" s="64"/>
      <c r="I61" s="64"/>
      <c r="J61" s="112">
        <f>[1]!MF_dPpipe_atma(Q_,wc_,C60,C61,J60,D60,,Dtub_,,gamma_gas_,gamma_oil_,,Rsb_,Rp_,Pb_,Tres_,,,,$H$70,$F$70,$D$70)</f>
        <v>60.324197065923506</v>
      </c>
      <c r="N61" s="64">
        <f>[1]!MF_dPpipe_atma(Q_,wc_,C62,C61,N62,D62,,Dtub_,,gamma_gas_,gamma_oil_,,Rsb_,Rp_,Pb_,Tres_,,,,$H$70,$F$70,$D$70)</f>
        <v>60.521964627419756</v>
      </c>
      <c r="O61" s="64"/>
    </row>
    <row r="62" spans="1:15" outlineLevel="1" x14ac:dyDescent="0.2">
      <c r="C62" s="70">
        <f t="shared" si="1"/>
        <v>700</v>
      </c>
      <c r="D62" s="70">
        <f t="shared" si="0"/>
        <v>81</v>
      </c>
      <c r="F62" s="64"/>
      <c r="I62" s="64"/>
      <c r="J62" s="112">
        <f>[1]!MF_dPpipe_atma(Q_,wc_,C61,C62,J61,D61,,Dtub_,,gamma_gas_,gamma_oil_,,Rsb_,Rp_,Pb_,Tres_,,,,$H$70,$F$70,$D$70)</f>
        <v>67.638194430265258</v>
      </c>
      <c r="N62" s="64">
        <f>[1]!MF_dPpipe_atma(Q_,wc_,C63,C62,N63,D63,,Dtub_,,gamma_gas_,gamma_oil_,,Rsb_,Rp_,Pb_,Tres_,,,,$H$70,$F$70,$D$70)</f>
        <v>67.817455304980584</v>
      </c>
      <c r="O62" s="64"/>
    </row>
    <row r="63" spans="1:15" outlineLevel="1" x14ac:dyDescent="0.2">
      <c r="C63" s="70">
        <f t="shared" si="1"/>
        <v>800</v>
      </c>
      <c r="D63" s="70">
        <f t="shared" si="0"/>
        <v>84</v>
      </c>
      <c r="F63" s="64"/>
      <c r="I63" s="64"/>
      <c r="J63" s="112">
        <f>[1]!MF_dPpipe_atma(Q_,wc_,C62,C63,J62,D62,,Dtub_,,gamma_gas_,gamma_oil_,,Rsb_,Rp_,Pb_,Tres_,,,,$H$70,$F$70,$D$70)</f>
        <v>74.942266849534903</v>
      </c>
      <c r="N63" s="64">
        <f>[1]!MF_dPpipe_atma(Q_,wc_,C64,C63,N64,D64,,Dtub_,,gamma_gas_,gamma_oil_,,Rsb_,Rp_,Pb_,Tres_,,,,$H$70,$F$70,$D$70)</f>
        <v>75.103332768514463</v>
      </c>
      <c r="O63" s="64"/>
    </row>
    <row r="64" spans="1:15" outlineLevel="1" x14ac:dyDescent="0.2">
      <c r="C64" s="70">
        <f t="shared" si="1"/>
        <v>900</v>
      </c>
      <c r="D64" s="70">
        <f t="shared" si="0"/>
        <v>87</v>
      </c>
      <c r="F64" s="64"/>
      <c r="I64" s="64"/>
      <c r="J64" s="112">
        <f>[1]!MF_dPpipe_atma(Q_,wc_,C63,C64,J63,D63,,Dtub_,,gamma_gas_,gamma_oil_,,Rsb_,Rp_,Pb_,Tres_,,,,$H$70,$F$70,$D$70)</f>
        <v>82.235589552148454</v>
      </c>
      <c r="N64" s="64">
        <f>[1]!MF_dPpipe_atma(Q_,wc_,C65,C64,N65,D65,,Dtub_,,gamma_gas_,gamma_oil_,,Rsb_,Rp_,Pb_,Tres_,,,,$H$70,$F$70,$D$70)</f>
        <v>82.37871281355163</v>
      </c>
      <c r="O64" s="64"/>
    </row>
    <row r="65" spans="2:15" outlineLevel="1" x14ac:dyDescent="0.2">
      <c r="C65" s="70">
        <f t="shared" si="1"/>
        <v>1000</v>
      </c>
      <c r="D65" s="70">
        <f t="shared" si="0"/>
        <v>90</v>
      </c>
      <c r="F65" s="64"/>
      <c r="I65" s="64"/>
      <c r="J65" s="112">
        <f>[1]!MF_dPpipe_atma(Q_,wc_,C64,C65,J64,D64,,Dtub_,,gamma_gas_,gamma_oil_,,Rsb_,Rp_,Pb_,Tres_,,,,$H$70,$F$70,$D$70)</f>
        <v>89.517545269594507</v>
      </c>
      <c r="N65" s="64">
        <f>[1]!MF_dPpipe_atma(Q_,wc_,C66,C65,N66,D66,,Dtub_,,gamma_gas_,gamma_oil_,,Rsb_,Rp_,Pb_,Tres_,,,,$H$70,$F$70,$D$70)</f>
        <v>89.642933195119511</v>
      </c>
      <c r="O65" s="64"/>
    </row>
    <row r="66" spans="2:15" outlineLevel="1" x14ac:dyDescent="0.2">
      <c r="C66" s="70">
        <f t="shared" si="1"/>
        <v>1100</v>
      </c>
      <c r="D66" s="70">
        <f t="shared" si="0"/>
        <v>93</v>
      </c>
      <c r="F66" s="64"/>
      <c r="I66" s="64"/>
      <c r="J66" s="112">
        <f>[1]!MF_dPpipe_atma(Q_,wc_,C65,C66,J65,D65,,Dtub_,,gamma_gas_,gamma_oil_,,Rsb_,Rp_,Pb_,Tres_,,,,$H$70,$F$70,$D$70)</f>
        <v>96.787659311555998</v>
      </c>
      <c r="N66" s="64">
        <f>[1]!MF_dPpipe_atma(Q_,wc_,C67,C66,N67,D67,,Dtub_,,gamma_gas_,gamma_oil_,,Rsb_,Rp_,Pb_,Tres_,,,,$H$70,$F$70,$D$70)</f>
        <v>96.895484451939836</v>
      </c>
      <c r="O66" s="64"/>
    </row>
    <row r="67" spans="2:15" outlineLevel="1" x14ac:dyDescent="0.2">
      <c r="C67" s="70">
        <f t="shared" si="1"/>
        <v>1200</v>
      </c>
      <c r="D67" s="70">
        <f t="shared" si="0"/>
        <v>96</v>
      </c>
      <c r="F67" s="64"/>
      <c r="I67" s="64"/>
      <c r="J67" s="112">
        <f>[1]!MF_dPpipe_atma(Q_,wc_,C66,C67,J66,D66,,Dtub_,,gamma_gas_,gamma_oil_,,Rsb_,Rp_,Pb_,Tres_,,,,$H$70,$F$70,$D$70)</f>
        <v>104.04555829903281</v>
      </c>
      <c r="N67" s="64">
        <f>[1]!MF_dPpipe_atma(Q_,wc_,C68,C67,N68,D68,,Dtub_,,gamma_gas_,gamma_oil_,,Rsb_,Rp_,Pb_,Tres_,,,,$H$70,$F$70,$D$70)</f>
        <v>104.13596583501116</v>
      </c>
      <c r="O67" s="64"/>
    </row>
    <row r="68" spans="2:15" outlineLevel="1" x14ac:dyDescent="0.2">
      <c r="C68" s="70">
        <f t="shared" si="1"/>
        <v>1300</v>
      </c>
      <c r="D68" s="70">
        <f t="shared" si="0"/>
        <v>99</v>
      </c>
      <c r="F68" s="64"/>
      <c r="I68" s="64"/>
      <c r="J68" s="112">
        <f>[1]!MF_dPpipe_atma(Q_,wc_,C67,C68,J67,D67,,Dtub_,,gamma_gas_,gamma_oil_,,Rsb_,Rp_,Pb_,Tres_,,,,$H$70,$F$70,$D$70)</f>
        <v>111.29094291060836</v>
      </c>
      <c r="N68" s="64">
        <f>[1]!MF_dPpipe_atma(Q_,wc_,C69,C68,N69,D69,,Dtub_,,gamma_gas_,gamma_oil_,,Rsb_,Rp_,Pb_,Tres_,,,,$H$70,$F$70,$D$70)</f>
        <v>111.36405614552461</v>
      </c>
      <c r="O68" s="64"/>
    </row>
    <row r="69" spans="2:15" outlineLevel="1" x14ac:dyDescent="0.2">
      <c r="C69" s="70">
        <f t="shared" si="1"/>
        <v>1400</v>
      </c>
      <c r="D69" s="70">
        <f t="shared" si="0"/>
        <v>102</v>
      </c>
      <c r="F69" s="64"/>
      <c r="I69" s="64"/>
      <c r="J69" s="112">
        <f>[1]!MF_dPpipe_atma(Q_,wc_,C68,C69,J68,D68,,Dtub_,,gamma_gas_,gamma_oil_,,Rsb_,Rp_,Pb_,Tres_,,,,$H$70,$F$70,$D$70)</f>
        <v>118.52356929261312</v>
      </c>
      <c r="N69" s="64">
        <f>[1]!MF_dPpipe_atma(Q_,wc_,C70,C69,N70,D70,,Dtub_,,gamma_gas_,gamma_oil_,,Rsb_,Rp_,Pb_,Tres_,,,,$H$70,$F$70,$D$70)</f>
        <v>118.57949381117588</v>
      </c>
      <c r="O69" s="64"/>
    </row>
    <row r="70" spans="2:15" outlineLevel="1" x14ac:dyDescent="0.2">
      <c r="B70" t="s">
        <v>350</v>
      </c>
      <c r="C70" s="70">
        <f t="shared" si="1"/>
        <v>1500</v>
      </c>
      <c r="D70" s="70">
        <f t="shared" si="0"/>
        <v>105</v>
      </c>
      <c r="F70" s="112">
        <f>[1]!MF_dPpipe_atma(Q_,wc_,C71,C70,F71,D71,,Dtub_,,gamma_gas_,gamma_oil_,,Rsb_,Rp_,Pb_,Tres_)</f>
        <v>45.103800507038635</v>
      </c>
      <c r="G70" s="114">
        <f>[1]!MF_SeparNat_d(F70,Q_,wc_,D70,Dtub_,Dcas_,gamma_gas_,gamma_oil_,,Rsb_,Rp_,Pb_,Tres_)</f>
        <v>0.79105107669093222</v>
      </c>
      <c r="H70" s="114">
        <f>[1]!MF_SeparTotal_d(G70,KsepGasSep_)</f>
        <v>0.89552553834546611</v>
      </c>
      <c r="I70" s="115">
        <f>[1]!MF_GasFraction_d(F70,D70,wc_,gamma_gas_,gamma_oil_,,Rsb_,Rp_,Pb_,Tres_,,,,$H$70,$F$70,$D$70)</f>
        <v>0.10790390719462188</v>
      </c>
      <c r="J70" s="112">
        <f>[1]!MF_dPpipe_atma(Q_,wc_,C69,C70,J69,D69,,Dtub_,,gamma_gas_,gamma_oil_,,Rsb_,Rp_,Pb_,Tres_,,,,$H$70,$F$70,$D$70)</f>
        <v>125.743236023785</v>
      </c>
      <c r="K70" s="72">
        <v>0.47499999999999998</v>
      </c>
      <c r="L70" s="114">
        <f>[1]!ESP_dP_atma(J70,Q_,wc_,NumStage_,Freq_,PumpID_,gamma_gas_,gamma_oil_,,Rsb_,Rp_,Pb_,Tres_,,,,H70,J70,D70,D70,,,,K70)</f>
        <v>80.678262389365003</v>
      </c>
      <c r="N70" s="113">
        <f>L70+F70</f>
        <v>125.78206289640363</v>
      </c>
      <c r="O70" s="72">
        <f>F70</f>
        <v>45.103800507038635</v>
      </c>
    </row>
    <row r="71" spans="2:15" outlineLevel="1" x14ac:dyDescent="0.2">
      <c r="C71" s="70">
        <f t="shared" si="1"/>
        <v>1600</v>
      </c>
      <c r="D71" s="70">
        <f t="shared" si="0"/>
        <v>108</v>
      </c>
      <c r="E71" s="64"/>
      <c r="F71" s="112">
        <f>[1]!MF_dPpipe_atma(Q_,wc_,C72,C71,F72,D72,,Dtub_,,gamma_gas_,gamma_oil_,,Rsb_,Rp_,Pb_,Tres_)</f>
        <v>49.843439708893321</v>
      </c>
      <c r="I71" s="64"/>
      <c r="J71" s="64"/>
    </row>
    <row r="72" spans="2:15" outlineLevel="1" x14ac:dyDescent="0.2">
      <c r="C72" s="70">
        <f t="shared" si="1"/>
        <v>1700</v>
      </c>
      <c r="D72" s="70">
        <f t="shared" si="0"/>
        <v>111</v>
      </c>
      <c r="E72" s="64"/>
      <c r="F72" s="112">
        <f>[1]!MF_dPpipe_atma(Q_,wc_,C73,C72,F73,D73,,Dtub_,,gamma_gas_,gamma_oil_,,Rsb_,Rp_,Pb_,Tres_)</f>
        <v>54.717070524554195</v>
      </c>
      <c r="I72" s="64"/>
      <c r="J72" s="64"/>
    </row>
    <row r="73" spans="2:15" outlineLevel="1" x14ac:dyDescent="0.2">
      <c r="C73" s="70">
        <f t="shared" si="1"/>
        <v>1800</v>
      </c>
      <c r="D73" s="70">
        <f t="shared" si="0"/>
        <v>114</v>
      </c>
      <c r="E73" s="64"/>
      <c r="F73" s="112">
        <f>[1]!MF_dPpipe_atma(Q_,wc_,C74,C73,F74,D74,,Dtub_,,gamma_gas_,gamma_oil_,,Rsb_,Rp_,Pb_,Tres_)</f>
        <v>59.709930740760477</v>
      </c>
      <c r="I73" s="64"/>
      <c r="J73" s="64"/>
    </row>
    <row r="74" spans="2:15" outlineLevel="1" x14ac:dyDescent="0.2">
      <c r="C74" s="70">
        <f t="shared" si="1"/>
        <v>1900</v>
      </c>
      <c r="D74" s="70">
        <f t="shared" si="0"/>
        <v>117</v>
      </c>
      <c r="E74" s="64"/>
      <c r="F74" s="112">
        <f>[1]!MF_dPpipe_atma(Q_,wc_,C75,C74,F75,D75,,Dtub_,,gamma_gas_,gamma_oil_,,Rsb_,Rp_,Pb_,Tres_)</f>
        <v>64.808396349388133</v>
      </c>
      <c r="I74" s="64"/>
      <c r="J74" s="64"/>
    </row>
    <row r="75" spans="2:15" outlineLevel="1" x14ac:dyDescent="0.2">
      <c r="C75" s="70">
        <f t="shared" si="1"/>
        <v>2000</v>
      </c>
      <c r="D75" s="70">
        <f>Tres_</f>
        <v>120</v>
      </c>
      <c r="E75" s="64"/>
      <c r="F75" s="73">
        <f>Pwf_</f>
        <v>70</v>
      </c>
      <c r="I75" s="64"/>
      <c r="J75" s="64"/>
    </row>
    <row r="76" spans="2:15" outlineLevel="1" x14ac:dyDescent="0.2"/>
    <row r="77" spans="2:15" outlineLevel="1" x14ac:dyDescent="0.2"/>
    <row r="78" spans="2:15" outlineLevel="1" x14ac:dyDescent="0.2"/>
    <row r="79" spans="2:15" outlineLevel="1" x14ac:dyDescent="0.2"/>
    <row r="80" spans="2:15" outlineLevel="1" x14ac:dyDescent="0.2"/>
    <row r="81" spans="1:13" x14ac:dyDescent="0.2">
      <c r="A81" t="s">
        <v>354</v>
      </c>
    </row>
    <row r="82" spans="1:13" outlineLevel="1" x14ac:dyDescent="0.2">
      <c r="A82" t="s">
        <v>351</v>
      </c>
    </row>
    <row r="83" spans="1:13" outlineLevel="1" x14ac:dyDescent="0.2"/>
    <row r="84" spans="1:13" outlineLevel="1" x14ac:dyDescent="0.2">
      <c r="C84" t="s">
        <v>352</v>
      </c>
      <c r="D84" s="67">
        <v>62</v>
      </c>
    </row>
    <row r="85" spans="1:13" outlineLevel="1" x14ac:dyDescent="0.2">
      <c r="C85" t="s">
        <v>15</v>
      </c>
      <c r="D85" s="74">
        <f>[1]!IPR_Ql_sm3Day(PI_,Pres_,Pwf1_,wc_,Pb_)</f>
        <v>51.305614263086888</v>
      </c>
    </row>
    <row r="86" spans="1:13" outlineLevel="1" x14ac:dyDescent="0.2">
      <c r="C86" t="s">
        <v>172</v>
      </c>
      <c r="D86" s="67">
        <v>55</v>
      </c>
    </row>
    <row r="87" spans="1:13" outlineLevel="1" x14ac:dyDescent="0.2"/>
    <row r="88" spans="1:13" outlineLevel="1" x14ac:dyDescent="0.2"/>
    <row r="89" spans="1:13" ht="51" outlineLevel="1" x14ac:dyDescent="0.2">
      <c r="C89" s="68" t="s">
        <v>305</v>
      </c>
      <c r="D89" s="68" t="s">
        <v>304</v>
      </c>
      <c r="E89" s="69"/>
      <c r="F89" s="69" t="s">
        <v>343</v>
      </c>
      <c r="G89" s="69" t="s">
        <v>353</v>
      </c>
      <c r="H89" s="69" t="s">
        <v>342</v>
      </c>
      <c r="I89" s="69" t="s">
        <v>347</v>
      </c>
      <c r="J89" s="69" t="s">
        <v>341</v>
      </c>
      <c r="K89" s="69" t="s">
        <v>348</v>
      </c>
      <c r="L89" s="69"/>
      <c r="M89" s="69" t="s">
        <v>349</v>
      </c>
    </row>
    <row r="90" spans="1:13" outlineLevel="1" x14ac:dyDescent="0.2">
      <c r="C90" s="70">
        <v>0</v>
      </c>
      <c r="D90" s="70">
        <f t="shared" ref="D90:D109" si="2">D91-Tgrad*(C91-C90)/100</f>
        <v>60</v>
      </c>
      <c r="E90" s="64"/>
      <c r="F90" s="64"/>
      <c r="K90" s="112">
        <f>[1]!MF_dPpipe_atma(Q_,wc_,C91,C90,K91,D91,,Dtub_,,gamma_gas_,gamma_oil_,,Rsb_,Rp_,Pb_,Tres_,,,,$H$105,$F$105,$D$104)</f>
        <v>17.942029386802961</v>
      </c>
      <c r="L90" s="64"/>
      <c r="M90" s="64"/>
    </row>
    <row r="91" spans="1:13" outlineLevel="1" x14ac:dyDescent="0.2">
      <c r="C91" s="70">
        <f t="shared" ref="C91:C110" si="3">C90+Hmes_/N_</f>
        <v>100</v>
      </c>
      <c r="D91" s="70">
        <f t="shared" si="2"/>
        <v>63</v>
      </c>
      <c r="E91" s="64"/>
      <c r="F91" s="64"/>
      <c r="K91" s="112">
        <f>[1]!MF_dPpipe_atma(Q_,wc_,C92,C91,K92,D92,,Dtub_,,gamma_gas_,gamma_oil_,,Rsb_,Rp_,Pb_,Tres_,,,,$H$105,$F$105,$D$104)</f>
        <v>23.848482287693571</v>
      </c>
      <c r="L91" s="64"/>
      <c r="M91" s="64"/>
    </row>
    <row r="92" spans="1:13" outlineLevel="1" x14ac:dyDescent="0.2">
      <c r="C92" s="70">
        <f t="shared" si="3"/>
        <v>200</v>
      </c>
      <c r="D92" s="70">
        <f t="shared" si="2"/>
        <v>66</v>
      </c>
      <c r="E92" s="64"/>
      <c r="F92" s="64"/>
      <c r="K92" s="112">
        <f>[1]!MF_dPpipe_atma(Q_,wc_,C93,C92,K93,D93,,Dtub_,,gamma_gas_,gamma_oil_,,Rsb_,Rp_,Pb_,Tres_,,,,$H$105,$F$105,$D$104)</f>
        <v>30.14374055563027</v>
      </c>
      <c r="L92" s="64"/>
      <c r="M92" s="64"/>
    </row>
    <row r="93" spans="1:13" outlineLevel="1" x14ac:dyDescent="0.2">
      <c r="C93" s="70">
        <f t="shared" si="3"/>
        <v>300</v>
      </c>
      <c r="D93" s="70">
        <f t="shared" si="2"/>
        <v>69</v>
      </c>
      <c r="E93" s="64"/>
      <c r="F93" s="64"/>
      <c r="K93" s="112">
        <f>[1]!MF_dPpipe_atma(Q_,wc_,C94,C93,K94,D94,,Dtub_,,gamma_gas_,gamma_oil_,,Rsb_,Rp_,Pb_,Tres_,,,,$H$105,$F$105,$D$104)</f>
        <v>36.797963848252621</v>
      </c>
      <c r="L93" s="64"/>
      <c r="M93" s="64"/>
    </row>
    <row r="94" spans="1:13" outlineLevel="1" x14ac:dyDescent="0.2">
      <c r="C94" s="70">
        <f t="shared" si="3"/>
        <v>400</v>
      </c>
      <c r="D94" s="70">
        <f t="shared" si="2"/>
        <v>72</v>
      </c>
      <c r="E94" s="64"/>
      <c r="F94" s="64"/>
      <c r="K94" s="112">
        <f>[1]!MF_dPpipe_atma(Q_,wc_,C95,C94,K95,D95,,Dtub_,,gamma_gas_,gamma_oil_,,Rsb_,Rp_,Pb_,Tres_,,,,$H$105,$F$105,$D$104)</f>
        <v>43.87699058076074</v>
      </c>
      <c r="L94" s="64"/>
      <c r="M94" s="64"/>
    </row>
    <row r="95" spans="1:13" outlineLevel="1" x14ac:dyDescent="0.2">
      <c r="C95" s="70">
        <f t="shared" si="3"/>
        <v>500</v>
      </c>
      <c r="D95" s="70">
        <f t="shared" si="2"/>
        <v>75</v>
      </c>
      <c r="E95" s="64"/>
      <c r="F95" s="64"/>
      <c r="K95" s="112">
        <f>[1]!MF_dPpipe_atma(Q_,wc_,C96,C95,K96,D96,,Dtub_,,gamma_gas_,gamma_oil_,,Rsb_,Rp_,Pb_,Tres_,,,,$H$105,$F$105,$D$104)</f>
        <v>51.201142493014103</v>
      </c>
      <c r="L95" s="64"/>
      <c r="M95" s="64"/>
    </row>
    <row r="96" spans="1:13" outlineLevel="1" x14ac:dyDescent="0.2">
      <c r="C96" s="70">
        <f t="shared" si="3"/>
        <v>600</v>
      </c>
      <c r="D96" s="70">
        <f t="shared" si="2"/>
        <v>78</v>
      </c>
      <c r="E96" s="64"/>
      <c r="F96" s="64"/>
      <c r="K96" s="112">
        <f>[1]!MF_dPpipe_atma(Q_,wc_,C97,C96,K97,D97,,Dtub_,,gamma_gas_,gamma_oil_,,Rsb_,Rp_,Pb_,Tres_,,,,$H$105,$F$105,$D$104)</f>
        <v>58.529181495148599</v>
      </c>
      <c r="L96" s="64"/>
      <c r="M96" s="64"/>
    </row>
    <row r="97" spans="2:13" outlineLevel="1" x14ac:dyDescent="0.2">
      <c r="C97" s="70">
        <f t="shared" si="3"/>
        <v>700</v>
      </c>
      <c r="D97" s="70">
        <f t="shared" si="2"/>
        <v>81</v>
      </c>
      <c r="E97" s="64"/>
      <c r="F97" s="64"/>
      <c r="K97" s="112">
        <f>[1]!MF_dPpipe_atma(Q_,wc_,C98,C97,K98,D98,,Dtub_,,gamma_gas_,gamma_oil_,,Rsb_,Rp_,Pb_,Tres_,,,,$H$105,$F$105,$D$104)</f>
        <v>65.84842296020301</v>
      </c>
      <c r="L97" s="64"/>
      <c r="M97" s="64"/>
    </row>
    <row r="98" spans="2:13" outlineLevel="1" x14ac:dyDescent="0.2">
      <c r="C98" s="70">
        <f t="shared" si="3"/>
        <v>800</v>
      </c>
      <c r="D98" s="70">
        <f t="shared" si="2"/>
        <v>84</v>
      </c>
      <c r="E98" s="64"/>
      <c r="F98" s="64"/>
      <c r="K98" s="112">
        <f>[1]!MF_dPpipe_atma(Q_,wc_,C99,C98,K99,D99,,Dtub_,,gamma_gas_,gamma_oil_,,Rsb_,Rp_,Pb_,Tres_,,,,$H$105,$F$105,$D$104)</f>
        <v>73.157693757699363</v>
      </c>
      <c r="L98" s="64"/>
      <c r="M98" s="64"/>
    </row>
    <row r="99" spans="2:13" outlineLevel="1" x14ac:dyDescent="0.2">
      <c r="C99" s="70">
        <f t="shared" si="3"/>
        <v>900</v>
      </c>
      <c r="D99" s="70">
        <f t="shared" si="2"/>
        <v>87</v>
      </c>
      <c r="E99" s="64"/>
      <c r="F99" s="64"/>
      <c r="K99" s="112">
        <f>[1]!MF_dPpipe_atma(Q_,wc_,C100,C99,K100,D100,,Dtub_,,gamma_gas_,gamma_oil_,,Rsb_,Rp_,Pb_,Tres_,,,,$H$105,$F$105,$D$104)</f>
        <v>80.456152419810337</v>
      </c>
      <c r="L99" s="64"/>
      <c r="M99" s="64"/>
    </row>
    <row r="100" spans="2:13" outlineLevel="1" x14ac:dyDescent="0.2">
      <c r="C100" s="70">
        <f t="shared" si="3"/>
        <v>1000</v>
      </c>
      <c r="D100" s="70">
        <f t="shared" si="2"/>
        <v>90</v>
      </c>
      <c r="E100" s="64"/>
      <c r="F100" s="64"/>
      <c r="K100" s="112">
        <f>[1]!MF_dPpipe_atma(Q_,wc_,C101,C100,K101,D101,,Dtub_,,gamma_gas_,gamma_oil_,,Rsb_,Rp_,Pb_,Tres_,,,,$H$105,$F$105,$D$104)</f>
        <v>87.743173822331954</v>
      </c>
      <c r="L100" s="64"/>
      <c r="M100" s="64"/>
    </row>
    <row r="101" spans="2:13" outlineLevel="1" x14ac:dyDescent="0.2">
      <c r="C101" s="70">
        <f t="shared" si="3"/>
        <v>1100</v>
      </c>
      <c r="D101" s="70">
        <f t="shared" si="2"/>
        <v>93</v>
      </c>
      <c r="E101" s="64"/>
      <c r="F101" s="64"/>
      <c r="K101" s="112">
        <f>[1]!MF_dPpipe_atma(Q_,wc_,C102,C101,K102,D102,,Dtub_,,gamma_gas_,gamma_oil_,,Rsb_,Rp_,Pb_,Tres_,,,,$H$105,$F$105,$D$104)</f>
        <v>95.018280122548404</v>
      </c>
      <c r="L101" s="64"/>
      <c r="M101" s="64"/>
    </row>
    <row r="102" spans="2:13" outlineLevel="1" x14ac:dyDescent="0.2">
      <c r="C102" s="70">
        <f t="shared" si="3"/>
        <v>1200</v>
      </c>
      <c r="D102" s="70">
        <f t="shared" si="2"/>
        <v>96</v>
      </c>
      <c r="E102" s="64"/>
      <c r="F102" s="64"/>
      <c r="K102" s="112">
        <f>[1]!MF_dPpipe_atma(Q_,wc_,C103,C102,K103,D103,,Dtub_,,gamma_gas_,gamma_oil_,,Rsb_,Rp_,Pb_,Tres_,,,,$H$105,$F$105,$D$104)</f>
        <v>102.28109733708494</v>
      </c>
      <c r="L102" s="64"/>
      <c r="M102" s="64"/>
    </row>
    <row r="103" spans="2:13" outlineLevel="1" x14ac:dyDescent="0.2">
      <c r="C103" s="70">
        <f t="shared" si="3"/>
        <v>1300</v>
      </c>
      <c r="D103" s="70">
        <f t="shared" si="2"/>
        <v>99</v>
      </c>
      <c r="E103" s="64"/>
      <c r="F103" s="64"/>
      <c r="K103" s="112">
        <f>[1]!MF_dPpipe_atma(Q_,wc_,C104,C103,K104,D104,,Dtub_,,gamma_gas_,gamma_oil_,,Rsb_,Rp_,Pb_,Tres_,,,,$H$105,$F$105,$D$104)</f>
        <v>109.53132692294135</v>
      </c>
      <c r="L103" s="64"/>
      <c r="M103" s="64"/>
    </row>
    <row r="104" spans="2:13" outlineLevel="1" x14ac:dyDescent="0.2">
      <c r="C104" s="70">
        <f t="shared" si="3"/>
        <v>1400</v>
      </c>
      <c r="D104" s="70">
        <f t="shared" si="2"/>
        <v>102</v>
      </c>
      <c r="E104" s="64"/>
      <c r="F104" s="64"/>
      <c r="K104" s="112">
        <f>[1]!MF_dPpipe_atma(Q_,wc_,C105,C104,K105,D105,,Dtub_,,gamma_gas_,gamma_oil_,,Rsb_,Rp_,Pb_,Tres_,,,,$H$105,$F$105,$D$104)</f>
        <v>116.76872654041483</v>
      </c>
      <c r="L104" s="64"/>
      <c r="M104" s="64"/>
    </row>
    <row r="105" spans="2:13" outlineLevel="1" x14ac:dyDescent="0.2">
      <c r="B105" t="s">
        <v>350</v>
      </c>
      <c r="C105" s="70">
        <f t="shared" si="3"/>
        <v>1500</v>
      </c>
      <c r="D105" s="70">
        <f t="shared" si="2"/>
        <v>105</v>
      </c>
      <c r="E105" s="64"/>
      <c r="F105" s="112">
        <f>[1]!MF_dPpipe_atma(Qreal_,wc_,C106,C105,F106,D106,,Dtub_,,gamma_gas_,gamma_oil_,,Rsb_,Rp_,Pb_,Tres_)</f>
        <v>38.283450826948958</v>
      </c>
      <c r="G105" s="112">
        <f>[1]!MF_SeparNat_d(F105,Qreal_,wc_,D105,Dtub_,Dcas_,gamma_gas_,gamma_oil_,,Rsb_,Rp_,Pb_,Tres_)</f>
        <v>0.7903557872242909</v>
      </c>
      <c r="H105" s="114">
        <f>[1]!MF_SeparTotal_d(G105,KsepGasSep_)</f>
        <v>0.8951778936121455</v>
      </c>
      <c r="I105" s="114">
        <f>[1]!ESP_dP_atma(F105,Q_,wc_,NumStage_,Freq_,PumpID_,gamma_gas_,gamma_oil_,,Rsb_,Rp_,Pb_,Tres_,,,,H105,F105,D105,D105,,,,K70)</f>
        <v>85.709645824871302</v>
      </c>
      <c r="J105" s="114">
        <f>[1]!MF_GasFraction_d(F105,D105,wc_,gamma_gas_,gamma_oil_,,Rsb_,Rp_,Pb_,Tres_,,,,$H$105,$F$105,$D$105)</f>
        <v>0.13201065193002751</v>
      </c>
      <c r="K105" s="116">
        <f>I105+F105</f>
        <v>123.99309665182025</v>
      </c>
      <c r="L105" s="64"/>
      <c r="M105" s="112">
        <f>F105</f>
        <v>38.283450826948958</v>
      </c>
    </row>
    <row r="106" spans="2:13" outlineLevel="1" x14ac:dyDescent="0.2">
      <c r="C106" s="70">
        <f t="shared" si="3"/>
        <v>1600</v>
      </c>
      <c r="D106" s="70">
        <f t="shared" si="2"/>
        <v>108</v>
      </c>
      <c r="E106" s="64"/>
      <c r="F106" s="112">
        <f>[1]!MF_dPpipe_atma(Qreal_,wc_,C107,C106,F107,D107,,Dtub_,,gamma_gas_,gamma_oil_,,Rsb_,Rp_,Pb_,Tres_)</f>
        <v>42.746114755414069</v>
      </c>
      <c r="G106" s="64"/>
      <c r="L106" s="64"/>
    </row>
    <row r="107" spans="2:13" outlineLevel="1" x14ac:dyDescent="0.2">
      <c r="C107" s="70">
        <f t="shared" si="3"/>
        <v>1700</v>
      </c>
      <c r="D107" s="70">
        <f t="shared" si="2"/>
        <v>111</v>
      </c>
      <c r="E107" s="64"/>
      <c r="F107" s="112">
        <f>[1]!MF_dPpipe_atma(Qreal_,wc_,C108,C107,F108,D108,,Dtub_,,gamma_gas_,gamma_oil_,,Rsb_,Rp_,Pb_,Tres_)</f>
        <v>47.364352825560566</v>
      </c>
      <c r="L107" s="64"/>
    </row>
    <row r="108" spans="2:13" outlineLevel="1" x14ac:dyDescent="0.2">
      <c r="C108" s="70">
        <f t="shared" si="3"/>
        <v>1800</v>
      </c>
      <c r="D108" s="70">
        <f t="shared" si="2"/>
        <v>114</v>
      </c>
      <c r="E108" s="64"/>
      <c r="F108" s="112">
        <f>[1]!MF_dPpipe_atma(Qreal_,wc_,C109,C108,F109,D109,,Dtub_,,gamma_gas_,gamma_oil_,,Rsb_,Rp_,Pb_,Tres_)</f>
        <v>52.122429955538543</v>
      </c>
      <c r="L108" s="64"/>
    </row>
    <row r="109" spans="2:13" outlineLevel="1" x14ac:dyDescent="0.2">
      <c r="C109" s="70">
        <f t="shared" si="3"/>
        <v>1900</v>
      </c>
      <c r="D109" s="70">
        <f t="shared" si="2"/>
        <v>117</v>
      </c>
      <c r="E109" s="64"/>
      <c r="F109" s="112">
        <f>[1]!MF_dPpipe_atma(Qreal_,wc_,C110,C109,F110,D110,,Dtub_,,gamma_gas_,gamma_oil_,,Rsb_,Rp_,Pb_,Tres_)</f>
        <v>57.005559771226039</v>
      </c>
      <c r="L109" s="64"/>
    </row>
    <row r="110" spans="2:13" outlineLevel="1" x14ac:dyDescent="0.2">
      <c r="C110" s="70">
        <f t="shared" si="3"/>
        <v>2000</v>
      </c>
      <c r="D110" s="70">
        <f>Tres_</f>
        <v>120</v>
      </c>
      <c r="E110" s="64"/>
      <c r="F110" s="73">
        <f>Pwf1_</f>
        <v>62</v>
      </c>
      <c r="L110" s="64"/>
    </row>
    <row r="111" spans="2:13" outlineLevel="1" x14ac:dyDescent="0.2"/>
    <row r="112" spans="2:13" outlineLevel="1" x14ac:dyDescent="0.2"/>
    <row r="172" spans="11:11" x14ac:dyDescent="0.2">
      <c r="K172" t="s">
        <v>306</v>
      </c>
    </row>
    <row r="183" spans="11:11" x14ac:dyDescent="0.2">
      <c r="K183" s="6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75" t="s">
        <v>161</v>
      </c>
      <c r="C2" s="75"/>
      <c r="D2" s="75"/>
      <c r="E2" s="75"/>
      <c r="F2" s="75"/>
      <c r="G2" s="75"/>
      <c r="H2" s="75"/>
      <c r="I2" s="75"/>
      <c r="J2" s="75"/>
      <c r="K2" s="75"/>
      <c r="L2" s="75" t="s">
        <v>162</v>
      </c>
      <c r="M2" s="75"/>
      <c r="N2" s="75"/>
      <c r="O2" s="75"/>
      <c r="V2" s="76" t="s">
        <v>163</v>
      </c>
      <c r="W2" s="76"/>
      <c r="X2" s="76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78" t="s">
        <v>23</v>
      </c>
      <c r="K1" s="79"/>
      <c r="L1" s="84">
        <f>AV7-1</f>
        <v>-1</v>
      </c>
      <c r="M1" s="85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80" t="s">
        <v>24</v>
      </c>
      <c r="K2" s="81"/>
      <c r="L2" s="82">
        <f>AY11-1</f>
        <v>-1</v>
      </c>
      <c r="M2" s="83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100" t="s">
        <v>21</v>
      </c>
      <c r="C4" s="82"/>
      <c r="D4" s="101"/>
    </row>
    <row r="5" spans="1:20" x14ac:dyDescent="0.2">
      <c r="A5" s="2" t="s">
        <v>3</v>
      </c>
      <c r="B5" s="102">
        <v>1</v>
      </c>
      <c r="C5" s="103"/>
      <c r="D5" s="104"/>
    </row>
    <row r="6" spans="1:20" ht="13.5" thickBot="1" x14ac:dyDescent="0.25">
      <c r="A6" s="3" t="s">
        <v>4</v>
      </c>
      <c r="B6" s="105" t="s">
        <v>6</v>
      </c>
      <c r="C6" s="106"/>
      <c r="D6" s="107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108" t="s">
        <v>22</v>
      </c>
      <c r="B8" s="109"/>
      <c r="D8" s="108" t="s">
        <v>70</v>
      </c>
      <c r="E8" s="109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110" t="s">
        <v>12</v>
      </c>
      <c r="B18" s="111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110" t="s">
        <v>5</v>
      </c>
      <c r="B23" s="111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98" t="s">
        <v>7</v>
      </c>
      <c r="B42" s="99"/>
      <c r="C42" s="88" t="s">
        <v>0</v>
      </c>
      <c r="D42" s="89"/>
      <c r="E42" s="89"/>
      <c r="F42" s="89"/>
      <c r="G42" s="89"/>
      <c r="H42" s="90"/>
      <c r="I42" s="91" t="s">
        <v>13</v>
      </c>
      <c r="J42" s="92"/>
      <c r="L42" s="77" t="s">
        <v>26</v>
      </c>
      <c r="M42" s="77"/>
      <c r="N42" s="77" t="s">
        <v>27</v>
      </c>
      <c r="O42" s="77"/>
      <c r="P42" s="77" t="s">
        <v>28</v>
      </c>
      <c r="Q42" s="77"/>
      <c r="R42" s="77" t="s">
        <v>31</v>
      </c>
      <c r="S42" s="77"/>
      <c r="T42" s="77" t="s">
        <v>33</v>
      </c>
      <c r="U42" s="77"/>
      <c r="V42" s="77" t="s">
        <v>79</v>
      </c>
      <c r="W42" s="77"/>
      <c r="X42" s="77" t="s">
        <v>35</v>
      </c>
      <c r="Y42" s="77"/>
      <c r="Z42" s="77" t="s">
        <v>36</v>
      </c>
      <c r="AA42" s="77"/>
      <c r="AB42" s="77" t="s">
        <v>37</v>
      </c>
      <c r="AC42" s="77"/>
      <c r="AD42" s="77" t="s">
        <v>38</v>
      </c>
      <c r="AE42" s="77"/>
      <c r="AF42" s="77" t="s">
        <v>39</v>
      </c>
      <c r="AG42" s="77"/>
      <c r="AH42" s="77" t="s">
        <v>40</v>
      </c>
      <c r="AI42" s="77"/>
      <c r="AJ42" s="77" t="s">
        <v>41</v>
      </c>
      <c r="AK42" s="77"/>
      <c r="AL42" s="77"/>
      <c r="AM42" s="77"/>
      <c r="AN42" s="77"/>
      <c r="AO42" s="77"/>
      <c r="AP42" s="77"/>
      <c r="AQ42" s="77"/>
      <c r="AR42" s="77"/>
      <c r="AS42" s="77"/>
      <c r="AT42" s="22"/>
    </row>
    <row r="43" spans="1:46" ht="13.5" thickBot="1" x14ac:dyDescent="0.25">
      <c r="A43" s="95"/>
      <c r="B43" s="96"/>
      <c r="C43" s="95" t="s">
        <v>69</v>
      </c>
      <c r="D43" s="96"/>
      <c r="E43" s="97"/>
      <c r="F43" s="95" t="s">
        <v>8</v>
      </c>
      <c r="G43" s="96"/>
      <c r="H43" s="97"/>
      <c r="I43" s="93"/>
      <c r="J43" s="94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86" t="s">
        <v>68</v>
      </c>
      <c r="D44" s="87"/>
      <c r="E44" s="9" t="s">
        <v>11</v>
      </c>
      <c r="F44" s="86" t="s">
        <v>68</v>
      </c>
      <c r="G44" s="87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77</vt:i4>
      </vt:variant>
    </vt:vector>
  </HeadingPairs>
  <TitlesOfParts>
    <vt:vector size="80" baseType="lpstr">
      <vt:lpstr>Упражнение</vt:lpstr>
      <vt:lpstr>База насосов</vt:lpstr>
      <vt:lpstr>Фонтан</vt:lpstr>
      <vt:lpstr>Упражнение!Bob_</vt:lpstr>
      <vt:lpstr>Упражнение!Dcas_</vt:lpstr>
      <vt:lpstr>Упражнение!Dintake_</vt:lpstr>
      <vt:lpstr>Упражнение!Dtub_</vt:lpstr>
      <vt:lpstr>Упражнение!Dtub_out_</vt:lpstr>
      <vt:lpstr>Dштуц__мм</vt:lpstr>
      <vt:lpstr>Упражнение!Freq_</vt:lpstr>
      <vt:lpstr>Упражнение!Freq1_</vt:lpstr>
      <vt:lpstr>Упражнение!gamma_gas_</vt:lpstr>
      <vt:lpstr>Упражнение!gamma_oil_</vt:lpstr>
      <vt:lpstr>Упражнение!Head_ESP_</vt:lpstr>
      <vt:lpstr>Упражнение!Hmes_</vt:lpstr>
      <vt:lpstr>Упражнение!Hpump_</vt:lpstr>
      <vt:lpstr>Упражнение!Kdegr_</vt:lpstr>
      <vt:lpstr>Упражнение!KsepGasSep_</vt:lpstr>
      <vt:lpstr>Упражнение!N_</vt:lpstr>
      <vt:lpstr>Упражнение!NumStage_</vt:lpstr>
      <vt:lpstr>Упражнение!Pb_</vt:lpstr>
      <vt:lpstr>Упражнение!Pbuf_</vt:lpstr>
      <vt:lpstr>Упражнение!Pdis_</vt:lpstr>
      <vt:lpstr>Упражнение!PI_</vt:lpstr>
      <vt:lpstr>Упражнение!Pintake_</vt:lpstr>
      <vt:lpstr>Упражнение!Pres_</vt:lpstr>
      <vt:lpstr>Упражнение!PumpID_</vt:lpstr>
      <vt:lpstr>Упражнение!Pwf_</vt:lpstr>
      <vt:lpstr>Упражнение!Pwf1_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Упражнение!Q_</vt:lpstr>
      <vt:lpstr>Упражнение!Q_ESP_</vt:lpstr>
      <vt:lpstr>Упражнение!Qmax</vt:lpstr>
      <vt:lpstr>Упражнение!Qreal_</vt:lpstr>
      <vt:lpstr>Qж__м3_сут</vt:lpstr>
      <vt:lpstr>Qж_расч__м3_сут</vt:lpstr>
      <vt:lpstr>Qн__т_сут</vt:lpstr>
      <vt:lpstr>Qн_расч__т_сут</vt:lpstr>
      <vt:lpstr>Упражнение!Rp_</vt:lpstr>
      <vt:lpstr>Упражнение!Rsb_</vt:lpstr>
      <vt:lpstr>Rsb__м3_м3</vt:lpstr>
      <vt:lpstr>testRange</vt:lpstr>
      <vt:lpstr>testRange1</vt:lpstr>
      <vt:lpstr>testRange2</vt:lpstr>
      <vt:lpstr>Упражнение!Tgrad</vt:lpstr>
      <vt:lpstr>Упражнение!Tintake_</vt:lpstr>
      <vt:lpstr>Упражнение!Tres_</vt:lpstr>
      <vt:lpstr>Упражнение!Udl_</vt:lpstr>
      <vt:lpstr>Упражнение!wc_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2018-08-23T09:03:28Z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