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drawings/drawing4.xml" ContentType="application/vnd.openxmlformats-officedocument.drawingml.chartshapes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charts/chart12.xml" ContentType="application/vnd.openxmlformats-officedocument.drawingml.chart+xml"/>
  <Override PartName="/xl/drawings/drawing6.xml" ContentType="application/vnd.openxmlformats-officedocument.drawingml.chartshapes+xml"/>
  <Override PartName="/xl/charts/chart13.xml" ContentType="application/vnd.openxmlformats-officedocument.drawingml.chart+xml"/>
  <Override PartName="/xl/drawings/drawing7.xml" ContentType="application/vnd.openxmlformats-officedocument.drawingml.chartshapes+xml"/>
  <Override PartName="/xl/charts/chart1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591" firstSheet="1" activeTab="1"/>
  </bookViews>
  <sheets>
    <sheet name="База насосов" sheetId="104" state="hidden" r:id="rId1"/>
    <sheet name="Упражнение PVT" sheetId="112" r:id="rId2"/>
    <sheet name="Калькулятор PVT" sheetId="116" r:id="rId3"/>
  </sheets>
  <externalReferences>
    <externalReference r:id="rId4"/>
    <externalReference r:id="rId5"/>
    <externalReference r:id="rId6"/>
  </externalReferences>
  <definedNames>
    <definedName name="_xlnm._FilterDatabase" localSheetId="0" hidden="1">'База насосов'!$A$3:$O$1267</definedName>
    <definedName name="bo_list1_">'Калькулятор PVT'!$G$59:$G$99</definedName>
    <definedName name="bo_list2_">'Калькулятор PVT'!$H$59:$H$99</definedName>
    <definedName name="bo_list3_">'Калькулятор PVT'!$I$59:$I$99</definedName>
    <definedName name="Bob_" localSheetId="1">'Упражнение PVT'!$C$14</definedName>
    <definedName name="Bob_m3m3_" localSheetId="2">'Калькулятор PVT'!$G$16</definedName>
    <definedName name="gamma_gas_" localSheetId="2">'Калькулятор PVT'!$G$9</definedName>
    <definedName name="gamma_gas_" localSheetId="1">'Упражнение PVT'!$C$9</definedName>
    <definedName name="gamma_gas_diff_total_">'Калькулятор PVT'!$R$34</definedName>
    <definedName name="gamma_gas_new_">'Калькулятор PVT'!$R$33</definedName>
    <definedName name="gamma_oil_" localSheetId="2">'Калькулятор PVT'!$G$8</definedName>
    <definedName name="gamma_oil_" localSheetId="1">'Упражнение PVT'!$C$7</definedName>
    <definedName name="gamma_oil_new_">'Калькулятор PVT'!$R$32</definedName>
    <definedName name="gamma_w_" localSheetId="2">'Калькулятор PVT'!$G$10</definedName>
    <definedName name="gamma_wat_">'Упражнение PVT'!$C$8</definedName>
    <definedName name="gammas">'Калькулятор PVT'!$R$32:$R$33</definedName>
    <definedName name="gasfrac_list1_">'Калькулятор PVT'!$P$59:$P$99</definedName>
    <definedName name="gasfrac_list2_">'Калькулятор PVT'!$Q$59:$Q$99</definedName>
    <definedName name="gasfrac_list3_">'Калькулятор PVT'!$R$59:$R$98</definedName>
    <definedName name="Hperf_m_">'[1]Конструкция фонтан'!$C$9</definedName>
    <definedName name="Ksep_" localSheetId="2">'Калькулятор PVT'!$O$8</definedName>
    <definedName name="mu_cP_" localSheetId="2">'Калькулятор PVT'!$G$17</definedName>
    <definedName name="muo_list1_">'Калькулятор PVT'!$M$59:$M$99</definedName>
    <definedName name="muo_list2_">'Калькулятор PVT'!$N$59:$N$99</definedName>
    <definedName name="muo_list3_">'Калькулятор PVT'!$O$59:$O$99</definedName>
    <definedName name="muob_">'Упражнение PVT'!$C$15</definedName>
    <definedName name="P_atma_" localSheetId="2">'Калькулятор PVT'!$C$8</definedName>
    <definedName name="Pb_" localSheetId="1">'Упражнение PVT'!$C$12</definedName>
    <definedName name="Pb_atma_" localSheetId="2">'Калькулятор PVT'!$G$15</definedName>
    <definedName name="Pb_diff_">'Калькулятор PVT'!$W$33</definedName>
    <definedName name="Pbuf_out_atma_">[1]Фонтан_расчет!$Q$11</definedName>
    <definedName name="Pline_out_atma_">[1]Фонтан_расчет!$Q$10</definedName>
    <definedName name="press_list0_">'Калькулятор PVT'!$B$59:$B$99</definedName>
    <definedName name="press_list1_">'Калькулятор PVT'!$C$59:$C$99</definedName>
    <definedName name="Psc_atma_" localSheetId="2">'Калькулятор PVT'!$K$2</definedName>
    <definedName name="Psep_atma_" localSheetId="2">'Калькулятор PVT'!$O$9</definedName>
    <definedName name="PVT_correlation_" localSheetId="2">'Калькулятор PVT'!$H$3</definedName>
    <definedName name="Pwf_out_atma_">[1]Фонтан_расчет!$Q$12</definedName>
    <definedName name="Ql_scm3day_" localSheetId="2">'Калькулятор PVT'!$K$8</definedName>
    <definedName name="Qo_sctday_" localSheetId="2">'Калькулятор PVT'!$K$10</definedName>
    <definedName name="rhoo_list1_">'Калькулятор PVT'!$J$59:$J$99</definedName>
    <definedName name="rhoo_list2_">'Калькулятор PVT'!$K$59:$K$99</definedName>
    <definedName name="rhoo_list3_">'Калькулятор PVT'!$L$59:$L$99</definedName>
    <definedName name="Rp_" localSheetId="1">'Упражнение PVT'!$C$11</definedName>
    <definedName name="Rp_m3m3_" localSheetId="2">'Калькулятор PVT'!$K$11</definedName>
    <definedName name="Rp_tm3_" localSheetId="2">'Калькулятор PVT'!$K$12</definedName>
    <definedName name="rs_list1_">'Калькулятор PVT'!$D$59:$D$99</definedName>
    <definedName name="rs_list2_">'Калькулятор PVT'!$E$59:$E$99</definedName>
    <definedName name="rs_list3_">'Калькулятор PVT'!$F$59:$F$99</definedName>
    <definedName name="Rsb_" localSheetId="1">'Упражнение PVT'!$C$10</definedName>
    <definedName name="Rsb_m3m3_" localSheetId="2">'Калькулятор PVT'!$G$11</definedName>
    <definedName name="solver_adj" localSheetId="2" hidden="1">'Калькулятор PVT'!$R$33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'Калькулятор PVT'!$R$33</definedName>
    <definedName name="solver_lhs10" localSheetId="2" hidden="1">'Калькулятор PVT'!$R$33</definedName>
    <definedName name="solver_lhs11" localSheetId="2" hidden="1">'Калькулятор PVT'!$R$33</definedName>
    <definedName name="solver_lhs12" localSheetId="2" hidden="1">'Калькулятор PVT'!$R$33</definedName>
    <definedName name="solver_lhs13" localSheetId="2" hidden="1">'Калькулятор PVT'!$R$33</definedName>
    <definedName name="solver_lhs14" localSheetId="2" hidden="1">'Калькулятор PVT'!$R$33</definedName>
    <definedName name="solver_lhs15" localSheetId="2" hidden="1">'Калькулятор PVT'!$R$33</definedName>
    <definedName name="solver_lhs16" localSheetId="2" hidden="1">'Калькулятор PVT'!$R$33</definedName>
    <definedName name="solver_lhs17" localSheetId="2" hidden="1">'Калькулятор PVT'!$R$33</definedName>
    <definedName name="solver_lhs18" localSheetId="2" hidden="1">'Калькулятор PVT'!$R$33</definedName>
    <definedName name="solver_lhs19" localSheetId="2" hidden="1">'Калькулятор PVT'!$R$33</definedName>
    <definedName name="solver_lhs2" localSheetId="2" hidden="1">'Калькулятор PVT'!$R$33</definedName>
    <definedName name="solver_lhs20" localSheetId="2" hidden="1">'Калькулятор PVT'!$R$33</definedName>
    <definedName name="solver_lhs21" localSheetId="2" hidden="1">'Калькулятор PVT'!$R$33</definedName>
    <definedName name="solver_lhs22" localSheetId="2" hidden="1">'Калькулятор PVT'!$R$33</definedName>
    <definedName name="solver_lhs23" localSheetId="2" hidden="1">'Калькулятор PVT'!$R$33</definedName>
    <definedName name="solver_lhs24" localSheetId="2" hidden="1">'Калькулятор PVT'!$R$33</definedName>
    <definedName name="solver_lhs25" localSheetId="2" hidden="1">'Калькулятор PVT'!$R$33</definedName>
    <definedName name="solver_lhs26" localSheetId="2" hidden="1">'Калькулятор PVT'!$R$33</definedName>
    <definedName name="solver_lhs27" localSheetId="2" hidden="1">'Калькулятор PVT'!$R$33</definedName>
    <definedName name="solver_lhs28" localSheetId="2" hidden="1">'Калькулятор PVT'!$R$33</definedName>
    <definedName name="solver_lhs29" localSheetId="2" hidden="1">'Калькулятор PVT'!$R$33</definedName>
    <definedName name="solver_lhs3" localSheetId="2" hidden="1">'Калькулятор PVT'!$R$33</definedName>
    <definedName name="solver_lhs30" localSheetId="2" hidden="1">'Калькулятор PVT'!$R$33</definedName>
    <definedName name="solver_lhs31" localSheetId="2" hidden="1">'Калькулятор PVT'!$R$33</definedName>
    <definedName name="solver_lhs32" localSheetId="2" hidden="1">'Калькулятор PVT'!$R$33</definedName>
    <definedName name="solver_lhs33" localSheetId="2" hidden="1">'Калькулятор PVT'!$R$33</definedName>
    <definedName name="solver_lhs34" localSheetId="2" hidden="1">'Калькулятор PVT'!$R$33</definedName>
    <definedName name="solver_lhs35" localSheetId="2" hidden="1">'Калькулятор PVT'!$R$32</definedName>
    <definedName name="solver_lhs36" localSheetId="2" hidden="1">'Калькулятор PVT'!$R$32</definedName>
    <definedName name="solver_lhs37" localSheetId="2" hidden="1">'Калькулятор PVT'!$R$33</definedName>
    <definedName name="solver_lhs38" localSheetId="2" hidden="1">'Калькулятор PVT'!$R$33</definedName>
    <definedName name="solver_lhs39" localSheetId="2" hidden="1">'Калькулятор PVT'!$R$32</definedName>
    <definedName name="solver_lhs4" localSheetId="2" hidden="1">'Калькулятор PVT'!$R$33</definedName>
    <definedName name="solver_lhs40" localSheetId="2" hidden="1">'Калькулятор PVT'!$R$32</definedName>
    <definedName name="solver_lhs41" localSheetId="2" hidden="1">'Калькулятор PVT'!$R$33</definedName>
    <definedName name="solver_lhs42" localSheetId="2" hidden="1">'Калькулятор PVT'!$R$33</definedName>
    <definedName name="solver_lhs43" localSheetId="2" hidden="1">'Калькулятор PVT'!$R$32</definedName>
    <definedName name="solver_lhs44" localSheetId="2" hidden="1">'Калькулятор PVT'!$R$32</definedName>
    <definedName name="solver_lhs45" localSheetId="2" hidden="1">'Калькулятор PVT'!$R$33</definedName>
    <definedName name="solver_lhs46" localSheetId="2" hidden="1">'Калькулятор PVT'!$R$33</definedName>
    <definedName name="solver_lhs47" localSheetId="2" hidden="1">'Калькулятор PVT'!$R$32</definedName>
    <definedName name="solver_lhs48" localSheetId="2" hidden="1">'Калькулятор PVT'!$R$32</definedName>
    <definedName name="solver_lhs49" localSheetId="2" hidden="1">'Калькулятор PVT'!$R$33</definedName>
    <definedName name="solver_lhs5" localSheetId="2" hidden="1">'Калькулятор PVT'!$R$33</definedName>
    <definedName name="solver_lhs50" localSheetId="2" hidden="1">'Калькулятор PVT'!$R$33</definedName>
    <definedName name="solver_lhs51" localSheetId="2" hidden="1">'Калькулятор PVT'!$R$32</definedName>
    <definedName name="solver_lhs52" localSheetId="2" hidden="1">'Калькулятор PVT'!$R$32</definedName>
    <definedName name="solver_lhs53" localSheetId="2" hidden="1">'Калькулятор PVT'!$R$33</definedName>
    <definedName name="solver_lhs54" localSheetId="2" hidden="1">'Калькулятор PVT'!$R$33</definedName>
    <definedName name="solver_lhs6" localSheetId="2" hidden="1">'Калькулятор PVT'!$R$33</definedName>
    <definedName name="solver_lhs7" localSheetId="2" hidden="1">'Калькулятор PVT'!$R$33</definedName>
    <definedName name="solver_lhs8" localSheetId="2" hidden="1">'Калькулятор PVT'!$R$33</definedName>
    <definedName name="solver_lhs9" localSheetId="2" hidden="1">'Калькулятор PVT'!$R$33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'Калькулятор PVT'!$R$34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10" localSheetId="2" hidden="1">1</definedName>
    <definedName name="solver_rel11" localSheetId="2" hidden="1">3</definedName>
    <definedName name="solver_rel12" localSheetId="2" hidden="1">1</definedName>
    <definedName name="solver_rel13" localSheetId="2" hidden="1">3</definedName>
    <definedName name="solver_rel14" localSheetId="2" hidden="1">1</definedName>
    <definedName name="solver_rel15" localSheetId="2" hidden="1">3</definedName>
    <definedName name="solver_rel16" localSheetId="2" hidden="1">1</definedName>
    <definedName name="solver_rel17" localSheetId="2" hidden="1">3</definedName>
    <definedName name="solver_rel18" localSheetId="2" hidden="1">1</definedName>
    <definedName name="solver_rel19" localSheetId="2" hidden="1">3</definedName>
    <definedName name="solver_rel2" localSheetId="2" hidden="1">1</definedName>
    <definedName name="solver_rel20" localSheetId="2" hidden="1">1</definedName>
    <definedName name="solver_rel21" localSheetId="2" hidden="1">3</definedName>
    <definedName name="solver_rel22" localSheetId="2" hidden="1">1</definedName>
    <definedName name="solver_rel23" localSheetId="2" hidden="1">3</definedName>
    <definedName name="solver_rel24" localSheetId="2" hidden="1">1</definedName>
    <definedName name="solver_rel25" localSheetId="2" hidden="1">3</definedName>
    <definedName name="solver_rel26" localSheetId="2" hidden="1">1</definedName>
    <definedName name="solver_rel27" localSheetId="2" hidden="1">3</definedName>
    <definedName name="solver_rel28" localSheetId="2" hidden="1">1</definedName>
    <definedName name="solver_rel29" localSheetId="2" hidden="1">3</definedName>
    <definedName name="solver_rel3" localSheetId="2" hidden="1">1</definedName>
    <definedName name="solver_rel30" localSheetId="2" hidden="1">1</definedName>
    <definedName name="solver_rel31" localSheetId="2" hidden="1">3</definedName>
    <definedName name="solver_rel32" localSheetId="2" hidden="1">1</definedName>
    <definedName name="solver_rel33" localSheetId="2" hidden="1">3</definedName>
    <definedName name="solver_rel34" localSheetId="2" hidden="1">1</definedName>
    <definedName name="solver_rel35" localSheetId="2" hidden="1">3</definedName>
    <definedName name="solver_rel36" localSheetId="2" hidden="1">1</definedName>
    <definedName name="solver_rel37" localSheetId="2" hidden="1">3</definedName>
    <definedName name="solver_rel38" localSheetId="2" hidden="1">1</definedName>
    <definedName name="solver_rel39" localSheetId="2" hidden="1">3</definedName>
    <definedName name="solver_rel4" localSheetId="2" hidden="1">1</definedName>
    <definedName name="solver_rel40" localSheetId="2" hidden="1">1</definedName>
    <definedName name="solver_rel41" localSheetId="2" hidden="1">3</definedName>
    <definedName name="solver_rel42" localSheetId="2" hidden="1">1</definedName>
    <definedName name="solver_rel43" localSheetId="2" hidden="1">3</definedName>
    <definedName name="solver_rel44" localSheetId="2" hidden="1">1</definedName>
    <definedName name="solver_rel45" localSheetId="2" hidden="1">3</definedName>
    <definedName name="solver_rel46" localSheetId="2" hidden="1">1</definedName>
    <definedName name="solver_rel47" localSheetId="2" hidden="1">3</definedName>
    <definedName name="solver_rel48" localSheetId="2" hidden="1">1</definedName>
    <definedName name="solver_rel49" localSheetId="2" hidden="1">3</definedName>
    <definedName name="solver_rel5" localSheetId="2" hidden="1">3</definedName>
    <definedName name="solver_rel50" localSheetId="2" hidden="1">1</definedName>
    <definedName name="solver_rel51" localSheetId="2" hidden="1">3</definedName>
    <definedName name="solver_rel52" localSheetId="2" hidden="1">1</definedName>
    <definedName name="solver_rel53" localSheetId="2" hidden="1">3</definedName>
    <definedName name="solver_rel54" localSheetId="2" hidden="1">1</definedName>
    <definedName name="solver_rel6" localSheetId="2" hidden="1">1</definedName>
    <definedName name="solver_rel7" localSheetId="2" hidden="1">3</definedName>
    <definedName name="solver_rel8" localSheetId="2" hidden="1">1</definedName>
    <definedName name="solver_rel9" localSheetId="2" hidden="1">3</definedName>
    <definedName name="solver_rhs1" localSheetId="2" hidden="1">0.55</definedName>
    <definedName name="solver_rhs10" localSheetId="2" hidden="1">2</definedName>
    <definedName name="solver_rhs11" localSheetId="2" hidden="1">0.55</definedName>
    <definedName name="solver_rhs12" localSheetId="2" hidden="1">2</definedName>
    <definedName name="solver_rhs13" localSheetId="2" hidden="1">0.55</definedName>
    <definedName name="solver_rhs14" localSheetId="2" hidden="1">2</definedName>
    <definedName name="solver_rhs15" localSheetId="2" hidden="1">0.55</definedName>
    <definedName name="solver_rhs16" localSheetId="2" hidden="1">2</definedName>
    <definedName name="solver_rhs17" localSheetId="2" hidden="1">0.55</definedName>
    <definedName name="solver_rhs18" localSheetId="2" hidden="1">2</definedName>
    <definedName name="solver_rhs19" localSheetId="2" hidden="1">0.55</definedName>
    <definedName name="solver_rhs2" localSheetId="2" hidden="1">1.5</definedName>
    <definedName name="solver_rhs20" localSheetId="2" hidden="1">2</definedName>
    <definedName name="solver_rhs21" localSheetId="2" hidden="1">0.55</definedName>
    <definedName name="solver_rhs22" localSheetId="2" hidden="1">2</definedName>
    <definedName name="solver_rhs23" localSheetId="2" hidden="1">0.55</definedName>
    <definedName name="solver_rhs24" localSheetId="2" hidden="1">2</definedName>
    <definedName name="solver_rhs25" localSheetId="2" hidden="1">0.55</definedName>
    <definedName name="solver_rhs26" localSheetId="2" hidden="1">1.5</definedName>
    <definedName name="solver_rhs27" localSheetId="2" hidden="1">0.55</definedName>
    <definedName name="solver_rhs28" localSheetId="2" hidden="1">1.5</definedName>
    <definedName name="solver_rhs29" localSheetId="2" hidden="1">0.55</definedName>
    <definedName name="solver_rhs3" localSheetId="2" hidden="1">1.5</definedName>
    <definedName name="solver_rhs30" localSheetId="2" hidden="1">1.5</definedName>
    <definedName name="solver_rhs31" localSheetId="2" hidden="1">0.55</definedName>
    <definedName name="solver_rhs32" localSheetId="2" hidden="1">1.5</definedName>
    <definedName name="solver_rhs33" localSheetId="2" hidden="1">0.55</definedName>
    <definedName name="solver_rhs34" localSheetId="2" hidden="1">1.5</definedName>
    <definedName name="solver_rhs35" localSheetId="2" hidden="1">0.7</definedName>
    <definedName name="solver_rhs36" localSheetId="2" hidden="1">1</definedName>
    <definedName name="solver_rhs37" localSheetId="2" hidden="1">0.55</definedName>
    <definedName name="solver_rhs38" localSheetId="2" hidden="1">1.5</definedName>
    <definedName name="solver_rhs39" localSheetId="2" hidden="1">0.7</definedName>
    <definedName name="solver_rhs4" localSheetId="2" hidden="1">1.5</definedName>
    <definedName name="solver_rhs40" localSheetId="2" hidden="1">1</definedName>
    <definedName name="solver_rhs41" localSheetId="2" hidden="1">0.55</definedName>
    <definedName name="solver_rhs42" localSheetId="2" hidden="1">1.5</definedName>
    <definedName name="solver_rhs43" localSheetId="2" hidden="1">0.7</definedName>
    <definedName name="solver_rhs44" localSheetId="2" hidden="1">1</definedName>
    <definedName name="solver_rhs45" localSheetId="2" hidden="1">0.55</definedName>
    <definedName name="solver_rhs46" localSheetId="2" hidden="1">1.5</definedName>
    <definedName name="solver_rhs47" localSheetId="2" hidden="1">0.7</definedName>
    <definedName name="solver_rhs48" localSheetId="2" hidden="1">1</definedName>
    <definedName name="solver_rhs49" localSheetId="2" hidden="1">0.55</definedName>
    <definedName name="solver_rhs5" localSheetId="2" hidden="1">0.55</definedName>
    <definedName name="solver_rhs50" localSheetId="2" hidden="1">1.5</definedName>
    <definedName name="solver_rhs51" localSheetId="2" hidden="1">0.7</definedName>
    <definedName name="solver_rhs52" localSheetId="2" hidden="1">1</definedName>
    <definedName name="solver_rhs53" localSheetId="2" hidden="1">0.55</definedName>
    <definedName name="solver_rhs54" localSheetId="2" hidden="1">1.5</definedName>
    <definedName name="solver_rhs6" localSheetId="2" hidden="1">2</definedName>
    <definedName name="solver_rhs7" localSheetId="2" hidden="1">0.55</definedName>
    <definedName name="solver_rhs8" localSheetId="2" hidden="1">2</definedName>
    <definedName name="solver_rhs9" localSheetId="2" hidden="1">0.55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  <definedName name="T_C_" localSheetId="2">'Калькулятор PVT'!$C$9</definedName>
    <definedName name="T_label_">'Калькулятор PVT'!$B$56</definedName>
    <definedName name="Tres_" localSheetId="1">'Упражнение PVT'!$C$13</definedName>
    <definedName name="Tres_C_" localSheetId="2">'Калькулятор PVT'!$G$14</definedName>
    <definedName name="Tsc_C_" localSheetId="2">'Калькулятор PVT'!$K$3</definedName>
    <definedName name="Tsep_C_" localSheetId="2">'Калькулятор PVT'!$O$10</definedName>
    <definedName name="wc_perc_" localSheetId="2">'Калькулятор PVT'!$K$9</definedName>
    <definedName name="версия_">[1]Унифлок!$A$1</definedName>
    <definedName name="версия_номер_">[1]Унифлок!$B$1</definedName>
  </definedNames>
  <calcPr calcId="145621"/>
</workbook>
</file>

<file path=xl/calcChain.xml><?xml version="1.0" encoding="utf-8"?>
<calcChain xmlns="http://schemas.openxmlformats.org/spreadsheetml/2006/main">
  <c r="D24" i="112" l="1"/>
  <c r="D25" i="112" s="1"/>
  <c r="D26" i="112" s="1"/>
  <c r="D27" i="112" s="1"/>
  <c r="D28" i="112" s="1"/>
  <c r="D29" i="112" s="1"/>
  <c r="D30" i="112" s="1"/>
  <c r="D31" i="112" s="1"/>
  <c r="D32" i="112" s="1"/>
  <c r="D33" i="112" s="1"/>
  <c r="D34" i="112" s="1"/>
  <c r="D35" i="112" s="1"/>
  <c r="D36" i="112" s="1"/>
  <c r="D37" i="112" s="1"/>
  <c r="D38" i="112" s="1"/>
  <c r="D39" i="112" s="1"/>
  <c r="D40" i="112" s="1"/>
  <c r="D41" i="112" s="1"/>
  <c r="D42" i="112" s="1"/>
  <c r="D43" i="112" s="1"/>
  <c r="D44" i="112" s="1"/>
  <c r="D45" i="112" s="1"/>
  <c r="D46" i="112" s="1"/>
  <c r="D47" i="112" s="1"/>
  <c r="D48" i="112" s="1"/>
  <c r="L48" i="112"/>
  <c r="L24" i="112"/>
  <c r="L28" i="112"/>
  <c r="L32" i="112"/>
  <c r="L36" i="112"/>
  <c r="L40" i="112"/>
  <c r="L44" i="112"/>
  <c r="L25" i="112"/>
  <c r="L29" i="112"/>
  <c r="L33" i="112"/>
  <c r="L37" i="112"/>
  <c r="L41" i="112"/>
  <c r="L45" i="112"/>
  <c r="L26" i="112"/>
  <c r="L30" i="112"/>
  <c r="L34" i="112"/>
  <c r="L38" i="112"/>
  <c r="L42" i="112"/>
  <c r="L46" i="112"/>
  <c r="L27" i="112"/>
  <c r="L31" i="112"/>
  <c r="L35" i="112"/>
  <c r="L39" i="112"/>
  <c r="L43" i="112"/>
  <c r="L47" i="112"/>
  <c r="L23" i="112"/>
  <c r="K24" i="112"/>
  <c r="K28" i="112"/>
  <c r="K32" i="112"/>
  <c r="K36" i="112"/>
  <c r="K40" i="112"/>
  <c r="K44" i="112"/>
  <c r="K25" i="112"/>
  <c r="K29" i="112"/>
  <c r="K33" i="112"/>
  <c r="K37" i="112"/>
  <c r="K41" i="112"/>
  <c r="K45" i="112"/>
  <c r="K26" i="112"/>
  <c r="K30" i="112"/>
  <c r="K34" i="112"/>
  <c r="K38" i="112"/>
  <c r="K42" i="112"/>
  <c r="K46" i="112"/>
  <c r="K27" i="112"/>
  <c r="K31" i="112"/>
  <c r="K35" i="112"/>
  <c r="K39" i="112"/>
  <c r="K43" i="112"/>
  <c r="K47" i="112"/>
  <c r="K48" i="112"/>
  <c r="K23" i="112"/>
  <c r="J24" i="112"/>
  <c r="J32" i="112"/>
  <c r="J40" i="112"/>
  <c r="J48" i="112"/>
  <c r="J25" i="112"/>
  <c r="J29" i="112"/>
  <c r="J33" i="112"/>
  <c r="J37" i="112"/>
  <c r="J41" i="112"/>
  <c r="J45" i="112"/>
  <c r="J34" i="112"/>
  <c r="J42" i="112"/>
  <c r="J46" i="112"/>
  <c r="J26" i="112"/>
  <c r="J30" i="112"/>
  <c r="J38" i="112"/>
  <c r="J27" i="112"/>
  <c r="J31" i="112"/>
  <c r="J35" i="112"/>
  <c r="J39" i="112"/>
  <c r="J43" i="112"/>
  <c r="J47" i="112"/>
  <c r="J28" i="112"/>
  <c r="J36" i="112"/>
  <c r="J44" i="112"/>
  <c r="J23" i="112"/>
  <c r="I24" i="112"/>
  <c r="I28" i="112"/>
  <c r="I32" i="112"/>
  <c r="I40" i="112"/>
  <c r="I48" i="112"/>
  <c r="I25" i="112"/>
  <c r="I29" i="112"/>
  <c r="I33" i="112"/>
  <c r="I37" i="112"/>
  <c r="I41" i="112"/>
  <c r="I45" i="112"/>
  <c r="I38" i="112"/>
  <c r="I46" i="112"/>
  <c r="I26" i="112"/>
  <c r="I30" i="112"/>
  <c r="I34" i="112"/>
  <c r="I42" i="112"/>
  <c r="I27" i="112"/>
  <c r="I31" i="112"/>
  <c r="I35" i="112"/>
  <c r="I39" i="112"/>
  <c r="I43" i="112"/>
  <c r="I47" i="112"/>
  <c r="I36" i="112"/>
  <c r="I44" i="112"/>
  <c r="I23" i="112"/>
  <c r="H24" i="112"/>
  <c r="H28" i="112"/>
  <c r="H32" i="112"/>
  <c r="H36" i="112"/>
  <c r="H40" i="112"/>
  <c r="H44" i="112"/>
  <c r="H25" i="112"/>
  <c r="H29" i="112"/>
  <c r="H33" i="112"/>
  <c r="H37" i="112"/>
  <c r="H41" i="112"/>
  <c r="H45" i="112"/>
  <c r="H26" i="112"/>
  <c r="H30" i="112"/>
  <c r="H34" i="112"/>
  <c r="H38" i="112"/>
  <c r="H42" i="112"/>
  <c r="H46" i="112"/>
  <c r="H27" i="112"/>
  <c r="H31" i="112"/>
  <c r="H35" i="112"/>
  <c r="H39" i="112"/>
  <c r="H43" i="112"/>
  <c r="H47" i="112"/>
  <c r="H48" i="112"/>
  <c r="H23" i="112"/>
  <c r="B56" i="116" l="1"/>
  <c r="X44" i="116"/>
  <c r="W38" i="116"/>
  <c r="W37" i="116"/>
  <c r="AB36" i="116"/>
  <c r="AA36" i="116"/>
  <c r="AB35" i="116"/>
  <c r="AA35" i="116"/>
  <c r="AD34" i="116"/>
  <c r="AD33" i="116"/>
  <c r="C25" i="116"/>
  <c r="G24" i="116"/>
  <c r="C24" i="116"/>
  <c r="K12" i="116"/>
  <c r="K10" i="116"/>
  <c r="A1" i="116"/>
  <c r="T33" i="116"/>
  <c r="C32" i="116"/>
  <c r="I36" i="116"/>
  <c r="C40" i="116"/>
  <c r="M33" i="116"/>
  <c r="I33" i="116"/>
  <c r="I35" i="116"/>
  <c r="C49" i="116"/>
  <c r="I37" i="116"/>
  <c r="E35" i="116"/>
  <c r="C44" i="116"/>
  <c r="M32" i="116"/>
  <c r="C45" i="116"/>
  <c r="E36" i="116"/>
  <c r="C35" i="116"/>
  <c r="E34" i="116"/>
  <c r="E33" i="116"/>
  <c r="C34" i="116"/>
  <c r="C33" i="116"/>
  <c r="C37" i="116"/>
  <c r="E37" i="116"/>
  <c r="C36" i="116"/>
  <c r="G23" i="116"/>
  <c r="C43" i="116"/>
  <c r="M40" i="116"/>
  <c r="V33" i="116"/>
  <c r="I32" i="116"/>
  <c r="M35" i="116"/>
  <c r="E32" i="116"/>
  <c r="M36" i="116"/>
  <c r="M34" i="116"/>
  <c r="M37" i="116"/>
  <c r="I34" i="116"/>
  <c r="C23" i="116"/>
  <c r="T36" i="116"/>
  <c r="T34" i="116"/>
  <c r="V35" i="116"/>
  <c r="V36" i="116"/>
  <c r="V34" i="116"/>
  <c r="C26" i="116"/>
  <c r="C27" i="116"/>
  <c r="C28" i="116"/>
  <c r="T35" i="116"/>
  <c r="G24" i="112"/>
  <c r="G23" i="112"/>
  <c r="F24" i="112"/>
  <c r="F23" i="112"/>
  <c r="E24" i="112"/>
  <c r="E23" i="112"/>
  <c r="U35" i="116" l="1"/>
  <c r="AA38" i="116" s="1"/>
  <c r="W34" i="116"/>
  <c r="AB33" i="116" s="1"/>
  <c r="W36" i="116"/>
  <c r="AB34" i="116" s="1"/>
  <c r="W35" i="116"/>
  <c r="AB38" i="116" s="1"/>
  <c r="U34" i="116"/>
  <c r="AA33" i="116" s="1"/>
  <c r="U36" i="116"/>
  <c r="AA34" i="116" s="1"/>
  <c r="F32" i="116"/>
  <c r="W33" i="116"/>
  <c r="B79" i="116"/>
  <c r="F37" i="116"/>
  <c r="F33" i="116"/>
  <c r="F34" i="116"/>
  <c r="F36" i="116"/>
  <c r="F35" i="116"/>
  <c r="U33" i="116"/>
  <c r="AA32" i="116" s="1"/>
  <c r="R34" i="116" l="1"/>
  <c r="AD32" i="116" s="1"/>
  <c r="AB32" i="116"/>
  <c r="B61" i="116"/>
  <c r="B62" i="116" s="1"/>
  <c r="B63" i="116" s="1"/>
  <c r="B64" i="116" s="1"/>
  <c r="B65" i="116" s="1"/>
  <c r="B66" i="116" s="1"/>
  <c r="B67" i="116" s="1"/>
  <c r="B68" i="116" s="1"/>
  <c r="B69" i="116" s="1"/>
  <c r="B70" i="116" s="1"/>
  <c r="B71" i="116" s="1"/>
  <c r="B72" i="116" s="1"/>
  <c r="B73" i="116" s="1"/>
  <c r="B74" i="116" s="1"/>
  <c r="B75" i="116" s="1"/>
  <c r="B76" i="116" s="1"/>
  <c r="B77" i="116" s="1"/>
  <c r="B78" i="116" s="1"/>
  <c r="B80" i="116"/>
  <c r="B81" i="116" s="1"/>
  <c r="B82" i="116" s="1"/>
  <c r="B83" i="116" s="1"/>
  <c r="B84" i="116" s="1"/>
  <c r="B85" i="116" s="1"/>
  <c r="B86" i="116" s="1"/>
  <c r="B87" i="116" s="1"/>
  <c r="B88" i="116" s="1"/>
  <c r="B89" i="116" s="1"/>
  <c r="B90" i="116" s="1"/>
  <c r="B91" i="116" s="1"/>
  <c r="B92" i="116" s="1"/>
  <c r="B93" i="116" s="1"/>
  <c r="B94" i="116" s="1"/>
  <c r="B95" i="116" s="1"/>
  <c r="B96" i="116" s="1"/>
  <c r="B97" i="116" s="1"/>
  <c r="B98" i="116" s="1"/>
  <c r="B60" i="116"/>
  <c r="E13" i="112" l="1"/>
  <c r="E12" i="112"/>
  <c r="E11" i="112" l="1"/>
  <c r="E10" i="112"/>
  <c r="E9" i="112"/>
  <c r="E7" i="112"/>
  <c r="E25" i="112"/>
  <c r="F25" i="112"/>
  <c r="G25" i="112"/>
  <c r="E26" i="112"/>
  <c r="F26" i="112"/>
  <c r="G26" i="112"/>
  <c r="E27" i="112"/>
  <c r="F27" i="112"/>
  <c r="G27" i="112"/>
  <c r="E28" i="112"/>
  <c r="F28" i="112"/>
  <c r="G28" i="112"/>
  <c r="E29" i="112"/>
  <c r="F29" i="112"/>
  <c r="G29" i="112"/>
  <c r="E30" i="112"/>
  <c r="F30" i="112"/>
  <c r="G30" i="112"/>
  <c r="E31" i="112"/>
  <c r="F31" i="112"/>
  <c r="G31" i="112"/>
  <c r="E32" i="112"/>
  <c r="F32" i="112"/>
  <c r="G32" i="112"/>
  <c r="E33" i="112"/>
  <c r="F33" i="112"/>
  <c r="G33" i="112"/>
  <c r="E34" i="112"/>
  <c r="F34" i="112"/>
  <c r="G34" i="112"/>
  <c r="E35" i="112"/>
  <c r="F35" i="112"/>
  <c r="G35" i="112"/>
  <c r="E36" i="112"/>
  <c r="F36" i="112"/>
  <c r="G36" i="112"/>
  <c r="E37" i="112"/>
  <c r="F37" i="112"/>
  <c r="G37" i="112"/>
  <c r="E38" i="112"/>
  <c r="F38" i="112"/>
  <c r="G38" i="112"/>
  <c r="E39" i="112"/>
  <c r="F39" i="112"/>
  <c r="G39" i="112"/>
  <c r="E40" i="112"/>
  <c r="F40" i="112"/>
  <c r="G40" i="112"/>
  <c r="E41" i="112"/>
  <c r="F41" i="112"/>
  <c r="G41" i="112"/>
  <c r="E42" i="112"/>
  <c r="F42" i="112"/>
  <c r="G42" i="112"/>
  <c r="E43" i="112"/>
  <c r="F43" i="112"/>
  <c r="G43" i="112"/>
  <c r="E44" i="112"/>
  <c r="F44" i="112"/>
  <c r="G44" i="112"/>
  <c r="E45" i="112"/>
  <c r="F45" i="112"/>
  <c r="G45" i="112"/>
  <c r="E46" i="112"/>
  <c r="F46" i="112"/>
  <c r="G46" i="112"/>
  <c r="E47" i="112"/>
  <c r="F47" i="112"/>
  <c r="G47" i="112"/>
  <c r="E48" i="112"/>
  <c r="F48" i="112"/>
  <c r="G48" i="112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comments2.xml><?xml version="1.0" encoding="utf-8"?>
<comments xmlns="http://schemas.openxmlformats.org/spreadsheetml/2006/main">
  <authors>
    <author>Ринат Хабибуллин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23.05.2018  Исправлен расчет диаграммы рассогласования данных PVT 
02.06.2018  Добавлен график с долей газа, в диаграмме рассогласованности добавлена учет расхождений по плотности газа, добавлены графики без калибровок, исправлен расчет с учетом сепарации без калибровок
22.05.2018  Добавлен график - диаграмма рассогласованности PVT данных</t>
        </r>
      </text>
    </comment>
    <comment ref="H3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Набор корреляций для расчета
0 - на основе корреляции Стендинга
1 - на основе корреляции Валко МакКейна</t>
        </r>
      </text>
    </comment>
    <comment ref="N7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Моделируется сепарация газа на приеме насоса в скважине. 
Из потока отделяется часть свободного газа при определенном давлении и температуре - при этом свойства флюида также меняются
Ксееп = 0  отсутствие сепарации
Ксеп = 1 весь свободный газ отделяется из потока
Применяется для моделирования свойств флюидов в НКТ выше насоса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Давление при котором проводится расчет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Относительная плотность нефти</t>
        </r>
      </text>
    </comment>
    <comment ref="K8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Дебит жидкости в стандартных условиях. Необходим для расчета свойств смеси. Непосредственно на PVT свойства не влияет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Температура, при которой проводится расчет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Относительная плотность газа</t>
        </r>
      </text>
    </comment>
    <comment ref="K9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Обводненность, объемная</t>
        </r>
      </text>
    </comment>
    <comment ref="G10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Относительная плотность воды</t>
        </r>
      </text>
    </comment>
    <comment ref="G11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Газосодержание в нефти 
при давлении насыщения</t>
        </r>
      </text>
    </comment>
    <comment ref="K11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Газовый фактор</t>
        </r>
      </text>
    </comment>
    <comment ref="K12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Газовый фактор в м3/т
В одной тонне более 1 м3 нефти
</t>
        </r>
      </text>
    </comment>
    <comment ref="G14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Пластовая температура</t>
        </r>
      </text>
    </comment>
    <comment ref="G15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Давление насыщения (при пластовой температуре)
калибровочный параметр. Если не задан - не учитывается.</t>
        </r>
      </text>
    </comment>
    <comment ref="G16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Объемный коэффициент нефти
при давлении насыщения
калибровочный параметр. Если не задан - не учитывается.</t>
        </r>
      </text>
    </comment>
    <comment ref="G17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нефти при давлении насыщения 
калибровочный параметр. Если не задан - не учитывается.</t>
        </r>
      </text>
    </comment>
    <comment ref="C23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Давление насыщения при пластовой температуре с учетом калибровок</t>
        </r>
      </text>
    </comment>
    <comment ref="G23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Давление насыщения при заданной температуре с учетом калибровок</t>
        </r>
      </text>
    </comment>
    <comment ref="C32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Плотность нефти при стандартных условиях
с учетом калибровок</t>
        </r>
      </text>
    </comment>
    <comment ref="E32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Плотность нефти при стандартных условиях
без учета калибровок</t>
        </r>
      </text>
    </comment>
    <comment ref="C33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нефти при стандартных условиях
с учетом калибровок</t>
        </r>
      </text>
    </comment>
    <comment ref="E33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нефти при стандартных условиях
без учета калибровок</t>
        </r>
      </text>
    </comment>
    <comment ref="I33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газа при заданных условиях</t>
        </r>
      </text>
    </comment>
    <comment ref="C34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Газосодержание при заданных условиях
с учетом калибровок</t>
        </r>
      </text>
    </comment>
    <comment ref="E34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Газосодержание при заданных условиях
без учета калибровок</t>
        </r>
      </text>
    </comment>
    <comment ref="I34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z фактор газа при заданных условиях</t>
        </r>
      </text>
    </comment>
    <comment ref="M34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соленость воды при заданных условиях</t>
        </r>
      </text>
    </comment>
    <comment ref="C35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Объемный коэффициент нефти при заданных условиях
с учетом калибровок</t>
        </r>
      </text>
    </comment>
    <comment ref="E35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Объемный коэффициент нефти при заданных условиях
без учета калибровок</t>
        </r>
      </text>
    </comment>
    <comment ref="C36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Плотность нефти при заданных условиях
с учетом калибровок</t>
        </r>
      </text>
    </comment>
    <comment ref="E36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Плотность нефти при заданных условиях
без учета калибровок</t>
        </r>
      </text>
    </comment>
    <comment ref="C37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нефти при заданных условиях
с учетом калибровок</t>
        </r>
      </text>
    </comment>
    <comment ref="E37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нефти при заданных условиях
без учета калибровок</t>
        </r>
      </text>
    </comment>
    <comment ref="I37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газа при заданных условиях</t>
        </r>
      </text>
    </comment>
    <comment ref="M37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воды при заданных условиях</t>
        </r>
      </text>
    </comment>
    <comment ref="C38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Сжимаемость нефти</t>
        </r>
      </text>
    </comment>
    <comment ref="I38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Сжимаемость газа</t>
        </r>
      </text>
    </comment>
    <comment ref="M38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Сжимаемость воды</t>
        </r>
      </text>
    </comment>
    <comment ref="C39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Удельная теплоемкость нефти
</t>
        </r>
      </text>
    </comment>
    <comment ref="I39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Удельная теплоемкость газа
</t>
        </r>
      </text>
    </comment>
    <comment ref="M39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Удельная теплоемкость воды
</t>
        </r>
      </text>
    </comment>
    <comment ref="B58" authorId="0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Этот солбец с давлениями можно менять - он определяет для каких значений давления будут построены графики</t>
        </r>
      </text>
    </comment>
  </commentList>
</comments>
</file>

<file path=xl/sharedStrings.xml><?xml version="1.0" encoding="utf-8"?>
<sst xmlns="http://schemas.openxmlformats.org/spreadsheetml/2006/main" count="2749" uniqueCount="264">
  <si>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</si>
  <si>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</si>
  <si>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</si>
  <si>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</si>
  <si>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</si>
  <si>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</si>
  <si>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</si>
  <si>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</si>
  <si>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</si>
  <si>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</si>
  <si>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</si>
  <si>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</si>
  <si>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</si>
  <si>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</si>
  <si>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</si>
  <si>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</si>
  <si>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</si>
  <si>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</si>
  <si>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</si>
  <si>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</si>
  <si>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</si>
  <si>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</si>
  <si>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</si>
  <si>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</si>
  <si>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</si>
  <si>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</si>
  <si>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</si>
  <si>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</si>
  <si>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</si>
  <si>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</si>
  <si>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</si>
  <si>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</si>
  <si>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</si>
  <si>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</si>
  <si>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</si>
  <si>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</si>
  <si>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</si>
  <si>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</si>
  <si>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</si>
  <si>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</si>
  <si>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</si>
  <si>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</si>
  <si>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</si>
  <si>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</si>
  <si>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</si>
  <si>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</si>
  <si>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</si>
  <si>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</si>
  <si>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</si>
  <si>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</si>
  <si>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</si>
  <si>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</si>
  <si>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</si>
  <si>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</si>
  <si>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</si>
  <si>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</si>
  <si>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</si>
  <si>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</si>
  <si>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</si>
  <si>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</si>
  <si>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</si>
  <si>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</si>
  <si>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</si>
  <si>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</si>
  <si>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</si>
  <si>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</si>
  <si>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</si>
  <si>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</si>
  <si>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</si>
  <si>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</si>
  <si>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</si>
  <si>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</si>
  <si>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</si>
  <si>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</si>
  <si>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</si>
  <si>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</si>
  <si>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</si>
  <si>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</si>
  <si>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</si>
  <si>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</si>
  <si>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</si>
  <si>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</si>
  <si>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</si>
  <si>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</si>
  <si>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</si>
  <si>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</si>
  <si>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</si>
  <si>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</si>
  <si>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</si>
  <si>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</si>
  <si>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</si>
  <si>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</si>
  <si>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</si>
  <si>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</si>
  <si>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</si>
  <si>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</si>
  <si>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</si>
  <si>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</si>
  <si>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</si>
  <si>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</si>
  <si>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</si>
  <si>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</si>
  <si>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</si>
  <si>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</si>
  <si>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</si>
  <si>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</si>
  <si>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</si>
  <si>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</si>
  <si>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</si>
  <si>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</si>
  <si>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</si>
  <si>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</si>
  <si>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</si>
  <si>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</si>
  <si>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</si>
  <si>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</si>
  <si>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</si>
  <si>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</si>
  <si>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</si>
  <si>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</si>
  <si>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</si>
  <si>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</si>
  <si>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</si>
  <si>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</si>
  <si>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</si>
  <si>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</si>
  <si>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</si>
  <si>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</si>
  <si>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</si>
  <si>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Удельная плотность нефти</t>
  </si>
  <si>
    <t>кг/м3</t>
  </si>
  <si>
    <t>Удельная плотность газа</t>
  </si>
  <si>
    <t>Газосодержание при давлении насыщения</t>
  </si>
  <si>
    <t>м3/м3</t>
  </si>
  <si>
    <t>м3/т</t>
  </si>
  <si>
    <t>Газовый фактор</t>
  </si>
  <si>
    <t>Давление насыщения (при пластовой температуре)</t>
  </si>
  <si>
    <t>Пластовая температура</t>
  </si>
  <si>
    <t>С</t>
  </si>
  <si>
    <t>Объемный коээфициент нефти (при пластовом давлении и температуре)</t>
  </si>
  <si>
    <t>%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</si>
  <si>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</si>
  <si>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</si>
  <si>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</si>
  <si>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</si>
  <si>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Удельная плотность воды</t>
  </si>
  <si>
    <t>Упражнения к курсу "Инженерные расчеты в добыче нефти"</t>
  </si>
  <si>
    <t>Вязкость нефти при давлении насыщения</t>
  </si>
  <si>
    <t>сП</t>
  </si>
  <si>
    <t>атмa</t>
  </si>
  <si>
    <t>МПа</t>
  </si>
  <si>
    <t>Ф</t>
  </si>
  <si>
    <r>
      <t>R</t>
    </r>
    <r>
      <rPr>
        <vertAlign val="subscript"/>
        <sz val="12"/>
        <rFont val="Arial Cyr"/>
        <charset val="204"/>
      </rPr>
      <t>s</t>
    </r>
  </si>
  <si>
    <r>
      <t>B</t>
    </r>
    <r>
      <rPr>
        <vertAlign val="subscript"/>
        <sz val="12"/>
        <rFont val="Arial Cyr"/>
        <charset val="204"/>
      </rPr>
      <t>o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</si>
  <si>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Arial Cyr"/>
        <charset val="204"/>
      </rPr>
      <t>o</t>
    </r>
  </si>
  <si>
    <t>Стандартные условия</t>
  </si>
  <si>
    <t>Калькулятор PVT свойств пластовых флюидов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</si>
  <si>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sc</t>
    </r>
  </si>
  <si>
    <t>atma</t>
  </si>
  <si>
    <t>Набор корреляций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</si>
  <si>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sc</t>
    </r>
  </si>
  <si>
    <t>C</t>
  </si>
  <si>
    <t>Исходные данные</t>
  </si>
  <si>
    <t>Исходные термобарические условия</t>
  </si>
  <si>
    <t>Базовые свойства нефти</t>
  </si>
  <si>
    <t>Свойства смеси</t>
  </si>
  <si>
    <t>Модификация флюида при сепарации</t>
  </si>
  <si>
    <t>Р</t>
  </si>
  <si>
    <t>атма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</si>
  <si>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</si>
  <si>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l sc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</si>
  <si>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/сут</t>
    </r>
  </si>
  <si>
    <t>Ksep</t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</si>
  <si>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</si>
  <si>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</si>
  <si>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</si>
  <si>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t>Psep</t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</si>
  <si>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</si>
  <si>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o sc</t>
    </r>
  </si>
  <si>
    <t>т/сут</t>
  </si>
  <si>
    <t>Tsep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</si>
  <si>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</si>
  <si>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</si>
  <si>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</si>
  <si>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</si>
  <si>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Калибровочные параметры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</si>
  <si>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</si>
  <si>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</si>
  <si>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</si>
  <si>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</si>
  <si>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Расчетные свойства пластовых флюидов</t>
  </si>
  <si>
    <t>Свойства нефти при давлении насыщения</t>
  </si>
  <si>
    <t>При тек температуре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</si>
  <si>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</si>
  <si>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</t>
    </r>
  </si>
  <si>
    <r>
      <t>ρ</t>
    </r>
    <r>
      <rPr>
        <vertAlign val="subscript"/>
        <sz val="11"/>
        <color theme="1"/>
        <rFont val="Calibri"/>
        <family val="2"/>
        <charset val="204"/>
      </rPr>
      <t>ob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</si>
  <si>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</si>
  <si>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μ</t>
    </r>
    <r>
      <rPr>
        <vertAlign val="subscript"/>
        <sz val="11"/>
        <color theme="1"/>
        <rFont val="Calibri"/>
        <family val="2"/>
        <charset val="204"/>
      </rPr>
      <t>ob</t>
    </r>
  </si>
  <si>
    <t>Свойства нефти при заданных условиях</t>
  </si>
  <si>
    <t>Свойства газа при заданных условиях</t>
  </si>
  <si>
    <t>Свойства воды при заданных условиях</t>
  </si>
  <si>
    <t>Расчет  для диаграммы рассогласованности данных</t>
  </si>
  <si>
    <t>Рассогласованность данных</t>
  </si>
  <si>
    <r>
      <t>ρ</t>
    </r>
    <r>
      <rPr>
        <vertAlign val="subscript"/>
        <sz val="11"/>
        <color theme="1"/>
        <rFont val="Calibri"/>
        <family val="2"/>
        <charset val="204"/>
      </rPr>
      <t>o sc</t>
    </r>
  </si>
  <si>
    <r>
      <t>ρ</t>
    </r>
    <r>
      <rPr>
        <vertAlign val="subscript"/>
        <sz val="11"/>
        <color theme="1"/>
        <rFont val="Calibri"/>
        <family val="2"/>
        <charset val="204"/>
      </rPr>
      <t>g sc</t>
    </r>
  </si>
  <si>
    <r>
      <t>ρ</t>
    </r>
    <r>
      <rPr>
        <vertAlign val="subscript"/>
        <sz val="11"/>
        <color theme="1"/>
        <rFont val="Calibri"/>
        <family val="2"/>
        <charset val="204"/>
      </rPr>
      <t>w sc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</si>
  <si>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o new </t>
    </r>
  </si>
  <si>
    <r>
      <t>С исх γ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g </t>
    </r>
  </si>
  <si>
    <r>
      <t>С эфф γ</t>
    </r>
    <r>
      <rPr>
        <vertAlign val="subscript"/>
        <sz val="11"/>
        <color theme="1"/>
        <rFont val="Calibri"/>
        <family val="2"/>
        <charset val="204"/>
        <scheme val="minor"/>
      </rPr>
      <t>g new</t>
    </r>
  </si>
  <si>
    <t>веса</t>
  </si>
  <si>
    <r>
      <t>μ</t>
    </r>
    <r>
      <rPr>
        <vertAlign val="subscript"/>
        <sz val="11"/>
        <color theme="1"/>
        <rFont val="Calibri"/>
        <family val="2"/>
        <charset val="204"/>
      </rPr>
      <t>o sc</t>
    </r>
  </si>
  <si>
    <r>
      <t>μ</t>
    </r>
    <r>
      <rPr>
        <vertAlign val="subscript"/>
        <sz val="11"/>
        <color theme="1"/>
        <rFont val="Calibri"/>
        <family val="2"/>
        <charset val="204"/>
      </rPr>
      <t>g sc</t>
    </r>
  </si>
  <si>
    <r>
      <t>μ</t>
    </r>
    <r>
      <rPr>
        <vertAlign val="subscript"/>
        <sz val="11"/>
        <color theme="1"/>
        <rFont val="Calibri"/>
        <family val="2"/>
        <charset val="204"/>
      </rPr>
      <t>w sc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</si>
  <si>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g new 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</si>
  <si>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</t>
    </r>
  </si>
  <si>
    <t>Z</t>
  </si>
  <si>
    <t>S</t>
  </si>
  <si>
    <t>ppm</t>
  </si>
  <si>
    <t>Сумм откл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</si>
  <si>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</si>
  <si>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</si>
  <si>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</si>
  <si>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o</t>
    </r>
  </si>
  <si>
    <r>
      <t>ρ</t>
    </r>
    <r>
      <rPr>
        <vertAlign val="subscript"/>
        <sz val="11"/>
        <color theme="1"/>
        <rFont val="Calibri"/>
        <family val="2"/>
        <charset val="204"/>
      </rPr>
      <t>o</t>
    </r>
  </si>
  <si>
    <r>
      <t>ρ</t>
    </r>
    <r>
      <rPr>
        <vertAlign val="subscript"/>
        <sz val="11"/>
        <color theme="1"/>
        <rFont val="Calibri"/>
        <family val="2"/>
        <charset val="204"/>
      </rPr>
      <t>g</t>
    </r>
  </si>
  <si>
    <r>
      <t>ρ</t>
    </r>
    <r>
      <rPr>
        <vertAlign val="subscript"/>
        <sz val="11"/>
        <color theme="1"/>
        <rFont val="Calibri"/>
        <family val="2"/>
        <charset val="204"/>
      </rPr>
      <t>w</t>
    </r>
  </si>
  <si>
    <r>
      <t>μ</t>
    </r>
    <r>
      <rPr>
        <vertAlign val="subscript"/>
        <sz val="11"/>
        <color theme="1"/>
        <rFont val="Calibri"/>
        <family val="2"/>
        <charset val="204"/>
      </rPr>
      <t>o</t>
    </r>
  </si>
  <si>
    <r>
      <t>μ</t>
    </r>
    <r>
      <rPr>
        <vertAlign val="subscript"/>
        <sz val="11"/>
        <color theme="1"/>
        <rFont val="Calibri"/>
        <family val="2"/>
        <charset val="204"/>
      </rPr>
      <t>g</t>
    </r>
  </si>
  <si>
    <r>
      <t>μ</t>
    </r>
    <r>
      <rPr>
        <vertAlign val="subscript"/>
        <sz val="11"/>
        <color theme="1"/>
        <rFont val="Calibri"/>
        <family val="2"/>
        <charset val="204"/>
      </rPr>
      <t>w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</si>
  <si>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</si>
  <si>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</si>
  <si>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</si>
  <si>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</si>
  <si>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</si>
  <si>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</si>
  <si>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rPr>
        <sz val="10"/>
        <rFont val="Arial Cyr"/>
        <charset val="204"/>
      </rPr>
      <t>σ</t>
    </r>
    <r>
      <rPr>
        <vertAlign val="subscript"/>
        <sz val="11"/>
        <color theme="1"/>
        <rFont val="Calibri"/>
        <family val="2"/>
        <charset val="204"/>
        <scheme val="minor"/>
      </rPr>
      <t>o</t>
    </r>
  </si>
  <si>
    <t>Нм</t>
  </si>
  <si>
    <r>
      <t>σ</t>
    </r>
    <r>
      <rPr>
        <vertAlign val="subscript"/>
        <sz val="11"/>
        <color theme="0" tint="-0.499984740745262"/>
        <rFont val="Calibri"/>
        <family val="2"/>
        <charset val="204"/>
        <scheme val="minor"/>
      </rPr>
      <t>w</t>
    </r>
  </si>
  <si>
    <t>Свойства смеси при заданных условиях</t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</si>
  <si>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mix</t>
    </r>
  </si>
  <si>
    <r>
      <t>ρ</t>
    </r>
    <r>
      <rPr>
        <vertAlign val="subscript"/>
        <sz val="11"/>
        <color theme="1"/>
        <rFont val="Calibri"/>
        <family val="2"/>
        <charset val="204"/>
      </rPr>
      <t>mix</t>
    </r>
  </si>
  <si>
    <r>
      <t>μ</t>
    </r>
    <r>
      <rPr>
        <vertAlign val="subscript"/>
        <sz val="11"/>
        <color theme="1"/>
        <rFont val="Calibri"/>
        <family val="2"/>
        <charset val="204"/>
      </rPr>
      <t>mix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</si>
  <si>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mix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</si>
  <si>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mix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</si>
  <si>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mix</t>
    </r>
  </si>
  <si>
    <t>Графики PVT свойств пластовых флюидов (от давления и температуры)</t>
  </si>
  <si>
    <t>Давление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</si>
  <si>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 sep</t>
    </r>
    <r>
      <rPr>
        <sz val="10"/>
        <rFont val="Arial Cyr"/>
        <charset val="204"/>
      </rPr>
      <t xml:space="preserve"> 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</si>
  <si>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 corr</t>
    </r>
    <r>
      <rPr>
        <sz val="10"/>
        <rFont val="Arial Cyr"/>
        <charset val="204"/>
      </rPr>
      <t xml:space="preserve"> 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</si>
  <si>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 sep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</si>
  <si>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 corr</t>
    </r>
  </si>
  <si>
    <r>
      <t>ρ</t>
    </r>
    <r>
      <rPr>
        <vertAlign val="subscript"/>
        <sz val="11"/>
        <color theme="1"/>
        <rFont val="Calibri"/>
        <family val="2"/>
        <charset val="204"/>
      </rPr>
      <t>o sep</t>
    </r>
  </si>
  <si>
    <r>
      <t>ρ</t>
    </r>
    <r>
      <rPr>
        <vertAlign val="subscript"/>
        <sz val="11"/>
        <color theme="1"/>
        <rFont val="Calibri"/>
        <family val="2"/>
        <charset val="204"/>
      </rPr>
      <t>o corr</t>
    </r>
  </si>
  <si>
    <r>
      <t>μ</t>
    </r>
    <r>
      <rPr>
        <vertAlign val="subscript"/>
        <sz val="11"/>
        <color theme="1"/>
        <rFont val="Calibri"/>
        <family val="2"/>
        <charset val="204"/>
      </rPr>
      <t>o sep</t>
    </r>
  </si>
  <si>
    <r>
      <t>μ</t>
    </r>
    <r>
      <rPr>
        <vertAlign val="subscript"/>
        <sz val="11"/>
        <color theme="1"/>
        <rFont val="Calibri"/>
        <family val="2"/>
        <charset val="204"/>
      </rPr>
      <t>o corr</t>
    </r>
  </si>
  <si>
    <r>
      <rPr>
        <sz val="10"/>
        <rFont val="Arial Cyr"/>
        <charset val="204"/>
      </rPr>
      <t>β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</si>
  <si>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β</t>
    </r>
    <r>
      <rPr>
        <vertAlign val="subscript"/>
        <sz val="11"/>
        <color theme="1"/>
        <rFont val="Calibri"/>
        <family val="2"/>
        <charset val="204"/>
        <scheme val="minor"/>
      </rPr>
      <t>g sep</t>
    </r>
  </si>
  <si>
    <r>
      <t>β</t>
    </r>
    <r>
      <rPr>
        <vertAlign val="subscript"/>
        <sz val="11"/>
        <color theme="1"/>
        <rFont val="Calibri"/>
        <family val="2"/>
        <charset val="204"/>
        <scheme val="minor"/>
      </rPr>
      <t>g corr</t>
    </r>
  </si>
  <si>
    <t>Построение базовых PVT свойств нефти</t>
  </si>
  <si>
    <r>
      <t>μ</t>
    </r>
    <r>
      <rPr>
        <sz val="9"/>
        <rFont val="Calibri"/>
        <family val="2"/>
        <charset val="204"/>
      </rPr>
      <t>g</t>
    </r>
  </si>
  <si>
    <r>
      <t>μ</t>
    </r>
    <r>
      <rPr>
        <sz val="8"/>
        <rFont val="Calibri"/>
        <family val="2"/>
        <charset val="204"/>
      </rPr>
      <t>w</t>
    </r>
  </si>
  <si>
    <r>
      <t>ρ</t>
    </r>
    <r>
      <rPr>
        <sz val="8"/>
        <rFont val="Arial Cyr"/>
        <charset val="204"/>
      </rPr>
      <t>г</t>
    </r>
  </si>
  <si>
    <r>
      <t>ρ</t>
    </r>
    <r>
      <rPr>
        <sz val="8"/>
        <rFont val="Arial Cyr"/>
        <charset val="204"/>
      </rPr>
      <t>в</t>
    </r>
  </si>
  <si>
    <r>
      <t>ρ</t>
    </r>
    <r>
      <rPr>
        <sz val="8"/>
        <rFont val="Arial Cyr"/>
        <charset val="204"/>
      </rPr>
      <t>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</si>
</sst>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0.000"/>
  </numFmts>
  <fonts count="29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vertAlign val="subscript"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vertAlign val="subscript"/>
      <sz val="11"/>
      <color theme="0" tint="-0.499984740745262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sz val="8"/>
      <name val="Calibri"/>
      <family val="2"/>
      <charset val="204"/>
    </font>
    <font>
      <sz val="8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2" fillId="0" borderId="0" xfId="0" applyNumberFormat="1" applyFont="1" applyAlignment="1">
      <alignment horizontal="right"/>
    </xf>
    <xf numFmtId="1" fontId="0" fillId="0" borderId="2" xfId="0" applyNumberFormat="1" applyBorder="1" applyAlignment="1">
      <alignment horizontal="center"/>
    </xf>
    <xf numFmtId="0" fontId="0" fillId="0" borderId="0" xfId="0" quotePrefix="1"/>
    <xf numFmtId="0" fontId="13" fillId="0" borderId="2" xfId="0" applyFont="1" applyBorder="1" applyAlignment="1">
      <alignment horizontal="center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1" fillId="0" borderId="0" xfId="7" applyAlignment="1">
      <alignment horizontal="center"/>
    </xf>
    <xf numFmtId="0" fontId="1" fillId="0" borderId="0" xfId="7"/>
    <xf numFmtId="0" fontId="1" fillId="0" borderId="0" xfId="7" applyAlignment="1">
      <alignment wrapText="1"/>
    </xf>
    <xf numFmtId="0" fontId="1" fillId="3" borderId="0" xfId="7" applyFill="1"/>
    <xf numFmtId="0" fontId="18" fillId="3" borderId="0" xfId="7" applyFont="1" applyFill="1" applyAlignment="1">
      <alignment horizontal="center" vertical="center"/>
    </xf>
    <xf numFmtId="0" fontId="1" fillId="4" borderId="0" xfId="7" applyFill="1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8" fillId="3" borderId="0" xfId="7" applyFont="1" applyFill="1" applyAlignment="1">
      <alignment horizontal="left" vertical="center"/>
    </xf>
    <xf numFmtId="0" fontId="8" fillId="3" borderId="0" xfId="7" applyFont="1" applyFill="1" applyAlignment="1">
      <alignment horizontal="left"/>
    </xf>
    <xf numFmtId="0" fontId="1" fillId="3" borderId="0" xfId="7" applyFill="1" applyAlignment="1">
      <alignment wrapText="1"/>
    </xf>
    <xf numFmtId="0" fontId="1" fillId="3" borderId="0" xfId="7" applyFill="1" applyAlignment="1">
      <alignment horizontal="center"/>
    </xf>
    <xf numFmtId="0" fontId="1" fillId="3" borderId="0" xfId="7" applyFill="1" applyAlignment="1">
      <alignment horizontal="center" vertical="center" wrapText="1"/>
    </xf>
    <xf numFmtId="165" fontId="1" fillId="3" borderId="0" xfId="7" applyNumberFormat="1" applyFill="1" applyAlignment="1">
      <alignment horizontal="center" vertical="center" wrapText="1"/>
    </xf>
    <xf numFmtId="1" fontId="1" fillId="3" borderId="0" xfId="7" applyNumberFormat="1" applyFill="1" applyAlignment="1">
      <alignment horizontal="center" vertical="center" wrapText="1"/>
    </xf>
    <xf numFmtId="0" fontId="18" fillId="3" borderId="0" xfId="7" applyFont="1" applyFill="1" applyAlignment="1">
      <alignment horizontal="center" vertical="center" wrapText="1"/>
    </xf>
    <xf numFmtId="0" fontId="8" fillId="0" borderId="3" xfId="7" applyFont="1" applyBorder="1" applyAlignment="1">
      <alignment horizontal="left" vertical="center"/>
    </xf>
    <xf numFmtId="0" fontId="1" fillId="0" borderId="3" xfId="7" applyBorder="1"/>
    <xf numFmtId="0" fontId="1" fillId="0" borderId="3" xfId="7" applyBorder="1" applyAlignment="1">
      <alignment wrapText="1"/>
    </xf>
    <xf numFmtId="0" fontId="1" fillId="3" borderId="0" xfId="7" applyFill="1" applyAlignment="1"/>
    <xf numFmtId="1" fontId="1" fillId="5" borderId="0" xfId="7" applyNumberFormat="1" applyFill="1" applyAlignment="1">
      <alignment horizontal="center" vertical="center"/>
    </xf>
    <xf numFmtId="1" fontId="1" fillId="5" borderId="0" xfId="7" applyNumberFormat="1" applyFill="1" applyAlignment="1">
      <alignment horizontal="center" vertical="center" wrapText="1"/>
    </xf>
    <xf numFmtId="0" fontId="1" fillId="5" borderId="0" xfId="7" applyFill="1" applyAlignment="1">
      <alignment horizontal="center" vertical="center"/>
    </xf>
    <xf numFmtId="1" fontId="1" fillId="5" borderId="0" xfId="7" applyNumberFormat="1" applyFill="1" applyAlignment="1">
      <alignment horizontal="center" wrapText="1"/>
    </xf>
    <xf numFmtId="2" fontId="1" fillId="5" borderId="0" xfId="7" applyNumberFormat="1" applyFill="1" applyAlignment="1">
      <alignment horizontal="center" vertical="center"/>
    </xf>
    <xf numFmtId="165" fontId="1" fillId="5" borderId="0" xfId="7" applyNumberFormat="1" applyFill="1" applyAlignment="1">
      <alignment horizontal="center" vertical="center"/>
    </xf>
    <xf numFmtId="0" fontId="22" fillId="3" borderId="0" xfId="7" applyFont="1" applyFill="1"/>
    <xf numFmtId="0" fontId="1" fillId="3" borderId="0" xfId="7" applyFill="1" applyBorder="1"/>
    <xf numFmtId="1" fontId="22" fillId="3" borderId="0" xfId="7" applyNumberFormat="1" applyFont="1" applyFill="1" applyAlignment="1">
      <alignment horizontal="center" vertical="center"/>
    </xf>
    <xf numFmtId="9" fontId="22" fillId="3" borderId="0" xfId="8" applyFont="1" applyFill="1" applyAlignment="1">
      <alignment horizontal="center" vertical="center"/>
    </xf>
    <xf numFmtId="0" fontId="22" fillId="0" borderId="0" xfId="7" applyFont="1"/>
    <xf numFmtId="0" fontId="1" fillId="3" borderId="0" xfId="7" applyFill="1" applyBorder="1" applyAlignment="1">
      <alignment horizontal="center" vertical="center"/>
    </xf>
    <xf numFmtId="2" fontId="1" fillId="6" borderId="0" xfId="7" applyNumberFormat="1" applyFill="1" applyBorder="1" applyAlignment="1">
      <alignment horizontal="center" vertical="center"/>
    </xf>
    <xf numFmtId="9" fontId="1" fillId="3" borderId="0" xfId="7" applyNumberFormat="1" applyFill="1"/>
    <xf numFmtId="9" fontId="0" fillId="3" borderId="0" xfId="8" applyFont="1" applyFill="1"/>
    <xf numFmtId="166" fontId="1" fillId="5" borderId="0" xfId="7" applyNumberFormat="1" applyFill="1" applyAlignment="1">
      <alignment horizontal="center" vertical="center"/>
    </xf>
    <xf numFmtId="1" fontId="22" fillId="3" borderId="0" xfId="7" applyNumberFormat="1" applyFont="1" applyFill="1" applyBorder="1" applyAlignment="1">
      <alignment horizontal="center" vertical="center"/>
    </xf>
    <xf numFmtId="9" fontId="22" fillId="3" borderId="0" xfId="8" applyFont="1" applyFill="1" applyBorder="1" applyAlignment="1">
      <alignment horizontal="center" vertical="center"/>
    </xf>
    <xf numFmtId="0" fontId="1" fillId="3" borderId="0" xfId="7" applyFill="1" applyBorder="1" applyAlignment="1">
      <alignment horizontal="left" vertical="center"/>
    </xf>
    <xf numFmtId="10" fontId="0" fillId="3" borderId="0" xfId="8" applyNumberFormat="1" applyFont="1" applyFill="1" applyBorder="1" applyAlignment="1">
      <alignment horizontal="center" vertical="center"/>
    </xf>
    <xf numFmtId="2" fontId="22" fillId="3" borderId="0" xfId="7" applyNumberFormat="1" applyFont="1" applyFill="1" applyAlignment="1">
      <alignment horizontal="center" vertical="center"/>
    </xf>
    <xf numFmtId="2" fontId="22" fillId="3" borderId="0" xfId="7" applyNumberFormat="1" applyFont="1" applyFill="1" applyBorder="1" applyAlignment="1">
      <alignment horizontal="center" vertical="center"/>
    </xf>
    <xf numFmtId="165" fontId="22" fillId="3" borderId="0" xfId="7" applyNumberFormat="1" applyFont="1" applyFill="1" applyAlignment="1">
      <alignment horizontal="center" vertical="center"/>
    </xf>
    <xf numFmtId="165" fontId="22" fillId="3" borderId="0" xfId="7" applyNumberFormat="1" applyFont="1" applyFill="1" applyBorder="1" applyAlignment="1">
      <alignment horizontal="center" vertical="center"/>
    </xf>
    <xf numFmtId="0" fontId="1" fillId="3" borderId="0" xfId="7" applyFont="1" applyFill="1" applyAlignment="1">
      <alignment horizontal="center" vertical="center"/>
    </xf>
    <xf numFmtId="166" fontId="1" fillId="0" borderId="0" xfId="7" applyNumberFormat="1" applyAlignment="1">
      <alignment horizontal="center"/>
    </xf>
    <xf numFmtId="2" fontId="1" fillId="5" borderId="0" xfId="7" applyNumberFormat="1" applyFill="1" applyAlignment="1">
      <alignment horizontal="center"/>
    </xf>
    <xf numFmtId="0" fontId="8" fillId="0" borderId="3" xfId="7" applyFont="1" applyBorder="1"/>
    <xf numFmtId="0" fontId="22" fillId="0" borderId="3" xfId="7" applyFont="1" applyBorder="1"/>
    <xf numFmtId="0" fontId="24" fillId="0" borderId="0" xfId="7" applyFont="1" applyAlignment="1">
      <alignment horizontal="center"/>
    </xf>
    <xf numFmtId="0" fontId="24" fillId="7" borderId="0" xfId="7" applyFont="1" applyFill="1" applyAlignment="1">
      <alignment horizontal="center"/>
    </xf>
    <xf numFmtId="0" fontId="1" fillId="8" borderId="0" xfId="7" applyFill="1" applyAlignment="1">
      <alignment horizontal="center"/>
    </xf>
    <xf numFmtId="1" fontId="1" fillId="8" borderId="0" xfId="7" applyNumberFormat="1" applyFill="1" applyAlignment="1">
      <alignment horizontal="center"/>
    </xf>
    <xf numFmtId="165" fontId="8" fillId="8" borderId="0" xfId="7" applyNumberFormat="1" applyFont="1" applyFill="1" applyAlignment="1">
      <alignment horizontal="center"/>
    </xf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  <xf numFmtId="0" fontId="8" fillId="0" borderId="0" xfId="7" applyFont="1" applyAlignment="1">
      <alignment horizontal="center"/>
    </xf>
    <xf numFmtId="0" fontId="1" fillId="3" borderId="0" xfId="7" applyFill="1" applyAlignment="1">
      <alignment horizontal="center" wrapText="1"/>
    </xf>
    <xf numFmtId="0" fontId="1" fillId="3" borderId="0" xfId="7" applyFill="1" applyAlignment="1">
      <alignment horizontal="center"/>
    </xf>
    <xf numFmtId="2" fontId="0" fillId="0" borderId="2" xfId="0" applyNumberForma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25" fillId="0" borderId="0" xfId="0" applyFont="1"/>
    <xf numFmtId="2" fontId="0" fillId="0" borderId="2" xfId="0" applyNumberFormat="1" applyBorder="1"/>
    <xf numFmtId="166" fontId="0" fillId="0" borderId="2" xfId="0" applyNumberFormat="1" applyBorder="1"/>
  </cellXfs>
  <cellStyles count="9">
    <cellStyle name="Iau?iue_AA_1" xfId="1"/>
    <cellStyle name="Normal_Sheet2" xfId="6"/>
    <cellStyle name="Обычный" xfId="0" builtinId="0"/>
    <cellStyle name="Обычный 2" xfId="2"/>
    <cellStyle name="Обычный 3" xfId="3"/>
    <cellStyle name="Обычный 3 2" xfId="4"/>
    <cellStyle name="Обычный 4" xfId="7"/>
    <cellStyle name="Процентный 2" xfId="8"/>
    <cellStyle name="Финансовый 2" xf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microsoft.com/office/2011/relationships/chartColorStyle" Target="colors5.xml"/><Relationship Id="rId1" Type="http://schemas.openxmlformats.org/officeDocument/2006/relationships/chartUserShapes" Target="../drawings/drawing4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Style" Target="style6.xml"/><Relationship Id="rId2" Type="http://schemas.microsoft.com/office/2011/relationships/chartColorStyle" Target="colors6.xml"/><Relationship Id="rId1" Type="http://schemas.openxmlformats.org/officeDocument/2006/relationships/chartUserShapes" Target="../drawings/drawing5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Style" Target="style7.xml"/><Relationship Id="rId2" Type="http://schemas.microsoft.com/office/2011/relationships/chartColorStyle" Target="colors7.xml"/><Relationship Id="rId1" Type="http://schemas.openxmlformats.org/officeDocument/2006/relationships/chartUserShapes" Target="../drawings/drawing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4.xml.rels><?xml version="1.0" encoding="UTF-8" standalone="yes"?>
<Relationships xmlns="http://schemas.openxmlformats.org/package/2006/relationships"><Relationship Id="rId3" Type="http://schemas.microsoft.com/office/2011/relationships/chartStyle" Target="style8.xml"/><Relationship Id="rId2" Type="http://schemas.microsoft.com/office/2011/relationships/chartColorStyle" Target="colors8.xml"/><Relationship Id="rId1" Type="http://schemas.openxmlformats.org/officeDocument/2006/relationships/chartUserShapes" Target="../drawings/drawing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Style" Target="style4.xml"/><Relationship Id="rId2" Type="http://schemas.microsoft.com/office/2011/relationships/chartColorStyle" Target="colors4.xml"/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PVT'!$E$22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PVT'!$E$23:$E$48</c:f>
              <c:numCache>
                <c:formatCode>0</c:formatCode>
                <c:ptCount val="26"/>
                <c:pt idx="0">
                  <c:v>0.27348943697138201</c:v>
                </c:pt>
                <c:pt idx="1">
                  <c:v>1.8988927763676839</c:v>
                </c:pt>
                <c:pt idx="2">
                  <c:v>4.3746222464887943</c:v>
                </c:pt>
                <c:pt idx="3">
                  <c:v>10.078146611354056</c:v>
                </c:pt>
                <c:pt idx="4">
                  <c:v>23.21778507880758</c:v>
                </c:pt>
                <c:pt idx="5">
                  <c:v>37.829853777030927</c:v>
                </c:pt>
                <c:pt idx="6">
                  <c:v>53.488559430003527</c:v>
                </c:pt>
                <c:pt idx="7">
                  <c:v>69.974621365274899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'Калькулятор PVT'!$J$58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PVT'!$J$59:$J$99</c:f>
              <c:numCache>
                <c:formatCode>General</c:formatCode>
                <c:ptCount val="41"/>
                <c:pt idx="0">
                  <c:v>838.58336060403883</c:v>
                </c:pt>
                <c:pt idx="1">
                  <c:v>829.29351167688378</c:v>
                </c:pt>
                <c:pt idx="2">
                  <c:v>823.28624092056737</c:v>
                </c:pt>
                <c:pt idx="3">
                  <c:v>818.31345262395701</c:v>
                </c:pt>
                <c:pt idx="4">
                  <c:v>813.91477065158313</c:v>
                </c:pt>
                <c:pt idx="5">
                  <c:v>809.89180735459308</c:v>
                </c:pt>
                <c:pt idx="6">
                  <c:v>806.13639870177178</c:v>
                </c:pt>
                <c:pt idx="7">
                  <c:v>802.58161911389709</c:v>
                </c:pt>
                <c:pt idx="8">
                  <c:v>799.18261266003344</c:v>
                </c:pt>
                <c:pt idx="9">
                  <c:v>795.90761363649358</c:v>
                </c:pt>
                <c:pt idx="10">
                  <c:v>792.73320804464083</c:v>
                </c:pt>
                <c:pt idx="11">
                  <c:v>789.64161018197126</c:v>
                </c:pt>
                <c:pt idx="12">
                  <c:v>786.61899211509945</c:v>
                </c:pt>
                <c:pt idx="13">
                  <c:v>783.65440578642233</c:v>
                </c:pt>
                <c:pt idx="14">
                  <c:v>780.73905817001787</c:v>
                </c:pt>
                <c:pt idx="15">
                  <c:v>777.86580698080127</c:v>
                </c:pt>
                <c:pt idx="16">
                  <c:v>775.0287996296521</c:v>
                </c:pt>
                <c:pt idx="17">
                  <c:v>772.22320832616901</c:v>
                </c:pt>
                <c:pt idx="18">
                  <c:v>769.44503164333514</c:v>
                </c:pt>
                <c:pt idx="19">
                  <c:v>766.69094264457976</c:v>
                </c:pt>
                <c:pt idx="20">
                  <c:v>763.16499585806275</c:v>
                </c:pt>
                <c:pt idx="21">
                  <c:v>765.9285264992867</c:v>
                </c:pt>
                <c:pt idx="22">
                  <c:v>767.83026963522127</c:v>
                </c:pt>
                <c:pt idx="23">
                  <c:v>769.38118693662807</c:v>
                </c:pt>
                <c:pt idx="24">
                  <c:v>770.67015620409836</c:v>
                </c:pt>
                <c:pt idx="25">
                  <c:v>771.75837209087933</c:v>
                </c:pt>
                <c:pt idx="26">
                  <c:v>772.68934547964363</c:v>
                </c:pt>
                <c:pt idx="27">
                  <c:v>773.4948607208006</c:v>
                </c:pt>
                <c:pt idx="28">
                  <c:v>774.19867669778591</c:v>
                </c:pt>
                <c:pt idx="29">
                  <c:v>774.81890940595406</c:v>
                </c:pt>
                <c:pt idx="30">
                  <c:v>775.36961331423356</c:v>
                </c:pt>
                <c:pt idx="31">
                  <c:v>775.86185916377337</c:v>
                </c:pt>
                <c:pt idx="32">
                  <c:v>776.30448585167176</c:v>
                </c:pt>
                <c:pt idx="33">
                  <c:v>776.70463586087385</c:v>
                </c:pt>
                <c:pt idx="34">
                  <c:v>777.06814360596559</c:v>
                </c:pt>
                <c:pt idx="35">
                  <c:v>777.39982176932062</c:v>
                </c:pt>
                <c:pt idx="36">
                  <c:v>777.7036755777458</c:v>
                </c:pt>
                <c:pt idx="37">
                  <c:v>777.98306532477898</c:v>
                </c:pt>
                <c:pt idx="38">
                  <c:v>778.24083115783844</c:v>
                </c:pt>
                <c:pt idx="39">
                  <c:v>778.47938997112192</c:v>
                </c:pt>
                <c:pt idx="40">
                  <c:v>778.70081141748676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3A-439D-BBFF-53AA1F179F56}"/>
            </c:ext>
          </c:extLst>
        </c:ser>
        <c:ser>
          <c:idx val="1"/>
          <c:order val="1"/>
          <c:tx>
            <c:strRef>
              <c:f>'Калькулятор PVT'!$K$58</c:f>
              <c:strCache>
                <c:ptCount val="1"/>
                <c:pt idx="0">
                  <c:v>ρo sep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PVT'!$K$59:$K$99</c:f>
              <c:numCache>
                <c:formatCode>General</c:formatCode>
                <c:ptCount val="41"/>
                <c:pt idx="0">
                  <c:v>838.58336060403883</c:v>
                </c:pt>
                <c:pt idx="1">
                  <c:v>829.29351167688378</c:v>
                </c:pt>
                <c:pt idx="2">
                  <c:v>823.28624092056737</c:v>
                </c:pt>
                <c:pt idx="3">
                  <c:v>818.31345262395701</c:v>
                </c:pt>
                <c:pt idx="4">
                  <c:v>813.91477065158313</c:v>
                </c:pt>
                <c:pt idx="5">
                  <c:v>809.89180735459308</c:v>
                </c:pt>
                <c:pt idx="6">
                  <c:v>806.13639870177178</c:v>
                </c:pt>
                <c:pt idx="7">
                  <c:v>802.58161911389709</c:v>
                </c:pt>
                <c:pt idx="8">
                  <c:v>799.18261266003344</c:v>
                </c:pt>
                <c:pt idx="9">
                  <c:v>795.90761363649358</c:v>
                </c:pt>
                <c:pt idx="10">
                  <c:v>792.73320804464083</c:v>
                </c:pt>
                <c:pt idx="11">
                  <c:v>789.64161018197126</c:v>
                </c:pt>
                <c:pt idx="12">
                  <c:v>786.61899211509945</c:v>
                </c:pt>
                <c:pt idx="13">
                  <c:v>783.65440578642233</c:v>
                </c:pt>
                <c:pt idx="14">
                  <c:v>780.73905817001787</c:v>
                </c:pt>
                <c:pt idx="15">
                  <c:v>777.86580698080127</c:v>
                </c:pt>
                <c:pt idx="16">
                  <c:v>775.0287996296521</c:v>
                </c:pt>
                <c:pt idx="17">
                  <c:v>772.22320832616901</c:v>
                </c:pt>
                <c:pt idx="18">
                  <c:v>769.44503164333514</c:v>
                </c:pt>
                <c:pt idx="19">
                  <c:v>766.69094264457976</c:v>
                </c:pt>
                <c:pt idx="20">
                  <c:v>763.16499585806275</c:v>
                </c:pt>
                <c:pt idx="21">
                  <c:v>765.9285264992867</c:v>
                </c:pt>
                <c:pt idx="22">
                  <c:v>767.83026963522127</c:v>
                </c:pt>
                <c:pt idx="23">
                  <c:v>769.38118693662807</c:v>
                </c:pt>
                <c:pt idx="24">
                  <c:v>770.67015620409836</c:v>
                </c:pt>
                <c:pt idx="25">
                  <c:v>771.75837209087933</c:v>
                </c:pt>
                <c:pt idx="26">
                  <c:v>772.68934547964363</c:v>
                </c:pt>
                <c:pt idx="27">
                  <c:v>773.4948607208006</c:v>
                </c:pt>
                <c:pt idx="28">
                  <c:v>774.19867669778591</c:v>
                </c:pt>
                <c:pt idx="29">
                  <c:v>774.81890940595406</c:v>
                </c:pt>
                <c:pt idx="30">
                  <c:v>775.36961331423356</c:v>
                </c:pt>
                <c:pt idx="31">
                  <c:v>775.86185916377337</c:v>
                </c:pt>
                <c:pt idx="32">
                  <c:v>776.30448585167176</c:v>
                </c:pt>
                <c:pt idx="33">
                  <c:v>776.70463586087385</c:v>
                </c:pt>
                <c:pt idx="34">
                  <c:v>777.06814360596559</c:v>
                </c:pt>
                <c:pt idx="35">
                  <c:v>777.39982176932062</c:v>
                </c:pt>
                <c:pt idx="36">
                  <c:v>777.7036755777458</c:v>
                </c:pt>
                <c:pt idx="37">
                  <c:v>777.98306532477898</c:v>
                </c:pt>
                <c:pt idx="38">
                  <c:v>778.24083115783844</c:v>
                </c:pt>
                <c:pt idx="39">
                  <c:v>778.47938997112192</c:v>
                </c:pt>
                <c:pt idx="40">
                  <c:v>778.70081141748676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3A-439D-BBFF-53AA1F179F56}"/>
            </c:ext>
          </c:extLst>
        </c:ser>
        <c:ser>
          <c:idx val="2"/>
          <c:order val="2"/>
          <c:tx>
            <c:strRef>
              <c:f>'Калькулятор PVT'!$L$58</c:f>
              <c:strCache>
                <c:ptCount val="1"/>
                <c:pt idx="0">
                  <c:v>ρo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PVT'!$L$59:$L$99</c:f>
              <c:numCache>
                <c:formatCode>General</c:formatCode>
                <c:ptCount val="41"/>
                <c:pt idx="0">
                  <c:v>841.34043847765668</c:v>
                </c:pt>
                <c:pt idx="1">
                  <c:v>833.83054171993149</c:v>
                </c:pt>
                <c:pt idx="2">
                  <c:v>829.65376088863195</c:v>
                </c:pt>
                <c:pt idx="3">
                  <c:v>826.23600811501251</c:v>
                </c:pt>
                <c:pt idx="4">
                  <c:v>823.23550983787004</c:v>
                </c:pt>
                <c:pt idx="5">
                  <c:v>820.51069979848387</c:v>
                </c:pt>
                <c:pt idx="6">
                  <c:v>817.98562570003912</c:v>
                </c:pt>
                <c:pt idx="7">
                  <c:v>815.61359942862146</c:v>
                </c:pt>
                <c:pt idx="8">
                  <c:v>813.36335844435564</c:v>
                </c:pt>
                <c:pt idx="9">
                  <c:v>811.21269443355402</c:v>
                </c:pt>
                <c:pt idx="10">
                  <c:v>809.14513164797336</c:v>
                </c:pt>
                <c:pt idx="11">
                  <c:v>807.14803468951311</c:v>
                </c:pt>
                <c:pt idx="12">
                  <c:v>805.21145616954971</c:v>
                </c:pt>
                <c:pt idx="13">
                  <c:v>803.32739729257537</c:v>
                </c:pt>
                <c:pt idx="14">
                  <c:v>801.48931299525373</c:v>
                </c:pt>
                <c:pt idx="15">
                  <c:v>799.69176906621647</c:v>
                </c:pt>
                <c:pt idx="16">
                  <c:v>797.9301975973334</c:v>
                </c:pt>
                <c:pt idx="17">
                  <c:v>796.20071797858122</c:v>
                </c:pt>
                <c:pt idx="18">
                  <c:v>794.50000350712469</c:v>
                </c:pt>
                <c:pt idx="19">
                  <c:v>792.82517957366122</c:v>
                </c:pt>
                <c:pt idx="20">
                  <c:v>791.17374503465544</c:v>
                </c:pt>
                <c:pt idx="21">
                  <c:v>786.94752489967357</c:v>
                </c:pt>
                <c:pt idx="22">
                  <c:v>782.8356785451806</c:v>
                </c:pt>
                <c:pt idx="23">
                  <c:v>778.81491509470379</c:v>
                </c:pt>
                <c:pt idx="24">
                  <c:v>774.86774046560163</c:v>
                </c:pt>
                <c:pt idx="25">
                  <c:v>770.98081271193587</c:v>
                </c:pt>
                <c:pt idx="26">
                  <c:v>767.14385485253536</c:v>
                </c:pt>
                <c:pt idx="27">
                  <c:v>763.76953748948029</c:v>
                </c:pt>
                <c:pt idx="28">
                  <c:v>765.07948077326068</c:v>
                </c:pt>
                <c:pt idx="29">
                  <c:v>766.23473186868932</c:v>
                </c:pt>
                <c:pt idx="30">
                  <c:v>767.26116350862844</c:v>
                </c:pt>
                <c:pt idx="31">
                  <c:v>768.17918359744374</c:v>
                </c:pt>
                <c:pt idx="32">
                  <c:v>769.00510564289607</c:v>
                </c:pt>
                <c:pt idx="33">
                  <c:v>769.75212649585819</c:v>
                </c:pt>
                <c:pt idx="34">
                  <c:v>770.43103668888341</c:v>
                </c:pt>
                <c:pt idx="35">
                  <c:v>771.05074497177861</c:v>
                </c:pt>
                <c:pt idx="36">
                  <c:v>771.61867137472927</c:v>
                </c:pt>
                <c:pt idx="37">
                  <c:v>772.14104570164261</c:v>
                </c:pt>
                <c:pt idx="38">
                  <c:v>772.62313697515765</c:v>
                </c:pt>
                <c:pt idx="39">
                  <c:v>773.06943177574158</c:v>
                </c:pt>
                <c:pt idx="40">
                  <c:v>773.48377427966273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93A-439D-BBFF-53AA1F17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33792"/>
        <c:axId val="216434368"/>
      </c:scatterChart>
      <c:valAx>
        <c:axId val="21643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34368"/>
        <c:crosses val="autoZero"/>
        <c:crossBetween val="midCat"/>
      </c:valAx>
      <c:valAx>
        <c:axId val="2164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Плотность, кг/м3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3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</a:t>
            </a:r>
            <a:r>
              <a:rPr lang="ru-RU" baseline="0"/>
              <a:t> коэффициент</a:t>
            </a:r>
            <a:r>
              <a:rPr lang="ru-RU"/>
              <a:t> нефти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'Калькулятор PVT'!$G$58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PVT'!$G$59:$G$99</c:f>
              <c:numCache>
                <c:formatCode>General</c:formatCode>
                <c:ptCount val="41"/>
                <c:pt idx="0">
                  <c:v>1.0284661798992814</c:v>
                </c:pt>
                <c:pt idx="1">
                  <c:v>1.0501854333142775</c:v>
                </c:pt>
                <c:pt idx="2">
                  <c:v>1.0648323830419844</c:v>
                </c:pt>
                <c:pt idx="3">
                  <c:v>1.0773175075694756</c:v>
                </c:pt>
                <c:pt idx="4">
                  <c:v>1.0886381358340553</c:v>
                </c:pt>
                <c:pt idx="5">
                  <c:v>1.0992232508508828</c:v>
                </c:pt>
                <c:pt idx="6">
                  <c:v>1.109307098589577</c:v>
                </c:pt>
                <c:pt idx="7">
                  <c:v>1.1190352571119691</c:v>
                </c:pt>
                <c:pt idx="8">
                  <c:v>1.1285059958634507</c:v>
                </c:pt>
                <c:pt idx="9">
                  <c:v>1.1377895920995427</c:v>
                </c:pt>
                <c:pt idx="10">
                  <c:v>1.1469384977452866</c:v>
                </c:pt>
                <c:pt idx="11">
                  <c:v>1.1559931694914984</c:v>
                </c:pt>
                <c:pt idx="12">
                  <c:v>1.1649856372563565</c:v>
                </c:pt>
                <c:pt idx="13">
                  <c:v>1.1739418023123269</c:v>
                </c:pt>
                <c:pt idx="14">
                  <c:v>1.1828829797788563</c:v>
                </c:pt>
                <c:pt idx="15">
                  <c:v>1.1918269697661616</c:v>
                </c:pt>
                <c:pt idx="16">
                  <c:v>1.2007888227783161</c:v>
                </c:pt>
                <c:pt idx="17">
                  <c:v>1.2097814001329776</c:v>
                </c:pt>
                <c:pt idx="18">
                  <c:v>1.2188157928735559</c:v>
                </c:pt>
                <c:pt idx="19">
                  <c:v>1.2279016413818555</c:v>
                </c:pt>
                <c:pt idx="20">
                  <c:v>1.2383330749167678</c:v>
                </c:pt>
                <c:pt idx="21">
                  <c:v>1.2344741934623329</c:v>
                </c:pt>
                <c:pt idx="22">
                  <c:v>1.2314166781275693</c:v>
                </c:pt>
                <c:pt idx="23">
                  <c:v>1.2289343904608365</c:v>
                </c:pt>
                <c:pt idx="24">
                  <c:v>1.2268789603286467</c:v>
                </c:pt>
                <c:pt idx="25">
                  <c:v>1.2251490028392711</c:v>
                </c:pt>
                <c:pt idx="26">
                  <c:v>1.2236728842340554</c:v>
                </c:pt>
                <c:pt idx="27">
                  <c:v>1.22239855494178</c:v>
                </c:pt>
                <c:pt idx="28">
                  <c:v>1.2212872851100083</c:v>
                </c:pt>
                <c:pt idx="29">
                  <c:v>1.2203096601306749</c:v>
                </c:pt>
                <c:pt idx="30">
                  <c:v>1.2194429389081696</c:v>
                </c:pt>
                <c:pt idx="31">
                  <c:v>1.2186692628750737</c:v>
                </c:pt>
                <c:pt idx="32">
                  <c:v>1.217974412401708</c:v>
                </c:pt>
                <c:pt idx="33">
                  <c:v>1.2173469248732085</c:v>
                </c:pt>
                <c:pt idx="34">
                  <c:v>1.2167774573956183</c:v>
                </c:pt>
                <c:pt idx="35">
                  <c:v>1.2162583184648139</c:v>
                </c:pt>
                <c:pt idx="36">
                  <c:v>1.2157831185478021</c:v>
                </c:pt>
                <c:pt idx="37">
                  <c:v>1.215346505781949</c:v>
                </c:pt>
                <c:pt idx="38">
                  <c:v>1.2149439635456947</c:v>
                </c:pt>
                <c:pt idx="39">
                  <c:v>1.2145716536375799</c:v>
                </c:pt>
                <c:pt idx="40">
                  <c:v>1.214226293509121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CE-4224-B006-F0148D4FC755}"/>
            </c:ext>
          </c:extLst>
        </c:ser>
        <c:ser>
          <c:idx val="1"/>
          <c:order val="1"/>
          <c:tx>
            <c:strRef>
              <c:f>'Калькулятор PVT'!$H$58</c:f>
              <c:strCache>
                <c:ptCount val="1"/>
                <c:pt idx="0">
                  <c:v>Bo sep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PVT'!$H$59:$H$99</c:f>
              <c:numCache>
                <c:formatCode>General</c:formatCode>
                <c:ptCount val="41"/>
                <c:pt idx="0">
                  <c:v>1.0284661798992814</c:v>
                </c:pt>
                <c:pt idx="1">
                  <c:v>1.0501854333142775</c:v>
                </c:pt>
                <c:pt idx="2">
                  <c:v>1.0648323830419844</c:v>
                </c:pt>
                <c:pt idx="3">
                  <c:v>1.0773175075694756</c:v>
                </c:pt>
                <c:pt idx="4">
                  <c:v>1.0886381358340553</c:v>
                </c:pt>
                <c:pt idx="5">
                  <c:v>1.0992232508508828</c:v>
                </c:pt>
                <c:pt idx="6">
                  <c:v>1.109307098589577</c:v>
                </c:pt>
                <c:pt idx="7">
                  <c:v>1.1190352571119691</c:v>
                </c:pt>
                <c:pt idx="8">
                  <c:v>1.1285059958634507</c:v>
                </c:pt>
                <c:pt idx="9">
                  <c:v>1.1377895920995427</c:v>
                </c:pt>
                <c:pt idx="10">
                  <c:v>1.1469384977452866</c:v>
                </c:pt>
                <c:pt idx="11">
                  <c:v>1.1559931694914984</c:v>
                </c:pt>
                <c:pt idx="12">
                  <c:v>1.1649856372563565</c:v>
                </c:pt>
                <c:pt idx="13">
                  <c:v>1.1739418023123269</c:v>
                </c:pt>
                <c:pt idx="14">
                  <c:v>1.1828829797788563</c:v>
                </c:pt>
                <c:pt idx="15">
                  <c:v>1.1918269697661616</c:v>
                </c:pt>
                <c:pt idx="16">
                  <c:v>1.2007888227783161</c:v>
                </c:pt>
                <c:pt idx="17">
                  <c:v>1.2097814001329776</c:v>
                </c:pt>
                <c:pt idx="18">
                  <c:v>1.2188157928735559</c:v>
                </c:pt>
                <c:pt idx="19">
                  <c:v>1.2279016413818555</c:v>
                </c:pt>
                <c:pt idx="20">
                  <c:v>1.2383330749167678</c:v>
                </c:pt>
                <c:pt idx="21">
                  <c:v>1.2344741934623329</c:v>
                </c:pt>
                <c:pt idx="22">
                  <c:v>1.2314166781275693</c:v>
                </c:pt>
                <c:pt idx="23">
                  <c:v>1.2289343904608365</c:v>
                </c:pt>
                <c:pt idx="24">
                  <c:v>1.2268789603286467</c:v>
                </c:pt>
                <c:pt idx="25">
                  <c:v>1.2251490028392711</c:v>
                </c:pt>
                <c:pt idx="26">
                  <c:v>1.2236728842340554</c:v>
                </c:pt>
                <c:pt idx="27">
                  <c:v>1.22239855494178</c:v>
                </c:pt>
                <c:pt idx="28">
                  <c:v>1.2212872851100083</c:v>
                </c:pt>
                <c:pt idx="29">
                  <c:v>1.2203096601306749</c:v>
                </c:pt>
                <c:pt idx="30">
                  <c:v>1.2194429389081696</c:v>
                </c:pt>
                <c:pt idx="31">
                  <c:v>1.2186692628750737</c:v>
                </c:pt>
                <c:pt idx="32">
                  <c:v>1.217974412401708</c:v>
                </c:pt>
                <c:pt idx="33">
                  <c:v>1.2173469248732085</c:v>
                </c:pt>
                <c:pt idx="34">
                  <c:v>1.2167774573956183</c:v>
                </c:pt>
                <c:pt idx="35">
                  <c:v>1.2162583184648139</c:v>
                </c:pt>
                <c:pt idx="36">
                  <c:v>1.2157831185478021</c:v>
                </c:pt>
                <c:pt idx="37">
                  <c:v>1.215346505781949</c:v>
                </c:pt>
                <c:pt idx="38">
                  <c:v>1.2149439635456947</c:v>
                </c:pt>
                <c:pt idx="39">
                  <c:v>1.2145716536375799</c:v>
                </c:pt>
                <c:pt idx="40">
                  <c:v>1.214226293509121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CE-4224-B006-F0148D4FC755}"/>
            </c:ext>
          </c:extLst>
        </c:ser>
        <c:ser>
          <c:idx val="2"/>
          <c:order val="2"/>
          <c:tx>
            <c:strRef>
              <c:f>'Калькулятор PVT'!$I$58</c:f>
              <c:strCache>
                <c:ptCount val="1"/>
                <c:pt idx="0">
                  <c:v>Bo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PVT'!$I$59:$I$99</c:f>
              <c:numCache>
                <c:formatCode>General</c:formatCode>
                <c:ptCount val="41"/>
                <c:pt idx="0">
                  <c:v>1.0222526485976851</c:v>
                </c:pt>
                <c:pt idx="1">
                  <c:v>1.0394355719825954</c:v>
                </c:pt>
                <c:pt idx="2">
                  <c:v>1.0493220653165771</c:v>
                </c:pt>
                <c:pt idx="3">
                  <c:v>1.0575811668104491</c:v>
                </c:pt>
                <c:pt idx="4">
                  <c:v>1.0649580943529677</c:v>
                </c:pt>
                <c:pt idx="5">
                  <c:v>1.0717602658076764</c:v>
                </c:pt>
                <c:pt idx="6">
                  <c:v>1.0781521931526206</c:v>
                </c:pt>
                <c:pt idx="7">
                  <c:v>1.0842348560073236</c:v>
                </c:pt>
                <c:pt idx="8">
                  <c:v>1.0900758367640202</c:v>
                </c:pt>
                <c:pt idx="9">
                  <c:v>1.0957231618556211</c:v>
                </c:pt>
                <c:pt idx="10">
                  <c:v>1.1012125023985289</c:v>
                </c:pt>
                <c:pt idx="11">
                  <c:v>1.1065712681455278</c:v>
                </c:pt>
                <c:pt idx="12">
                  <c:v>1.1118210962224648</c:v>
                </c:pt>
                <c:pt idx="13">
                  <c:v>1.116979445434888</c:v>
                </c:pt>
                <c:pt idx="14">
                  <c:v>1.1220606616411368</c:v>
                </c:pt>
                <c:pt idx="15">
                  <c:v>1.127076714877574</c:v>
                </c:pt>
                <c:pt idx="16">
                  <c:v>1.1320377244181339</c:v>
                </c:pt>
                <c:pt idx="17">
                  <c:v>1.1369523424914105</c:v>
                </c:pt>
                <c:pt idx="18">
                  <c:v>1.1418280401179879</c:v>
                </c:pt>
                <c:pt idx="19">
                  <c:v>1.1466713248190645</c:v>
                </c:pt>
                <c:pt idx="20">
                  <c:v>1.1514879086630763</c:v>
                </c:pt>
                <c:pt idx="21">
                  <c:v>1.1640014722311862</c:v>
                </c:pt>
                <c:pt idx="22">
                  <c:v>1.1764392970858519</c:v>
                </c:pt>
                <c:pt idx="23">
                  <c:v>1.1888579214153203</c:v>
                </c:pt>
                <c:pt idx="24">
                  <c:v>1.2013015363275723</c:v>
                </c:pt>
                <c:pt idx="25">
                  <c:v>1.213805469937439</c:v>
                </c:pt>
                <c:pt idx="26">
                  <c:v>1.2263984833081103</c:v>
                </c:pt>
                <c:pt idx="27">
                  <c:v>1.2379637489967621</c:v>
                </c:pt>
                <c:pt idx="28">
                  <c:v>1.2358441492175039</c:v>
                </c:pt>
                <c:pt idx="29">
                  <c:v>1.2339808686224301</c:v>
                </c:pt>
                <c:pt idx="30">
                  <c:v>1.2323300656535405</c:v>
                </c:pt>
                <c:pt idx="31">
                  <c:v>1.2308573574879496</c:v>
                </c:pt>
                <c:pt idx="32">
                  <c:v>1.2295353997806511</c:v>
                </c:pt>
                <c:pt idx="33">
                  <c:v>1.228342173349082</c:v>
                </c:pt>
                <c:pt idx="34">
                  <c:v>1.2272597480802436</c:v>
                </c:pt>
                <c:pt idx="35">
                  <c:v>1.2262733758653033</c:v>
                </c:pt>
                <c:pt idx="36">
                  <c:v>1.2253708147256817</c:v>
                </c:pt>
                <c:pt idx="37">
                  <c:v>1.2245418181866103</c:v>
                </c:pt>
                <c:pt idx="38">
                  <c:v>1.2237777446087554</c:v>
                </c:pt>
                <c:pt idx="39">
                  <c:v>1.22307125483948</c:v>
                </c:pt>
                <c:pt idx="40">
                  <c:v>1.222416075735463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6CE-4224-B006-F0148D4FC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37248"/>
        <c:axId val="216437824"/>
      </c:scatterChart>
      <c:valAx>
        <c:axId val="2164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37824"/>
        <c:crosses val="autoZero"/>
        <c:crossBetween val="midCat"/>
      </c:valAx>
      <c:valAx>
        <c:axId val="2164378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коэффициент, м3/м3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3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'Калькулятор PVT'!$M$58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PVT'!$M$59:$M$99</c:f>
              <c:numCache>
                <c:formatCode>General</c:formatCode>
                <c:ptCount val="41"/>
                <c:pt idx="0">
                  <c:v>5.6578645150739844</c:v>
                </c:pt>
                <c:pt idx="1">
                  <c:v>4.6332027452079467</c:v>
                </c:pt>
                <c:pt idx="2">
                  <c:v>4.1043926461827214</c:v>
                </c:pt>
                <c:pt idx="3">
                  <c:v>3.7277090200970142</c:v>
                </c:pt>
                <c:pt idx="4">
                  <c:v>3.4326245875518011</c:v>
                </c:pt>
                <c:pt idx="5">
                  <c:v>3.1895276939001946</c:v>
                </c:pt>
                <c:pt idx="6">
                  <c:v>2.9827742110725635</c:v>
                </c:pt>
                <c:pt idx="7">
                  <c:v>2.8029912759455518</c:v>
                </c:pt>
                <c:pt idx="8">
                  <c:v>2.6440875665875674</c:v>
                </c:pt>
                <c:pt idx="9">
                  <c:v>2.5018697770753873</c:v>
                </c:pt>
                <c:pt idx="10">
                  <c:v>2.3733236344723148</c:v>
                </c:pt>
                <c:pt idx="11">
                  <c:v>2.2562077321094072</c:v>
                </c:pt>
                <c:pt idx="12">
                  <c:v>2.1488090744253334</c:v>
                </c:pt>
                <c:pt idx="13">
                  <c:v>2.0497884232094128</c:v>
                </c:pt>
                <c:pt idx="14">
                  <c:v>1.9580784227169492</c:v>
                </c:pt>
                <c:pt idx="15">
                  <c:v>1.8728142105837864</c:v>
                </c:pt>
                <c:pt idx="16">
                  <c:v>1.7932848067751939</c:v>
                </c:pt>
                <c:pt idx="17">
                  <c:v>1.7188982309231766</c:v>
                </c:pt>
                <c:pt idx="18">
                  <c:v>1.6491559463740972</c:v>
                </c:pt>
                <c:pt idx="19">
                  <c:v>1.5836337954630948</c:v>
                </c:pt>
                <c:pt idx="20">
                  <c:v>1.521967549138763</c:v>
                </c:pt>
                <c:pt idx="21">
                  <c:v>1.5426582106744255</c:v>
                </c:pt>
                <c:pt idx="22">
                  <c:v>1.5709801148347229</c:v>
                </c:pt>
                <c:pt idx="23">
                  <c:v>1.5993020189950202</c:v>
                </c:pt>
                <c:pt idx="24">
                  <c:v>1.6276239231553176</c:v>
                </c:pt>
                <c:pt idx="25">
                  <c:v>1.6559458273156149</c:v>
                </c:pt>
                <c:pt idx="26">
                  <c:v>1.6842677314759122</c:v>
                </c:pt>
                <c:pt idx="27">
                  <c:v>1.7125896356362094</c:v>
                </c:pt>
                <c:pt idx="28">
                  <c:v>1.7409115397965069</c:v>
                </c:pt>
                <c:pt idx="29">
                  <c:v>1.7692334439568043</c:v>
                </c:pt>
                <c:pt idx="30">
                  <c:v>1.7975553481171016</c:v>
                </c:pt>
                <c:pt idx="31">
                  <c:v>1.8258772522773989</c:v>
                </c:pt>
                <c:pt idx="32">
                  <c:v>1.8541991564376963</c:v>
                </c:pt>
                <c:pt idx="33">
                  <c:v>1.8825210605979936</c:v>
                </c:pt>
                <c:pt idx="34">
                  <c:v>1.9108429647582912</c:v>
                </c:pt>
                <c:pt idx="35">
                  <c:v>1.9391648689185883</c:v>
                </c:pt>
                <c:pt idx="36">
                  <c:v>1.9674867730788859</c:v>
                </c:pt>
                <c:pt idx="37">
                  <c:v>1.9958086772391832</c:v>
                </c:pt>
                <c:pt idx="38">
                  <c:v>2.0241305813994801</c:v>
                </c:pt>
                <c:pt idx="39">
                  <c:v>2.0524524855597779</c:v>
                </c:pt>
                <c:pt idx="40">
                  <c:v>2.0807743897200748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B5-4503-8530-FE7B47E089F3}"/>
            </c:ext>
          </c:extLst>
        </c:ser>
        <c:ser>
          <c:idx val="1"/>
          <c:order val="1"/>
          <c:tx>
            <c:strRef>
              <c:f>'Калькулятор PVT'!$N$58</c:f>
              <c:strCache>
                <c:ptCount val="1"/>
                <c:pt idx="0">
                  <c:v>μo sep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PVT'!$N$59:$N$99</c:f>
              <c:numCache>
                <c:formatCode>General</c:formatCode>
                <c:ptCount val="41"/>
                <c:pt idx="0">
                  <c:v>5.6578645150739844</c:v>
                </c:pt>
                <c:pt idx="1">
                  <c:v>4.6332027452079467</c:v>
                </c:pt>
                <c:pt idx="2">
                  <c:v>4.1043926461827214</c:v>
                </c:pt>
                <c:pt idx="3">
                  <c:v>3.7277090200970142</c:v>
                </c:pt>
                <c:pt idx="4">
                  <c:v>3.4326245875518011</c:v>
                </c:pt>
                <c:pt idx="5">
                  <c:v>3.1895276939001946</c:v>
                </c:pt>
                <c:pt idx="6">
                  <c:v>2.9827742110725635</c:v>
                </c:pt>
                <c:pt idx="7">
                  <c:v>2.8029912759455518</c:v>
                </c:pt>
                <c:pt idx="8">
                  <c:v>2.6440875665875674</c:v>
                </c:pt>
                <c:pt idx="9">
                  <c:v>2.5018697770753873</c:v>
                </c:pt>
                <c:pt idx="10">
                  <c:v>2.3733236344723148</c:v>
                </c:pt>
                <c:pt idx="11">
                  <c:v>2.2562077321094072</c:v>
                </c:pt>
                <c:pt idx="12">
                  <c:v>2.1488090744253334</c:v>
                </c:pt>
                <c:pt idx="13">
                  <c:v>2.0497884232094128</c:v>
                </c:pt>
                <c:pt idx="14">
                  <c:v>1.9580784227169492</c:v>
                </c:pt>
                <c:pt idx="15">
                  <c:v>1.8728142105837864</c:v>
                </c:pt>
                <c:pt idx="16">
                  <c:v>1.7932848067751939</c:v>
                </c:pt>
                <c:pt idx="17">
                  <c:v>1.7188982309231766</c:v>
                </c:pt>
                <c:pt idx="18">
                  <c:v>1.6491559463740972</c:v>
                </c:pt>
                <c:pt idx="19">
                  <c:v>1.5836337954630948</c:v>
                </c:pt>
                <c:pt idx="20">
                  <c:v>1.521967549138763</c:v>
                </c:pt>
                <c:pt idx="21">
                  <c:v>1.5426582106744255</c:v>
                </c:pt>
                <c:pt idx="22">
                  <c:v>1.5709801148347229</c:v>
                </c:pt>
                <c:pt idx="23">
                  <c:v>1.5993020189950202</c:v>
                </c:pt>
                <c:pt idx="24">
                  <c:v>1.6276239231553176</c:v>
                </c:pt>
                <c:pt idx="25">
                  <c:v>1.6559458273156149</c:v>
                </c:pt>
                <c:pt idx="26">
                  <c:v>1.6842677314759122</c:v>
                </c:pt>
                <c:pt idx="27">
                  <c:v>1.7125896356362094</c:v>
                </c:pt>
                <c:pt idx="28">
                  <c:v>1.7409115397965069</c:v>
                </c:pt>
                <c:pt idx="29">
                  <c:v>1.7692334439568043</c:v>
                </c:pt>
                <c:pt idx="30">
                  <c:v>1.7975553481171016</c:v>
                </c:pt>
                <c:pt idx="31">
                  <c:v>1.8258772522773989</c:v>
                </c:pt>
                <c:pt idx="32">
                  <c:v>1.8541991564376963</c:v>
                </c:pt>
                <c:pt idx="33">
                  <c:v>1.8825210605979936</c:v>
                </c:pt>
                <c:pt idx="34">
                  <c:v>1.9108429647582912</c:v>
                </c:pt>
                <c:pt idx="35">
                  <c:v>1.9391648689185883</c:v>
                </c:pt>
                <c:pt idx="36">
                  <c:v>1.9674867730788859</c:v>
                </c:pt>
                <c:pt idx="37">
                  <c:v>1.9958086772391832</c:v>
                </c:pt>
                <c:pt idx="38">
                  <c:v>2.0241305813994801</c:v>
                </c:pt>
                <c:pt idx="39">
                  <c:v>2.0524524855597779</c:v>
                </c:pt>
                <c:pt idx="40">
                  <c:v>2.0807743897200748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B5-4503-8530-FE7B47E089F3}"/>
            </c:ext>
          </c:extLst>
        </c:ser>
        <c:ser>
          <c:idx val="2"/>
          <c:order val="2"/>
          <c:tx>
            <c:strRef>
              <c:f>'Калькулятор PVT'!$O$58</c:f>
              <c:strCache>
                <c:ptCount val="1"/>
                <c:pt idx="0">
                  <c:v>μo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PVT'!$O$59:$O$99</c:f>
              <c:numCache>
                <c:formatCode>General</c:formatCode>
                <c:ptCount val="41"/>
                <c:pt idx="0">
                  <c:v>6.0213429641748046</c:v>
                </c:pt>
                <c:pt idx="1">
                  <c:v>5.0978688361695239</c:v>
                </c:pt>
                <c:pt idx="2">
                  <c:v>4.6678734584135624</c:v>
                </c:pt>
                <c:pt idx="3">
                  <c:v>4.3529322646057587</c:v>
                </c:pt>
                <c:pt idx="4">
                  <c:v>4.1002917679434185</c:v>
                </c:pt>
                <c:pt idx="5">
                  <c:v>3.8880552315347865</c:v>
                </c:pt>
                <c:pt idx="6">
                  <c:v>3.7045606083564451</c:v>
                </c:pt>
                <c:pt idx="7">
                  <c:v>3.5427251167176572</c:v>
                </c:pt>
                <c:pt idx="8">
                  <c:v>3.3978751247133236</c:v>
                </c:pt>
                <c:pt idx="9">
                  <c:v>3.2667435333569461</c:v>
                </c:pt>
                <c:pt idx="10">
                  <c:v>3.1469468665314451</c:v>
                </c:pt>
                <c:pt idx="11">
                  <c:v>3.0366879623804053</c:v>
                </c:pt>
                <c:pt idx="12">
                  <c:v>2.9345755861968539</c:v>
                </c:pt>
                <c:pt idx="13">
                  <c:v>2.8395092746628738</c:v>
                </c:pt>
                <c:pt idx="14">
                  <c:v>2.7506027485000617</c:v>
                </c:pt>
                <c:pt idx="15">
                  <c:v>2.6671312268979261</c:v>
                </c:pt>
                <c:pt idx="16">
                  <c:v>2.5884941424956134</c:v>
                </c:pt>
                <c:pt idx="17">
                  <c:v>2.5141881102323409</c:v>
                </c:pt>
                <c:pt idx="18">
                  <c:v>2.4437869174805269</c:v>
                </c:pt>
                <c:pt idx="19">
                  <c:v>2.3769264400394707</c:v>
                </c:pt>
                <c:pt idx="20">
                  <c:v>2.3132930880136202</c:v>
                </c:pt>
                <c:pt idx="21">
                  <c:v>2.1601587186361466</c:v>
                </c:pt>
                <c:pt idx="22">
                  <c:v>2.0234832450984848</c:v>
                </c:pt>
                <c:pt idx="23">
                  <c:v>1.9004382379750209</c:v>
                </c:pt>
                <c:pt idx="24">
                  <c:v>1.7889024964813409</c:v>
                </c:pt>
                <c:pt idx="25">
                  <c:v>1.6872423202942501</c:v>
                </c:pt>
                <c:pt idx="26">
                  <c:v>1.5941707956275797</c:v>
                </c:pt>
                <c:pt idx="27">
                  <c:v>1.5167597503430845</c:v>
                </c:pt>
                <c:pt idx="28">
                  <c:v>1.531791468729228</c:v>
                </c:pt>
                <c:pt idx="29">
                  <c:v>1.5468231871153715</c:v>
                </c:pt>
                <c:pt idx="30">
                  <c:v>1.561854905501515</c:v>
                </c:pt>
                <c:pt idx="31">
                  <c:v>1.5768866238876584</c:v>
                </c:pt>
                <c:pt idx="32">
                  <c:v>1.5919183422738019</c:v>
                </c:pt>
                <c:pt idx="33">
                  <c:v>1.6069500606599454</c:v>
                </c:pt>
                <c:pt idx="34">
                  <c:v>1.6219817790460889</c:v>
                </c:pt>
                <c:pt idx="35">
                  <c:v>1.6370134974322323</c:v>
                </c:pt>
                <c:pt idx="36">
                  <c:v>1.6520452158183758</c:v>
                </c:pt>
                <c:pt idx="37">
                  <c:v>1.6670769342045191</c:v>
                </c:pt>
                <c:pt idx="38">
                  <c:v>1.6821086525906626</c:v>
                </c:pt>
                <c:pt idx="39">
                  <c:v>1.697140370976806</c:v>
                </c:pt>
                <c:pt idx="40">
                  <c:v>1.7121720893629493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B5-4503-8530-FE7B47E0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68224"/>
        <c:axId val="217268800"/>
      </c:scatterChart>
      <c:valAx>
        <c:axId val="2172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268800"/>
        <c:crosses val="autoZero"/>
        <c:crossBetween val="midCat"/>
      </c:valAx>
      <c:valAx>
        <c:axId val="2172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Вязкость, сП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26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Диаграмма рассогласованности </a:t>
            </a:r>
            <a:r>
              <a:rPr lang="en-US" sz="1400"/>
              <a:t>PVT </a:t>
            </a:r>
            <a:r>
              <a:rPr lang="ru-RU" sz="1400"/>
              <a:t>данных</a:t>
            </a:r>
          </a:p>
        </c:rich>
      </c:tx>
      <c:layout>
        <c:manualLayout>
          <c:xMode val="edge"/>
          <c:yMode val="edge"/>
          <c:x val="0.17061169954038882"/>
          <c:y val="2.25102954849765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988068486862294"/>
          <c:y val="0.13755942819291705"/>
          <c:w val="0.47573625917167467"/>
          <c:h val="0.7857684778848909"/>
        </c:manualLayout>
      </c:layout>
      <c:radarChart>
        <c:radarStyle val="marker"/>
        <c:varyColors val="0"/>
        <c:ser>
          <c:idx val="0"/>
          <c:order val="0"/>
          <c:tx>
            <c:strRef>
              <c:f>'Калькулятор PVT'!$AD$33</c:f>
              <c:strCache>
                <c:ptCount val="1"/>
                <c:pt idx="0">
                  <c:v>γg = 0.70,  γo = 0.86</c:v>
                </c:pt>
              </c:strCache>
            </c:strRef>
          </c:tx>
          <c:cat>
            <c:strRef>
              <c:f>'Калькулятор PVT'!$Z$32:$Z$36</c:f>
              <c:strCache>
                <c:ptCount val="5"/>
                <c:pt idx="0">
                  <c:v>Pb</c:v>
                </c:pt>
                <c:pt idx="1">
                  <c:v>Bob</c:v>
                </c:pt>
                <c:pt idx="2">
                  <c:v>μob</c:v>
                </c:pt>
                <c:pt idx="3">
                  <c:v>γo</c:v>
                </c:pt>
                <c:pt idx="4">
                  <c:v>γg</c:v>
                </c:pt>
              </c:strCache>
            </c:strRef>
          </c:cat>
          <c:val>
            <c:numRef>
              <c:f>'Калькулятор PVT'!$AA$32:$AA$36</c:f>
              <c:numCache>
                <c:formatCode>0%</c:formatCode>
                <c:ptCount val="5"/>
                <c:pt idx="0">
                  <c:v>0.46925466942242361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16-4191-A3DA-08037627F55F}"/>
            </c:ext>
          </c:extLst>
        </c:ser>
        <c:ser>
          <c:idx val="1"/>
          <c:order val="1"/>
          <c:tx>
            <c:strRef>
              <c:f>'Калькулятор PVT'!$AD$34</c:f>
              <c:strCache>
                <c:ptCount val="1"/>
                <c:pt idx="0">
                  <c:v>γg new  = 0.89,  γo new  = 0.86</c:v>
                </c:pt>
              </c:strCache>
            </c:strRef>
          </c:tx>
          <c:cat>
            <c:strRef>
              <c:f>'Калькулятор PVT'!$Z$32:$Z$36</c:f>
              <c:strCache>
                <c:ptCount val="5"/>
                <c:pt idx="0">
                  <c:v>Pb</c:v>
                </c:pt>
                <c:pt idx="1">
                  <c:v>Bob</c:v>
                </c:pt>
                <c:pt idx="2">
                  <c:v>μob</c:v>
                </c:pt>
                <c:pt idx="3">
                  <c:v>γo</c:v>
                </c:pt>
                <c:pt idx="4">
                  <c:v>γg</c:v>
                </c:pt>
              </c:strCache>
            </c:strRef>
          </c:cat>
          <c:val>
            <c:numRef>
              <c:f>'Калькулятор PVT'!$AB$32:$AB$36</c:f>
              <c:numCache>
                <c:formatCode>0%</c:formatCode>
                <c:ptCount val="5"/>
                <c:pt idx="0">
                  <c:v>0.30575274402365782</c:v>
                </c:pt>
                <c:pt idx="1">
                  <c:v>9.4974545970277158E-2</c:v>
                </c:pt>
                <c:pt idx="2">
                  <c:v>1.2059471853105768E-4</c:v>
                </c:pt>
                <c:pt idx="3">
                  <c:v>0</c:v>
                </c:pt>
                <c:pt idx="4">
                  <c:v>0.27258237118780426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16-4191-A3DA-08037627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41440"/>
        <c:axId val="217272256"/>
      </c:radarChart>
      <c:catAx>
        <c:axId val="217341440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crossAx val="217272256"/>
        <c:crosses val="autoZero"/>
        <c:auto val="1"/>
        <c:lblAlgn val="ctr"/>
        <c:lblOffset val="100"/>
        <c:noMultiLvlLbl val="0"/>
      </c:catAx>
      <c:valAx>
        <c:axId val="2172722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734144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3.7179019000870013E-2"/>
          <c:y val="0.22869854114026331"/>
          <c:w val="0.30971081245519272"/>
          <c:h val="0.12020145846718318"/>
        </c:manualLayout>
      </c:layout>
      <c:overlay val="0"/>
    </c:legend>
    <c:plotVisOnly val="0"/>
    <c:dispBlanksAs val="gap"/>
    <c:showDLblsOverMax val="0"/>
  </c:chart>
  <c:txPr>
    <a:bodyPr/>
    <a:lstStyle/>
    <a:p>
      <a:pPr>
        <a:defRPr sz="1000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газа в потоке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'Калькулятор PVT'!$P$58</c:f>
              <c:strCache>
                <c:ptCount val="1"/>
                <c:pt idx="0">
                  <c:v>βg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PVT'!$P$59:$P$99</c:f>
              <c:numCache>
                <c:formatCode>General</c:formatCode>
                <c:ptCount val="41"/>
                <c:pt idx="0">
                  <c:v>0.99365634659680135</c:v>
                </c:pt>
                <c:pt idx="1">
                  <c:v>0.92822393325618791</c:v>
                </c:pt>
                <c:pt idx="2">
                  <c:v>0.86617840151612313</c:v>
                </c:pt>
                <c:pt idx="3">
                  <c:v>0.80780617913436636</c:v>
                </c:pt>
                <c:pt idx="4">
                  <c:v>0.75327403531906711</c:v>
                </c:pt>
                <c:pt idx="5">
                  <c:v>0.70253759355470535</c:v>
                </c:pt>
                <c:pt idx="6">
                  <c:v>0.65533044724470579</c:v>
                </c:pt>
                <c:pt idx="7">
                  <c:v>0.61117371972981938</c:v>
                </c:pt>
                <c:pt idx="8">
                  <c:v>0.56940191489666614</c:v>
                </c:pt>
                <c:pt idx="9">
                  <c:v>0.52921618930122938</c:v>
                </c:pt>
                <c:pt idx="10">
                  <c:v>0.48979006512275197</c:v>
                </c:pt>
                <c:pt idx="11">
                  <c:v>0.45046392616810066</c:v>
                </c:pt>
                <c:pt idx="12">
                  <c:v>0.411052572424978</c:v>
                </c:pt>
                <c:pt idx="13">
                  <c:v>0.3722088725726303</c:v>
                </c:pt>
                <c:pt idx="14">
                  <c:v>0.33559997624763432</c:v>
                </c:pt>
                <c:pt idx="15">
                  <c:v>0.30348419090129947</c:v>
                </c:pt>
                <c:pt idx="16">
                  <c:v>0.27754601698039399</c:v>
                </c:pt>
                <c:pt idx="17">
                  <c:v>0.25774483164078632</c:v>
                </c:pt>
                <c:pt idx="18">
                  <c:v>0.24238212454847693</c:v>
                </c:pt>
                <c:pt idx="19">
                  <c:v>0.22938584901705888</c:v>
                </c:pt>
                <c:pt idx="20">
                  <c:v>0.21741280605664562</c:v>
                </c:pt>
                <c:pt idx="21">
                  <c:v>0.21266235482341828</c:v>
                </c:pt>
                <c:pt idx="22">
                  <c:v>0.20797751468139458</c:v>
                </c:pt>
                <c:pt idx="23">
                  <c:v>0.20335122608945377</c:v>
                </c:pt>
                <c:pt idx="24">
                  <c:v>0.19877912939800127</c:v>
                </c:pt>
                <c:pt idx="25">
                  <c:v>0.19425810064477733</c:v>
                </c:pt>
                <c:pt idx="26">
                  <c:v>0.18978557072058924</c:v>
                </c:pt>
                <c:pt idx="27">
                  <c:v>0.1853592492459086</c:v>
                </c:pt>
                <c:pt idx="28">
                  <c:v>0.18097702393248435</c:v>
                </c:pt>
                <c:pt idx="29">
                  <c:v>0.1766369242556555</c:v>
                </c:pt>
                <c:pt idx="30">
                  <c:v>0.17233710532507002</c:v>
                </c:pt>
                <c:pt idx="31">
                  <c:v>0.1680758375079901</c:v>
                </c:pt>
                <c:pt idx="32">
                  <c:v>0.16385149786690129</c:v>
                </c:pt>
                <c:pt idx="33">
                  <c:v>0.15966256248560404</c:v>
                </c:pt>
                <c:pt idx="34">
                  <c:v>0.15550759946200757</c:v>
                </c:pt>
                <c:pt idx="35">
                  <c:v>0.15138526248353421</c:v>
                </c:pt>
                <c:pt idx="36">
                  <c:v>0.14729428492731003</c:v>
                </c:pt>
                <c:pt idx="37">
                  <c:v>0.14323347443559648</c:v>
                </c:pt>
                <c:pt idx="38">
                  <c:v>0.13920170792236849</c:v>
                </c:pt>
                <c:pt idx="39">
                  <c:v>0.13519792697157657</c:v>
                </c:pt>
                <c:pt idx="40">
                  <c:v>0.1312211335917105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3-4409-9E38-DF5C543C64C2}"/>
            </c:ext>
          </c:extLst>
        </c:ser>
        <c:ser>
          <c:idx val="1"/>
          <c:order val="1"/>
          <c:tx>
            <c:strRef>
              <c:f>'Калькулятор PVT'!$Q$58</c:f>
              <c:strCache>
                <c:ptCount val="1"/>
                <c:pt idx="0">
                  <c:v>βg sep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PVT'!$Q$59:$Q$99</c:f>
              <c:numCache>
                <c:formatCode>General</c:formatCode>
                <c:ptCount val="41"/>
                <c:pt idx="0">
                  <c:v>0.99365634659680135</c:v>
                </c:pt>
                <c:pt idx="1">
                  <c:v>0.92822393325618791</c:v>
                </c:pt>
                <c:pt idx="2">
                  <c:v>0.86617840151612313</c:v>
                </c:pt>
                <c:pt idx="3">
                  <c:v>0.80780617913436636</c:v>
                </c:pt>
                <c:pt idx="4">
                  <c:v>0.75327403531906711</c:v>
                </c:pt>
                <c:pt idx="5">
                  <c:v>0.70253759355470535</c:v>
                </c:pt>
                <c:pt idx="6">
                  <c:v>0.65533044724470579</c:v>
                </c:pt>
                <c:pt idx="7">
                  <c:v>0.61117371972981938</c:v>
                </c:pt>
                <c:pt idx="8">
                  <c:v>0.56940191489666614</c:v>
                </c:pt>
                <c:pt idx="9">
                  <c:v>0.52921618930122938</c:v>
                </c:pt>
                <c:pt idx="10">
                  <c:v>0.48979006512275197</c:v>
                </c:pt>
                <c:pt idx="11">
                  <c:v>0.45046392616810066</c:v>
                </c:pt>
                <c:pt idx="12">
                  <c:v>0.411052572424978</c:v>
                </c:pt>
                <c:pt idx="13">
                  <c:v>0.3722088725726303</c:v>
                </c:pt>
                <c:pt idx="14">
                  <c:v>0.33559997624763432</c:v>
                </c:pt>
                <c:pt idx="15">
                  <c:v>0.30348419090129947</c:v>
                </c:pt>
                <c:pt idx="16">
                  <c:v>0.27754601698039399</c:v>
                </c:pt>
                <c:pt idx="17">
                  <c:v>0.25774483164078632</c:v>
                </c:pt>
                <c:pt idx="18">
                  <c:v>0.24238212454847693</c:v>
                </c:pt>
                <c:pt idx="19">
                  <c:v>0.22938584901705888</c:v>
                </c:pt>
                <c:pt idx="20">
                  <c:v>0.21741280605664562</c:v>
                </c:pt>
                <c:pt idx="21">
                  <c:v>0.21266235482341828</c:v>
                </c:pt>
                <c:pt idx="22">
                  <c:v>0.20797751468139458</c:v>
                </c:pt>
                <c:pt idx="23">
                  <c:v>0.20335122608945377</c:v>
                </c:pt>
                <c:pt idx="24">
                  <c:v>0.19877912939800127</c:v>
                </c:pt>
                <c:pt idx="25">
                  <c:v>0.19425810064477733</c:v>
                </c:pt>
                <c:pt idx="26">
                  <c:v>0.18978557072058924</c:v>
                </c:pt>
                <c:pt idx="27">
                  <c:v>0.1853592492459086</c:v>
                </c:pt>
                <c:pt idx="28">
                  <c:v>0.18097702393248435</c:v>
                </c:pt>
                <c:pt idx="29">
                  <c:v>0.1766369242556555</c:v>
                </c:pt>
                <c:pt idx="30">
                  <c:v>0.17233710532507002</c:v>
                </c:pt>
                <c:pt idx="31">
                  <c:v>0.1680758375079901</c:v>
                </c:pt>
                <c:pt idx="32">
                  <c:v>0.16385149786690129</c:v>
                </c:pt>
                <c:pt idx="33">
                  <c:v>0.15966256248560404</c:v>
                </c:pt>
                <c:pt idx="34">
                  <c:v>0.15550759946200757</c:v>
                </c:pt>
                <c:pt idx="35">
                  <c:v>0.15138526248353421</c:v>
                </c:pt>
                <c:pt idx="36">
                  <c:v>0.14729428492731003</c:v>
                </c:pt>
                <c:pt idx="37">
                  <c:v>0.14323347443559648</c:v>
                </c:pt>
                <c:pt idx="38">
                  <c:v>0.13920170792236849</c:v>
                </c:pt>
                <c:pt idx="39">
                  <c:v>0.13519792697157657</c:v>
                </c:pt>
                <c:pt idx="40">
                  <c:v>0.1312211335917105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C3-4409-9E38-DF5C543C64C2}"/>
            </c:ext>
          </c:extLst>
        </c:ser>
        <c:ser>
          <c:idx val="2"/>
          <c:order val="2"/>
          <c:tx>
            <c:strRef>
              <c:f>'Калькулятор PVT'!$R$58</c:f>
              <c:strCache>
                <c:ptCount val="1"/>
                <c:pt idx="0">
                  <c:v>βg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PVT'!$R$59:$R$99</c:f>
              <c:numCache>
                <c:formatCode>General</c:formatCode>
                <c:ptCount val="41"/>
                <c:pt idx="0">
                  <c:v>0.99365634659680135</c:v>
                </c:pt>
                <c:pt idx="1">
                  <c:v>0.92822393325618791</c:v>
                </c:pt>
                <c:pt idx="2">
                  <c:v>0.86617840151612313</c:v>
                </c:pt>
                <c:pt idx="3">
                  <c:v>0.80780617913436636</c:v>
                </c:pt>
                <c:pt idx="4">
                  <c:v>0.75327403531906711</c:v>
                </c:pt>
                <c:pt idx="5">
                  <c:v>0.70253759355470535</c:v>
                </c:pt>
                <c:pt idx="6">
                  <c:v>0.65533044724470579</c:v>
                </c:pt>
                <c:pt idx="7">
                  <c:v>0.61117371972981938</c:v>
                </c:pt>
                <c:pt idx="8">
                  <c:v>0.56940191489666614</c:v>
                </c:pt>
                <c:pt idx="9">
                  <c:v>0.52921618930122938</c:v>
                </c:pt>
                <c:pt idx="10">
                  <c:v>0.48979006512275197</c:v>
                </c:pt>
                <c:pt idx="11">
                  <c:v>0.45046392616810066</c:v>
                </c:pt>
                <c:pt idx="12">
                  <c:v>0.411052572424978</c:v>
                </c:pt>
                <c:pt idx="13">
                  <c:v>0.3722088725726303</c:v>
                </c:pt>
                <c:pt idx="14">
                  <c:v>0.33559997624763432</c:v>
                </c:pt>
                <c:pt idx="15">
                  <c:v>0.30348419090129947</c:v>
                </c:pt>
                <c:pt idx="16">
                  <c:v>0.27754601698039399</c:v>
                </c:pt>
                <c:pt idx="17">
                  <c:v>0.25774483164078632</c:v>
                </c:pt>
                <c:pt idx="18">
                  <c:v>0.24238212454847693</c:v>
                </c:pt>
                <c:pt idx="19">
                  <c:v>0.22938584901705888</c:v>
                </c:pt>
                <c:pt idx="20">
                  <c:v>0.21741280605664562</c:v>
                </c:pt>
                <c:pt idx="21">
                  <c:v>0.21266235482341828</c:v>
                </c:pt>
                <c:pt idx="22">
                  <c:v>0.20797751468139458</c:v>
                </c:pt>
                <c:pt idx="23">
                  <c:v>0.20335122608945377</c:v>
                </c:pt>
                <c:pt idx="24">
                  <c:v>0.19877912939800127</c:v>
                </c:pt>
                <c:pt idx="25">
                  <c:v>0.19425810064477733</c:v>
                </c:pt>
                <c:pt idx="26">
                  <c:v>0.18978557072058924</c:v>
                </c:pt>
                <c:pt idx="27">
                  <c:v>0.1853592492459086</c:v>
                </c:pt>
                <c:pt idx="28">
                  <c:v>0.18097702393248435</c:v>
                </c:pt>
                <c:pt idx="29">
                  <c:v>0.1766369242556555</c:v>
                </c:pt>
                <c:pt idx="30">
                  <c:v>0.17233710532507002</c:v>
                </c:pt>
                <c:pt idx="31">
                  <c:v>0.1680758375079901</c:v>
                </c:pt>
                <c:pt idx="32">
                  <c:v>0.16385149786690129</c:v>
                </c:pt>
                <c:pt idx="33">
                  <c:v>0.15966256248560404</c:v>
                </c:pt>
                <c:pt idx="34">
                  <c:v>0.15550759946200757</c:v>
                </c:pt>
                <c:pt idx="35">
                  <c:v>0.15138526248353421</c:v>
                </c:pt>
                <c:pt idx="36">
                  <c:v>0.14729428492731003</c:v>
                </c:pt>
                <c:pt idx="37">
                  <c:v>0.14323347443559648</c:v>
                </c:pt>
                <c:pt idx="38">
                  <c:v>0.13920170792236849</c:v>
                </c:pt>
                <c:pt idx="39">
                  <c:v>0.13519792697157657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C3-4409-9E38-DF5C543C6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23328"/>
        <c:axId val="217523904"/>
      </c:scatterChart>
      <c:valAx>
        <c:axId val="21752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523904"/>
        <c:crosses val="autoZero"/>
        <c:crossBetween val="midCat"/>
      </c:valAx>
      <c:valAx>
        <c:axId val="217523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Плотность, кг/м3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52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PVT'!$F$22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PVT'!$F$23:$F$48</c:f>
              <c:numCache>
                <c:formatCode>0.00</c:formatCode>
                <c:ptCount val="26"/>
                <c:pt idx="0">
                  <c:v>1.0376527596788165</c:v>
                </c:pt>
                <c:pt idx="1">
                  <c:v>1.0403173727412995</c:v>
                </c:pt>
                <c:pt idx="2">
                  <c:v>1.0444102727998681</c:v>
                </c:pt>
                <c:pt idx="3">
                  <c:v>1.0539877935797775</c:v>
                </c:pt>
                <c:pt idx="4">
                  <c:v>1.0767538727082331</c:v>
                </c:pt>
                <c:pt idx="5">
                  <c:v>1.1030546590708084</c:v>
                </c:pt>
                <c:pt idx="6">
                  <c:v>1.1322102757286072</c:v>
                </c:pt>
                <c:pt idx="7">
                  <c:v>1.1638405832814809</c:v>
                </c:pt>
                <c:pt idx="8">
                  <c:v>1.1806672063194987</c:v>
                </c:pt>
                <c:pt idx="9">
                  <c:v>1.1755656078867194</c:v>
                </c:pt>
                <c:pt idx="10">
                  <c:v>1.1717538804745498</c:v>
                </c:pt>
                <c:pt idx="11">
                  <c:v>1.1687977504115337</c:v>
                </c:pt>
                <c:pt idx="12">
                  <c:v>1.1664382168802112</c:v>
                </c:pt>
                <c:pt idx="13">
                  <c:v>1.1645112328704794</c:v>
                </c:pt>
                <c:pt idx="14">
                  <c:v>1.1629078448678598</c:v>
                </c:pt>
                <c:pt idx="15">
                  <c:v>1.1615528563960344</c:v>
                </c:pt>
                <c:pt idx="16">
                  <c:v>1.1603926943680387</c:v>
                </c:pt>
                <c:pt idx="17">
                  <c:v>1.1593881579705583</c:v>
                </c:pt>
                <c:pt idx="18">
                  <c:v>1.1585099020034806</c:v>
                </c:pt>
                <c:pt idx="19">
                  <c:v>1.1577355227772113</c:v>
                </c:pt>
                <c:pt idx="20">
                  <c:v>1.1570476202397262</c:v>
                </c:pt>
                <c:pt idx="21">
                  <c:v>1.1564324749673425</c:v>
                </c:pt>
                <c:pt idx="22">
                  <c:v>1.1558791238484611</c:v>
                </c:pt>
                <c:pt idx="23">
                  <c:v>1.1553787009926739</c:v>
                </c:pt>
                <c:pt idx="24">
                  <c:v>1.1549239591296774</c:v>
                </c:pt>
                <c:pt idx="25">
                  <c:v>1.1545089163509799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коэффициент, м3/м3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PVT'!$G$22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PVT'!$G$23:$G$48</c:f>
              <c:numCache>
                <c:formatCode>0</c:formatCode>
                <c:ptCount val="26"/>
                <c:pt idx="0">
                  <c:v>3.4463445519065772</c:v>
                </c:pt>
                <c:pt idx="1">
                  <c:v>3.2336371116505358</c:v>
                </c:pt>
                <c:pt idx="2">
                  <c:v>2.9618622051682864</c:v>
                </c:pt>
                <c:pt idx="3">
                  <c:v>2.4986426136130651</c:v>
                </c:pt>
                <c:pt idx="4">
                  <c:v>1.8766576953859042</c:v>
                </c:pt>
                <c:pt idx="5">
                  <c:v>1.500453325635279</c:v>
                </c:pt>
                <c:pt idx="6">
                  <c:v>1.2534060565552225</c:v>
                </c:pt>
                <c:pt idx="7">
                  <c:v>1.0798118334263502</c:v>
                </c:pt>
                <c:pt idx="8">
                  <c:v>1.0143832116351985</c:v>
                </c:pt>
                <c:pt idx="9">
                  <c:v>1.0516696946026671</c:v>
                </c:pt>
                <c:pt idx="10">
                  <c:v>1.0946410836040579</c:v>
                </c:pt>
                <c:pt idx="11">
                  <c:v>1.1427623596214616</c:v>
                </c:pt>
                <c:pt idx="12">
                  <c:v>1.1956079698529825</c:v>
                </c:pt>
                <c:pt idx="13">
                  <c:v>1.2528187080253694</c:v>
                </c:pt>
                <c:pt idx="14">
                  <c:v>1.3140740183946704</c:v>
                </c:pt>
                <c:pt idx="15">
                  <c:v>1.3790736979594145</c:v>
                </c:pt>
                <c:pt idx="16">
                  <c:v>1.447525646071635</c:v>
                </c:pt>
                <c:pt idx="17">
                  <c:v>1.5191376962112864</c:v>
                </c:pt>
                <c:pt idx="18">
                  <c:v>1.5936123222926795</c:v>
                </c:pt>
                <c:pt idx="19">
                  <c:v>1.6706434440866633</c:v>
                </c:pt>
                <c:pt idx="20">
                  <c:v>1.7499148114006253</c:v>
                </c:pt>
                <c:pt idx="21">
                  <c:v>1.8310996013758258</c:v>
                </c:pt>
                <c:pt idx="22">
                  <c:v>1.9138609593794527</c:v>
                </c:pt>
                <c:pt idx="23">
                  <c:v>1.9978532751006954</c:v>
                </c:pt>
                <c:pt idx="24">
                  <c:v>2.0827240254263466</c:v>
                </c:pt>
                <c:pt idx="25">
                  <c:v>2.168116042785591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PVT'!$H$22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PVT'!$H$23:$H$48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'Упражнение PVT'!$I$22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PVT'!$I$23:$I$48</c:f>
              <c:numCache>
                <c:formatCode>0.000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'Упражнение PVT'!$L$22</c:f>
              <c:strCache>
                <c:ptCount val="1"/>
                <c:pt idx="0">
                  <c:v>ρн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PVT'!$L$23:$L$48</c:f>
              <c:numCache>
                <c:formatCode>General</c:formatCode>
                <c:ptCount val="26"/>
                <c:pt idx="0">
                  <c:v>829.05123087842594</c:v>
                </c:pt>
                <c:pt idx="1">
                  <c:v>828.45478161425683</c:v>
                </c:pt>
                <c:pt idx="2">
                  <c:v>827.52497108427281</c:v>
                </c:pt>
                <c:pt idx="3">
                  <c:v>825.29416628033573</c:v>
                </c:pt>
                <c:pt idx="4">
                  <c:v>819.77149727308722</c:v>
                </c:pt>
                <c:pt idx="5">
                  <c:v>813.17220185907354</c:v>
                </c:pt>
                <c:pt idx="6">
                  <c:v>805.7492481751533</c:v>
                </c:pt>
                <c:pt idx="7">
                  <c:v>797.69549994548436</c:v>
                </c:pt>
                <c:pt idx="8">
                  <c:v>794.62594961422008</c:v>
                </c:pt>
                <c:pt idx="9">
                  <c:v>798.07438539015709</c:v>
                </c:pt>
                <c:pt idx="10">
                  <c:v>800.67052956551083</c:v>
                </c:pt>
                <c:pt idx="11">
                  <c:v>802.69559012212653</c:v>
                </c:pt>
                <c:pt idx="12">
                  <c:v>804.3193256384435</c:v>
                </c:pt>
                <c:pt idx="13">
                  <c:v>805.65027929133623</c:v>
                </c:pt>
                <c:pt idx="14">
                  <c:v>806.76108957421775</c:v>
                </c:pt>
                <c:pt idx="15">
                  <c:v>807.70220212873562</c:v>
                </c:pt>
                <c:pt idx="16">
                  <c:v>808.5097437733757</c:v>
                </c:pt>
                <c:pt idx="17">
                  <c:v>809.2102662513347</c:v>
                </c:pt>
                <c:pt idx="18">
                  <c:v>809.82372129710234</c:v>
                </c:pt>
                <c:pt idx="19">
                  <c:v>810.36539135418775</c:v>
                </c:pt>
                <c:pt idx="20">
                  <c:v>810.84718000251246</c:v>
                </c:pt>
                <c:pt idx="21">
                  <c:v>811.27849684997329</c:v>
                </c:pt>
                <c:pt idx="22">
                  <c:v>811.6668781734993</c:v>
                </c:pt>
                <c:pt idx="23">
                  <c:v>812.01843100788551</c:v>
                </c:pt>
                <c:pt idx="24">
                  <c:v>812.33815662374536</c:v>
                </c:pt>
                <c:pt idx="25">
                  <c:v>812.63018995583332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сП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'Упражнение PVT'!$J$22</c:f>
              <c:strCache>
                <c:ptCount val="1"/>
                <c:pt idx="0">
                  <c:v>ρг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PVT'!$J$23:$J$48</c:f>
              <c:numCache>
                <c:formatCode>0.000</c:formatCode>
                <c:ptCount val="26"/>
                <c:pt idx="0">
                  <c:v>0.80923453779557586</c:v>
                </c:pt>
                <c:pt idx="1">
                  <c:v>4.0720135434559541</c:v>
                </c:pt>
                <c:pt idx="2">
                  <c:v>8.205184623817356</c:v>
                </c:pt>
                <c:pt idx="3">
                  <c:v>16.625539084112528</c:v>
                </c:pt>
                <c:pt idx="4">
                  <c:v>33.869447334844871</c:v>
                </c:pt>
                <c:pt idx="5">
                  <c:v>51.277440019390482</c:v>
                </c:pt>
                <c:pt idx="6">
                  <c:v>68.472148721841492</c:v>
                </c:pt>
                <c:pt idx="7">
                  <c:v>85.167243557721918</c:v>
                </c:pt>
                <c:pt idx="8">
                  <c:v>101.16827513716821</c:v>
                </c:pt>
                <c:pt idx="9">
                  <c:v>116.36900892897458</c:v>
                </c:pt>
                <c:pt idx="10">
                  <c:v>130.74752734310729</c:v>
                </c:pt>
                <c:pt idx="11">
                  <c:v>144.3646036110502</c:v>
                </c:pt>
                <c:pt idx="12">
                  <c:v>157.36515020693065</c:v>
                </c:pt>
                <c:pt idx="13">
                  <c:v>169.9814069327287</c:v>
                </c:pt>
                <c:pt idx="14">
                  <c:v>182.53336625994487</c:v>
                </c:pt>
                <c:pt idx="15">
                  <c:v>195.41703229727273</c:v>
                </c:pt>
                <c:pt idx="16">
                  <c:v>209.06416247293561</c:v>
                </c:pt>
                <c:pt idx="17">
                  <c:v>223.85018235404627</c:v>
                </c:pt>
                <c:pt idx="18">
                  <c:v>239.92959410590848</c:v>
                </c:pt>
                <c:pt idx="19">
                  <c:v>257.01485989595426</c:v>
                </c:pt>
                <c:pt idx="20">
                  <c:v>274.21422686778067</c:v>
                </c:pt>
                <c:pt idx="21">
                  <c:v>290.16236861656057</c:v>
                </c:pt>
                <c:pt idx="22">
                  <c:v>303.59340071013372</c:v>
                </c:pt>
                <c:pt idx="23">
                  <c:v>314.04397739127421</c:v>
                </c:pt>
                <c:pt idx="24">
                  <c:v>322.02345994955135</c:v>
                </c:pt>
                <c:pt idx="25">
                  <c:v>328.4808721005885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сП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'Упражнение PVT'!$K$22</c:f>
              <c:strCache>
                <c:ptCount val="1"/>
                <c:pt idx="0">
                  <c:v>ρв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PVT'!$K$23:$K$48</c:f>
              <c:numCache>
                <c:formatCode>0.00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сП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в нефти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'Калькулятор PVT'!$D$58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PVT'!$D$59:$D$99</c:f>
              <c:numCache>
                <c:formatCode>General</c:formatCode>
                <c:ptCount val="41"/>
                <c:pt idx="0">
                  <c:v>2.870269071828853</c:v>
                </c:pt>
                <c:pt idx="1">
                  <c:v>12.759697733962112</c:v>
                </c:pt>
                <c:pt idx="2">
                  <c:v>19.483214075380882</c:v>
                </c:pt>
                <c:pt idx="3">
                  <c:v>25.238144963591264</c:v>
                </c:pt>
                <c:pt idx="4">
                  <c:v>30.471191957275128</c:v>
                </c:pt>
                <c:pt idx="5">
                  <c:v>35.374484404416215</c:v>
                </c:pt>
                <c:pt idx="6">
                  <c:v>40.052888260284789</c:v>
                </c:pt>
                <c:pt idx="7">
                  <c:v>44.571532055403182</c:v>
                </c:pt>
                <c:pt idx="8">
                  <c:v>48.974345089004089</c:v>
                </c:pt>
                <c:pt idx="9">
                  <c:v>53.292717487793936</c:v>
                </c:pt>
                <c:pt idx="10">
                  <c:v>57.550058755974867</c:v>
                </c:pt>
                <c:pt idx="11">
                  <c:v>61.764412255320103</c:v>
                </c:pt>
                <c:pt idx="12">
                  <c:v>65.950055317721166</c:v>
                </c:pt>
                <c:pt idx="13">
                  <c:v>70.118529822505295</c:v>
                </c:pt>
                <c:pt idx="14">
                  <c:v>74.279333899938706</c:v>
                </c:pt>
                <c:pt idx="15">
                  <c:v>78.440402271586834</c:v>
                </c:pt>
                <c:pt idx="16">
                  <c:v>82.608449498452316</c:v>
                </c:pt>
                <c:pt idx="17">
                  <c:v>86.789221323931272</c:v>
                </c:pt>
                <c:pt idx="18">
                  <c:v>90.987682637764451</c:v>
                </c:pt>
                <c:pt idx="19">
                  <c:v>95.208160649541654</c:v>
                </c:pt>
                <c:pt idx="20">
                  <c:v>99.45445572300568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C1-460F-80D3-BC693147A9E0}"/>
            </c:ext>
          </c:extLst>
        </c:ser>
        <c:ser>
          <c:idx val="1"/>
          <c:order val="1"/>
          <c:tx>
            <c:strRef>
              <c:f>'Калькулятор PVT'!$E$58</c:f>
              <c:strCache>
                <c:ptCount val="1"/>
                <c:pt idx="0">
                  <c:v>Rs sep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PVT'!$E$59:$E$99</c:f>
              <c:numCache>
                <c:formatCode>General</c:formatCode>
                <c:ptCount val="41"/>
                <c:pt idx="0">
                  <c:v>2.870269071828853</c:v>
                </c:pt>
                <c:pt idx="1">
                  <c:v>12.759697733962112</c:v>
                </c:pt>
                <c:pt idx="2">
                  <c:v>19.483214075380882</c:v>
                </c:pt>
                <c:pt idx="3">
                  <c:v>25.238144963591264</c:v>
                </c:pt>
                <c:pt idx="4">
                  <c:v>30.471191957275128</c:v>
                </c:pt>
                <c:pt idx="5">
                  <c:v>35.374484404416215</c:v>
                </c:pt>
                <c:pt idx="6">
                  <c:v>40.052888260284789</c:v>
                </c:pt>
                <c:pt idx="7">
                  <c:v>44.571532055403182</c:v>
                </c:pt>
                <c:pt idx="8">
                  <c:v>48.974345089004089</c:v>
                </c:pt>
                <c:pt idx="9">
                  <c:v>53.292717487793936</c:v>
                </c:pt>
                <c:pt idx="10">
                  <c:v>57.550058755974867</c:v>
                </c:pt>
                <c:pt idx="11">
                  <c:v>61.764412255320103</c:v>
                </c:pt>
                <c:pt idx="12">
                  <c:v>65.950055317721166</c:v>
                </c:pt>
                <c:pt idx="13">
                  <c:v>70.118529822505295</c:v>
                </c:pt>
                <c:pt idx="14">
                  <c:v>74.279333899938706</c:v>
                </c:pt>
                <c:pt idx="15">
                  <c:v>78.440402271586834</c:v>
                </c:pt>
                <c:pt idx="16">
                  <c:v>82.608449498452316</c:v>
                </c:pt>
                <c:pt idx="17">
                  <c:v>86.789221323931272</c:v>
                </c:pt>
                <c:pt idx="18">
                  <c:v>90.987682637764451</c:v>
                </c:pt>
                <c:pt idx="19">
                  <c:v>95.208160649541654</c:v>
                </c:pt>
                <c:pt idx="20">
                  <c:v>99.45445572300568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C1-460F-80D3-BC693147A9E0}"/>
            </c:ext>
          </c:extLst>
        </c:ser>
        <c:ser>
          <c:idx val="2"/>
          <c:order val="2"/>
          <c:tx>
            <c:strRef>
              <c:f>'Калькулятор PVT'!$F$58</c:f>
              <c:strCache>
                <c:ptCount val="1"/>
                <c:pt idx="0">
                  <c:v>Rs corr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PVT'!$F$59:$F$99</c:f>
              <c:numCache>
                <c:formatCode>General</c:formatCode>
                <c:ptCount val="41"/>
                <c:pt idx="0">
                  <c:v>7.3073359279448066E-2</c:v>
                </c:pt>
                <c:pt idx="1">
                  <c:v>7.8498650232280047</c:v>
                </c:pt>
                <c:pt idx="2">
                  <c:v>12.364501307691741</c:v>
                </c:pt>
                <c:pt idx="3">
                  <c:v>16.150377720837035</c:v>
                </c:pt>
                <c:pt idx="4">
                  <c:v>19.541060770860231</c:v>
                </c:pt>
                <c:pt idx="5">
                  <c:v>22.67421942967724</c:v>
                </c:pt>
                <c:pt idx="6">
                  <c:v>25.623541336797413</c:v>
                </c:pt>
                <c:pt idx="7">
                  <c:v>28.434258508759868</c:v>
                </c:pt>
                <c:pt idx="8">
                  <c:v>31.136640453495396</c:v>
                </c:pt>
                <c:pt idx="9">
                  <c:v>33.752193643695144</c:v>
                </c:pt>
                <c:pt idx="10">
                  <c:v>36.296887505293427</c:v>
                </c:pt>
                <c:pt idx="11">
                  <c:v>38.782988958646548</c:v>
                </c:pt>
                <c:pt idx="12">
                  <c:v>41.220177842720339</c:v>
                </c:pt>
                <c:pt idx="13">
                  <c:v>43.616261568204592</c:v>
                </c:pt>
                <c:pt idx="14">
                  <c:v>45.977652729515846</c:v>
                </c:pt>
                <c:pt idx="15">
                  <c:v>48.309699591654223</c:v>
                </c:pt>
                <c:pt idx="16">
                  <c:v>50.616921540940915</c:v>
                </c:pt>
                <c:pt idx="17">
                  <c:v>52.903181046423512</c:v>
                </c:pt>
                <c:pt idx="18">
                  <c:v>55.171811969591133</c:v>
                </c:pt>
                <c:pt idx="19">
                  <c:v>57.425717105722477</c:v>
                </c:pt>
                <c:pt idx="20">
                  <c:v>59.66744356118442</c:v>
                </c:pt>
                <c:pt idx="21">
                  <c:v>65.491969681483809</c:v>
                </c:pt>
                <c:pt idx="22">
                  <c:v>71.280832799048497</c:v>
                </c:pt>
                <c:pt idx="23">
                  <c:v>77.059227922144487</c:v>
                </c:pt>
                <c:pt idx="24">
                  <c:v>82.846861015682933</c:v>
                </c:pt>
                <c:pt idx="25">
                  <c:v>88.659511554812383</c:v>
                </c:pt>
                <c:pt idx="26">
                  <c:v>94.510062173653239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C1-460F-80D3-BC693147A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21440"/>
        <c:axId val="216422016"/>
      </c:scatterChart>
      <c:valAx>
        <c:axId val="2164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22016"/>
        <c:crosses val="autoZero"/>
        <c:crossBetween val="midCat"/>
      </c:valAx>
      <c:valAx>
        <c:axId val="2164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48</xdr:row>
      <xdr:rowOff>61894</xdr:rowOff>
    </xdr:from>
    <xdr:to>
      <xdr:col>4</xdr:col>
      <xdr:colOff>552061</xdr:colOff>
      <xdr:row>75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FF8E196-C079-4916-A3F9-6B4B7357E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48</xdr:row>
      <xdr:rowOff>69881</xdr:rowOff>
    </xdr:from>
    <xdr:to>
      <xdr:col>10</xdr:col>
      <xdr:colOff>471877</xdr:colOff>
      <xdr:row>75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E5C314D2-C234-4658-AED5-9C79AC48D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27991</xdr:colOff>
      <xdr:row>3</xdr:row>
      <xdr:rowOff>39782</xdr:rowOff>
    </xdr:from>
    <xdr:to>
      <xdr:col>16</xdr:col>
      <xdr:colOff>571500</xdr:colOff>
      <xdr:row>14</xdr:row>
      <xdr:rowOff>9895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F18B8087-5E11-4798-87F0-74DF76BD6820}"/>
            </a:ext>
          </a:extLst>
        </xdr:cNvPr>
        <xdr:cNvSpPr txBox="1"/>
      </xdr:nvSpPr>
      <xdr:spPr>
        <a:xfrm>
          <a:off x="6213056" y="514795"/>
          <a:ext cx="6590028" cy="2355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зависимости газосодержания в нефти, объемного коэффициента нефти, вязкости нефти от давления и температуры в приведенной ниже таблице.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Настройте при необходимости отображение графиков для построенных величин.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Объясните получившиеся графические зависимости.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Можно ли глядя на графические зависимости отпределить параметры нефти? Если да, то какие?</a:t>
          </a:r>
        </a:p>
        <a:p>
          <a:r>
            <a:rPr lang="ru-RU" sz="1100" baseline="0"/>
            <a:t>2. Всегда ли заданное значение давления насыщения совпадает со значением давления насыщения считанным с графиков?</a:t>
          </a:r>
        </a:p>
        <a:p>
          <a:r>
            <a:rPr lang="ru-RU" sz="1100" baseline="0"/>
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</a:r>
        </a:p>
        <a:p>
          <a:endParaRPr lang="ru-RU" sz="1100" baseline="0"/>
        </a:p>
      </xdr:txBody>
    </xdr:sp>
    <xdr:clientData/>
  </xdr:twoCellAnchor>
  <xdr:twoCellAnchor>
    <xdr:from>
      <xdr:col>10</xdr:col>
      <xdr:colOff>506186</xdr:colOff>
      <xdr:row>48</xdr:row>
      <xdr:rowOff>59872</xdr:rowOff>
    </xdr:from>
    <xdr:to>
      <xdr:col>17</xdr:col>
      <xdr:colOff>479036</xdr:colOff>
      <xdr:row>75</xdr:row>
      <xdr:rowOff>63115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5147098D-C3D6-40D3-BC58-73C54C287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78</xdr:row>
      <xdr:rowOff>1</xdr:rowOff>
    </xdr:from>
    <xdr:to>
      <xdr:col>16</xdr:col>
      <xdr:colOff>540788</xdr:colOff>
      <xdr:row>87</xdr:row>
      <xdr:rowOff>128649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59A03D2C-E862-4CDC-8336-E068AB1F7E27}"/>
            </a:ext>
          </a:extLst>
        </xdr:cNvPr>
        <xdr:cNvSpPr txBox="1"/>
      </xdr:nvSpPr>
      <xdr:spPr>
        <a:xfrm>
          <a:off x="6185065" y="13201403"/>
          <a:ext cx="6587307" cy="155368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18</xdr:col>
      <xdr:colOff>37799</xdr:colOff>
      <xdr:row>49</xdr:row>
      <xdr:rowOff>24190</xdr:rowOff>
    </xdr:from>
    <xdr:to>
      <xdr:col>25</xdr:col>
      <xdr:colOff>80196</xdr:colOff>
      <xdr:row>76</xdr:row>
      <xdr:rowOff>27432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5147098D-C3D6-40D3-BC58-73C54C287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241148</xdr:colOff>
      <xdr:row>50</xdr:row>
      <xdr:rowOff>757</xdr:rowOff>
    </xdr:from>
    <xdr:to>
      <xdr:col>32</xdr:col>
      <xdr:colOff>277498</xdr:colOff>
      <xdr:row>77</xdr:row>
      <xdr:rowOff>3999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5147098D-C3D6-40D3-BC58-73C54C287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381000</xdr:colOff>
      <xdr:row>92</xdr:row>
      <xdr:rowOff>68036</xdr:rowOff>
    </xdr:from>
    <xdr:to>
      <xdr:col>5</xdr:col>
      <xdr:colOff>122529</xdr:colOff>
      <xdr:row>119</xdr:row>
      <xdr:rowOff>71279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xmlns="" id="{5147098D-C3D6-40D3-BC58-73C54C287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272143</xdr:colOff>
      <xdr:row>92</xdr:row>
      <xdr:rowOff>40821</xdr:rowOff>
    </xdr:from>
    <xdr:to>
      <xdr:col>11</xdr:col>
      <xdr:colOff>408279</xdr:colOff>
      <xdr:row>119</xdr:row>
      <xdr:rowOff>44064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xmlns="" id="{5147098D-C3D6-40D3-BC58-73C54C287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31750</xdr:colOff>
      <xdr:row>92</xdr:row>
      <xdr:rowOff>0</xdr:rowOff>
    </xdr:from>
    <xdr:to>
      <xdr:col>19</xdr:col>
      <xdr:colOff>136136</xdr:colOff>
      <xdr:row>119</xdr:row>
      <xdr:rowOff>3243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xmlns="" id="{5147098D-C3D6-40D3-BC58-73C54C287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142875</xdr:colOff>
          <xdr:row>55</xdr:row>
          <xdr:rowOff>0</xdr:rowOff>
        </xdr:from>
        <xdr:to>
          <xdr:col>13</xdr:col>
          <xdr:colOff>647700</xdr:colOff>
          <xdr:row>55</xdr:row>
          <xdr:rowOff>0</xdr:rowOff>
        </xdr:to>
        <xdr:sp macro="" textlink="">
          <xdr:nvSpPr>
            <xdr:cNvPr id="89089" name="Button 1" hidden="1">
              <a:extLst>
                <a:ext uri="{63B3BB69-23CF-44E3-9099-C40C66FF867C}">
                  <a14:compatExt spid="_x0000_s89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Перестроить графики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94772</xdr:colOff>
      <xdr:row>58</xdr:row>
      <xdr:rowOff>166608</xdr:rowOff>
    </xdr:from>
    <xdr:to>
      <xdr:col>9</xdr:col>
      <xdr:colOff>339116</xdr:colOff>
      <xdr:row>78</xdr:row>
      <xdr:rowOff>74379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61F34D0E-96C8-4BBC-862C-DBED574B9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402713</xdr:colOff>
      <xdr:row>58</xdr:row>
      <xdr:rowOff>163886</xdr:rowOff>
    </xdr:from>
    <xdr:to>
      <xdr:col>17</xdr:col>
      <xdr:colOff>468464</xdr:colOff>
      <xdr:row>78</xdr:row>
      <xdr:rowOff>71657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701C5DDE-5E9B-4BC7-83BE-918698A5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81243</xdr:colOff>
      <xdr:row>78</xdr:row>
      <xdr:rowOff>116261</xdr:rowOff>
    </xdr:from>
    <xdr:to>
      <xdr:col>9</xdr:col>
      <xdr:colOff>325587</xdr:colOff>
      <xdr:row>98</xdr:row>
      <xdr:rowOff>24032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DCC4821E-1CD5-4CDD-AD87-E86E1675A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426524</xdr:colOff>
      <xdr:row>78</xdr:row>
      <xdr:rowOff>128167</xdr:rowOff>
    </xdr:from>
    <xdr:to>
      <xdr:col>17</xdr:col>
      <xdr:colOff>492275</xdr:colOff>
      <xdr:row>98</xdr:row>
      <xdr:rowOff>35938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628B3D3A-64D2-40A5-B6C3-931866DFA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380997</xdr:colOff>
      <xdr:row>0</xdr:row>
      <xdr:rowOff>63103</xdr:rowOff>
    </xdr:from>
    <xdr:to>
      <xdr:col>28</xdr:col>
      <xdr:colOff>47624</xdr:colOff>
      <xdr:row>18</xdr:row>
      <xdr:rowOff>119062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BD3F8820-1AAA-4BB5-BDBA-699D8BEE7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7</xdr:row>
          <xdr:rowOff>85725</xdr:rowOff>
        </xdr:from>
        <xdr:to>
          <xdr:col>20</xdr:col>
          <xdr:colOff>600075</xdr:colOff>
          <xdr:row>10</xdr:row>
          <xdr:rowOff>142875</xdr:rowOff>
        </xdr:to>
        <xdr:sp macro="" textlink="">
          <xdr:nvSpPr>
            <xdr:cNvPr id="89090" name="Button 2" hidden="1">
              <a:extLst>
                <a:ext uri="{63B3BB69-23CF-44E3-9099-C40C66FF867C}">
                  <a14:compatExt spid="_x0000_s89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Обновить диаграмму рассогласованности</a:t>
              </a:r>
            </a:p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Подобрать γ</a:t>
              </a:r>
              <a:r>
                <a:rPr lang="ru-RU" sz="1100" b="0" i="0" u="none" strike="noStrike" baseline="-25000">
                  <a:solidFill>
                    <a:srgbClr val="000000"/>
                  </a:solidFill>
                  <a:latin typeface="Calibri"/>
                  <a:cs typeface="Calibri"/>
                </a:rPr>
                <a:t>g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</a:t>
              </a:r>
            </a:p>
          </xdr:txBody>
        </xdr:sp>
        <xdr:clientData fPrintsWithSheet="0"/>
      </xdr:twoCellAnchor>
    </mc:Choice>
    <mc:Fallback/>
  </mc:AlternateContent>
  <xdr:twoCellAnchor>
    <xdr:from>
      <xdr:col>17</xdr:col>
      <xdr:colOff>558193</xdr:colOff>
      <xdr:row>20</xdr:row>
      <xdr:rowOff>65134</xdr:rowOff>
    </xdr:from>
    <xdr:to>
      <xdr:col>27</xdr:col>
      <xdr:colOff>415318</xdr:colOff>
      <xdr:row>29</xdr:row>
      <xdr:rowOff>11206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67A74056-847E-4546-BDFE-F689CC0E1E79}"/>
            </a:ext>
          </a:extLst>
        </xdr:cNvPr>
        <xdr:cNvSpPr txBox="1"/>
      </xdr:nvSpPr>
      <xdr:spPr>
        <a:xfrm>
          <a:off x="12082536" y="4083777"/>
          <a:ext cx="5952218" cy="177124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Диаграмма</a:t>
          </a:r>
          <a:r>
            <a:rPr lang="ru-RU" sz="1100" baseline="0"/>
            <a:t> рассогласованности показывает насколько согласованы между собой исходные данные по нефти  - относительные плотности нефти и газа и газосодержание и калибровочные параметры  - давление насыщения, объемный коэффициент при давлении насыщения, вязкость нефти при давлении насыщения (газодержанию при давлении насыщения верим и под сомнение не ставим)</a:t>
          </a:r>
          <a:r>
            <a:rPr lang="en-US" sz="1100" baseline="0"/>
            <a:t>.</a:t>
          </a:r>
        </a:p>
        <a:p>
          <a:r>
            <a:rPr lang="ru-RU" sz="1100" baseline="0"/>
            <a:t>Чем больше отклонение на диаграмме - тем менее согласованы между собой данные.</a:t>
          </a:r>
        </a:p>
        <a:p>
          <a:r>
            <a:rPr lang="ru-RU" sz="1100" baseline="0"/>
            <a:t>Кнопки на диаграмме позволяют оценить чувствительность параметров нефти к значения плотности нефти и газа. Небольшое изменение плотностей может улучшить согласованность с другими калибровочными параметрами. Кнопка сброс диаграммы убирает расхождение плотностей</a:t>
          </a:r>
          <a:endParaRPr lang="ru-R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10</xdr:row>
          <xdr:rowOff>142875</xdr:rowOff>
        </xdr:from>
        <xdr:to>
          <xdr:col>20</xdr:col>
          <xdr:colOff>600075</xdr:colOff>
          <xdr:row>14</xdr:row>
          <xdr:rowOff>9525</xdr:rowOff>
        </xdr:to>
        <xdr:sp macro="" textlink="">
          <xdr:nvSpPr>
            <xdr:cNvPr id="89091" name="Button 3" hidden="1">
              <a:extLst>
                <a:ext uri="{63B3BB69-23CF-44E3-9099-C40C66FF867C}">
                  <a14:compatExt spid="_x0000_s89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Обновить диаграмму рассогласованности</a:t>
              </a:r>
            </a:p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Подобрать γ</a:t>
              </a:r>
              <a:r>
                <a:rPr lang="ru-RU" sz="1100" b="0" i="0" u="none" strike="noStrike" baseline="-25000">
                  <a:solidFill>
                    <a:srgbClr val="000000"/>
                  </a:solidFill>
                  <a:latin typeface="Calibri"/>
                  <a:cs typeface="Calibri"/>
                </a:rPr>
                <a:t>g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γ</a:t>
              </a:r>
              <a:r>
                <a:rPr lang="ru-RU" sz="1100" b="0" i="0" u="none" strike="noStrike" baseline="-25000">
                  <a:solidFill>
                    <a:srgbClr val="000000"/>
                  </a:solidFill>
                  <a:latin typeface="Calibri"/>
                  <a:cs typeface="Calibri"/>
                </a:rPr>
                <a:t>o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14</xdr:row>
          <xdr:rowOff>28575</xdr:rowOff>
        </xdr:from>
        <xdr:to>
          <xdr:col>20</xdr:col>
          <xdr:colOff>590550</xdr:colOff>
          <xdr:row>17</xdr:row>
          <xdr:rowOff>9525</xdr:rowOff>
        </xdr:to>
        <xdr:sp macro="" textlink="">
          <xdr:nvSpPr>
            <xdr:cNvPr id="89092" name="Button 4" hidden="1">
              <a:extLst>
                <a:ext uri="{63B3BB69-23CF-44E3-9099-C40C66FF867C}">
                  <a14:compatExt spid="_x0000_s89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Сброс диаграммы рассогласованности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171450</xdr:colOff>
          <xdr:row>55</xdr:row>
          <xdr:rowOff>104775</xdr:rowOff>
        </xdr:from>
        <xdr:to>
          <xdr:col>21</xdr:col>
          <xdr:colOff>276225</xdr:colOff>
          <xdr:row>58</xdr:row>
          <xdr:rowOff>47625</xdr:rowOff>
        </xdr:to>
        <xdr:sp macro="" textlink="">
          <xdr:nvSpPr>
            <xdr:cNvPr id="89093" name="Button 5" hidden="1">
              <a:extLst>
                <a:ext uri="{63B3BB69-23CF-44E3-9099-C40C66FF867C}">
                  <a14:compatExt spid="_x0000_s89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Обновить графики</a:t>
              </a:r>
            </a:p>
          </xdr:txBody>
        </xdr:sp>
        <xdr:clientData fPrintsWithSheet="0"/>
      </xdr:twoCellAnchor>
    </mc:Choice>
    <mc:Fallback/>
  </mc:AlternateContent>
  <xdr:twoCellAnchor>
    <xdr:from>
      <xdr:col>17</xdr:col>
      <xdr:colOff>549088</xdr:colOff>
      <xdr:row>58</xdr:row>
      <xdr:rowOff>145677</xdr:rowOff>
    </xdr:from>
    <xdr:to>
      <xdr:col>26</xdr:col>
      <xdr:colOff>403412</xdr:colOff>
      <xdr:row>78</xdr:row>
      <xdr:rowOff>53448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xmlns="" id="{D8D6889B-8EDB-4F3F-B210-977DFCFC8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0.72463</cdr:x>
      <cdr:y>0.91614</cdr:y>
    </cdr:from>
    <cdr:to>
      <cdr:x>0.96746</cdr:x>
      <cdr:y>0.97926</cdr:y>
    </cdr:to>
    <cdr:sp macro="" textlink="T_label_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1B5D202-5310-4415-99D3-349C2B1EC820}"/>
            </a:ext>
          </a:extLst>
        </cdr:cNvPr>
        <cdr:cNvSpPr txBox="1"/>
      </cdr:nvSpPr>
      <cdr:spPr>
        <a:xfrm xmlns:a="http://schemas.openxmlformats.org/drawingml/2006/main">
          <a:off x="4038504" y="3486345"/>
          <a:ext cx="1353378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529014-09BE-4AD3-AE50-4883034AEEC9}" type="TxLink">
            <a:rPr lang="ru-RU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Температура = 30 °С</a:t>
          </a:fld>
          <a:endParaRPr lang="ru-RU" sz="9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0.72463</cdr:x>
      <cdr:y>0.91614</cdr:y>
    </cdr:from>
    <cdr:to>
      <cdr:x>0.96746</cdr:x>
      <cdr:y>0.97926</cdr:y>
    </cdr:to>
    <cdr:sp macro="" textlink="T_label_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1B5D202-5310-4415-99D3-349C2B1EC820}"/>
            </a:ext>
          </a:extLst>
        </cdr:cNvPr>
        <cdr:cNvSpPr txBox="1"/>
      </cdr:nvSpPr>
      <cdr:spPr>
        <a:xfrm xmlns:a="http://schemas.openxmlformats.org/drawingml/2006/main">
          <a:off x="4038504" y="3486345"/>
          <a:ext cx="1353378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529014-09BE-4AD3-AE50-4883034AEEC9}" type="TxLink">
            <a:rPr lang="ru-RU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Температура = 30 °С</a:t>
          </a:fld>
          <a:endParaRPr lang="ru-RU" sz="9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0.72463</cdr:x>
      <cdr:y>0.91614</cdr:y>
    </cdr:from>
    <cdr:to>
      <cdr:x>0.96746</cdr:x>
      <cdr:y>0.97926</cdr:y>
    </cdr:to>
    <cdr:sp macro="" textlink="T_label_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1B5D202-5310-4415-99D3-349C2B1EC820}"/>
            </a:ext>
          </a:extLst>
        </cdr:cNvPr>
        <cdr:cNvSpPr txBox="1"/>
      </cdr:nvSpPr>
      <cdr:spPr>
        <a:xfrm xmlns:a="http://schemas.openxmlformats.org/drawingml/2006/main">
          <a:off x="4038504" y="3486345"/>
          <a:ext cx="1353378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529014-09BE-4AD3-AE50-4883034AEEC9}" type="TxLink">
            <a:rPr lang="ru-RU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Температура = 30 °С</a:t>
          </a:fld>
          <a:endParaRPr lang="ru-RU" sz="9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0.72463</cdr:x>
      <cdr:y>0.91614</cdr:y>
    </cdr:from>
    <cdr:to>
      <cdr:x>0.96746</cdr:x>
      <cdr:y>0.97926</cdr:y>
    </cdr:to>
    <cdr:sp macro="" textlink="T_label_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1B5D202-5310-4415-99D3-349C2B1EC820}"/>
            </a:ext>
          </a:extLst>
        </cdr:cNvPr>
        <cdr:cNvSpPr txBox="1"/>
      </cdr:nvSpPr>
      <cdr:spPr>
        <a:xfrm xmlns:a="http://schemas.openxmlformats.org/drawingml/2006/main">
          <a:off x="4038504" y="3486345"/>
          <a:ext cx="1353378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529014-09BE-4AD3-AE50-4883034AEEC9}" type="TxLink">
            <a:rPr lang="ru-RU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Температура = 30 °С</a:t>
          </a:fld>
          <a:endParaRPr lang="ru-RU" sz="9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0.03023</cdr:x>
      <cdr:y>0.13306</cdr:y>
    </cdr:from>
    <cdr:to>
      <cdr:x>0.20638</cdr:x>
      <cdr:y>0.22351</cdr:y>
    </cdr:to>
    <cdr:sp macro="" textlink="'Калькулятор PVT'!$AD$32">
      <cdr:nvSpPr>
        <cdr:cNvPr id="2" name="TextBox 1"/>
        <cdr:cNvSpPr txBox="1"/>
      </cdr:nvSpPr>
      <cdr:spPr>
        <a:xfrm xmlns:a="http://schemas.openxmlformats.org/drawingml/2006/main">
          <a:off x="191142" y="508434"/>
          <a:ext cx="1113782" cy="345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C7073647-E560-4FD9-9BFE-6B7B46F28310}" type="TxLink">
            <a:rPr lang="ru-RU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Сумм откл = 17.2%</a:t>
          </a:fld>
          <a:endParaRPr lang="ru-RU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0.72463</cdr:x>
      <cdr:y>0.91614</cdr:y>
    </cdr:from>
    <cdr:to>
      <cdr:x>0.96746</cdr:x>
      <cdr:y>0.97926</cdr:y>
    </cdr:to>
    <cdr:sp macro="" textlink="T_label_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1B5D202-5310-4415-99D3-349C2B1EC820}"/>
            </a:ext>
          </a:extLst>
        </cdr:cNvPr>
        <cdr:cNvSpPr txBox="1"/>
      </cdr:nvSpPr>
      <cdr:spPr>
        <a:xfrm xmlns:a="http://schemas.openxmlformats.org/drawingml/2006/main">
          <a:off x="4038504" y="3486345"/>
          <a:ext cx="1353378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529014-09BE-4AD3-AE50-4883034AEEC9}" type="TxLink">
            <a:rPr lang="ru-RU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Температура = 30 °С</a:t>
          </a:fld>
          <a:endParaRPr lang="ru-RU" sz="9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F7_&#1082;&#1072;&#1083;&#1100;&#1082;&#1091;&#1083;&#1103;&#1090;&#1086;&#1088;_&#1092;&#1086;&#1085;&#1090;&#1072;&#1085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3.xla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нифлок"/>
      <sheetName val="PVT"/>
      <sheetName val="Конструкция фонтан"/>
      <sheetName val="Фонтан_расчет"/>
      <sheetName val="UF7_калькулятор_фонтан"/>
    </sheetNames>
    <definedNames>
      <definedName name="Кнопка_Обновить_графики"/>
      <definedName name="Кнопка48_Расчет_диаграммы_рассогласованности"/>
      <definedName name="Кнопка48_Расчет_диаграммы_рассогласованности2"/>
      <definedName name="Кнопка51_Сброс_диаграммы_рассогласованности"/>
    </definedNames>
    <sheetDataSet>
      <sheetData sheetId="0">
        <row r="1">
          <cell r="A1" t="str">
            <v>вер 7.21</v>
          </cell>
          <cell r="B1">
            <v>7.21</v>
          </cell>
        </row>
      </sheetData>
      <sheetData sheetId="1">
        <row r="32">
          <cell r="Z32" t="str">
            <v>Pb</v>
          </cell>
        </row>
      </sheetData>
      <sheetData sheetId="2">
        <row r="9">
          <cell r="C9">
            <v>3500</v>
          </cell>
        </row>
      </sheetData>
      <sheetData sheetId="3">
        <row r="10">
          <cell r="Q10">
            <v>55.127645708885723</v>
          </cell>
        </row>
        <row r="11">
          <cell r="Q11">
            <v>56.471886163210186</v>
          </cell>
        </row>
        <row r="12">
          <cell r="Q12">
            <v>260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  <sheetName val="UniflocVBA7.3"/>
    </sheetNames>
    <definedNames>
      <definedName name="MF_Mumix_cP"/>
      <definedName name="MF_Qmix_m3day"/>
      <definedName name="MF_Rhomix_kgm3"/>
      <definedName name="PVT_Bg_m3m3"/>
      <definedName name="PVT_Bo_m3m3"/>
      <definedName name="PVT_Bw_m3m3"/>
      <definedName name="PVT_Mug_cP"/>
      <definedName name="PVT_Muo_cP"/>
      <definedName name="PVT_Muw_cP"/>
      <definedName name="PVT_Pb_atma"/>
      <definedName name="PVT_Rhog_kgm3"/>
      <definedName name="PVT_Rhoo_kgm3"/>
      <definedName name="PVT_Rhow_kgm3"/>
      <definedName name="PVT_Rs_m3m3"/>
      <definedName name="PVT_Sal_ppm"/>
      <definedName name="PVT_STliqgas_Nm"/>
      <definedName name="PVT_SToilgas_Nm"/>
      <definedName name="PVT_STwatgas_Nm"/>
      <definedName name="PVT_Z"/>
    </definedNames>
    <sheetDataSet>
      <sheetData sheetId="0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PVT_Bo_m3m3"/>
      <definedName name="PVT_Mug_cP"/>
      <definedName name="PVT_Muo_cP"/>
      <definedName name="PVT_Muw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71" t="s">
        <v>1</v>
      </c>
      <c r="C2" s="71"/>
      <c r="D2" s="71"/>
      <c r="E2" s="71"/>
      <c r="F2" s="71"/>
      <c r="G2" s="71"/>
      <c r="H2" s="71"/>
      <c r="I2" s="71"/>
      <c r="J2" s="71"/>
      <c r="K2" s="71"/>
      <c r="L2" s="71" t="s">
        <v>2</v>
      </c>
      <c r="M2" s="71"/>
      <c r="N2" s="71"/>
      <c r="O2" s="71"/>
      <c r="V2" s="72" t="s">
        <v>3</v>
      </c>
      <c r="W2" s="72"/>
      <c r="X2" s="72"/>
    </row>
    <row r="3" spans="2:25" s="4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5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5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5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outlinePr summaryBelow="0"/>
  </sheetPr>
  <dimension ref="A2:L118"/>
  <sheetViews>
    <sheetView tabSelected="1" zoomScale="70" zoomScaleNormal="70" workbookViewId="0">
      <selection activeCell="G20" sqref="G20"/>
    </sheetView>
  </sheetViews>
  <sheetFormatPr defaultRowHeight="12.75" outlineLevelRow="1" x14ac:dyDescent="0.2"/>
  <cols>
    <col min="2" max="2" width="26.285156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2" spans="1:6" x14ac:dyDescent="0.2">
      <c r="A2" s="6" t="s">
        <v>146</v>
      </c>
    </row>
    <row r="3" spans="1:6" x14ac:dyDescent="0.2">
      <c r="B3" t="s">
        <v>258</v>
      </c>
    </row>
    <row r="6" spans="1:6" x14ac:dyDescent="0.2">
      <c r="A6" s="6" t="s">
        <v>128</v>
      </c>
    </row>
    <row r="7" spans="1:6" outlineLevel="1" x14ac:dyDescent="0.2">
      <c r="B7" s="7" t="s">
        <v>129</v>
      </c>
      <c r="C7" s="8">
        <v>0.86</v>
      </c>
      <c r="D7" s="7"/>
      <c r="E7" s="9">
        <f>gamma_oil_*1000</f>
        <v>860</v>
      </c>
      <c r="F7" s="10" t="s">
        <v>130</v>
      </c>
    </row>
    <row r="8" spans="1:6" outlineLevel="1" x14ac:dyDescent="0.2">
      <c r="B8" s="7" t="s">
        <v>145</v>
      </c>
      <c r="C8" s="8">
        <v>1</v>
      </c>
      <c r="D8" s="7"/>
      <c r="E8" s="9"/>
      <c r="F8" s="10"/>
    </row>
    <row r="9" spans="1:6" outlineLevel="1" x14ac:dyDescent="0.2">
      <c r="B9" s="7" t="s">
        <v>131</v>
      </c>
      <c r="C9" s="8">
        <v>0.8</v>
      </c>
      <c r="D9" s="7"/>
      <c r="E9" s="9">
        <f>gamma_gas_*1.22</f>
        <v>0.97599999999999998</v>
      </c>
      <c r="F9" s="10" t="s">
        <v>130</v>
      </c>
    </row>
    <row r="10" spans="1:6" ht="25.5" outlineLevel="1" x14ac:dyDescent="0.2">
      <c r="B10" s="11" t="s">
        <v>132</v>
      </c>
      <c r="C10" s="8">
        <v>80</v>
      </c>
      <c r="D10" s="7" t="s">
        <v>133</v>
      </c>
      <c r="E10" s="12">
        <f>Rsb_/gamma_oil_</f>
        <v>93.023255813953483</v>
      </c>
      <c r="F10" s="10" t="s">
        <v>134</v>
      </c>
    </row>
    <row r="11" spans="1:6" outlineLevel="1" x14ac:dyDescent="0.2">
      <c r="B11" s="11" t="s">
        <v>135</v>
      </c>
      <c r="C11" s="8">
        <v>80</v>
      </c>
      <c r="D11" s="7" t="s">
        <v>133</v>
      </c>
      <c r="E11" s="12">
        <f>Rsb_/gamma_oil_</f>
        <v>93.023255813953483</v>
      </c>
      <c r="F11" s="10" t="s">
        <v>134</v>
      </c>
    </row>
    <row r="12" spans="1:6" ht="25.5" outlineLevel="1" x14ac:dyDescent="0.2">
      <c r="B12" s="11" t="s">
        <v>136</v>
      </c>
      <c r="C12" s="8">
        <v>120</v>
      </c>
      <c r="D12" s="7" t="s">
        <v>149</v>
      </c>
      <c r="E12" s="12">
        <f>Pb_*1.01325</f>
        <v>121.59</v>
      </c>
      <c r="F12" s="10" t="s">
        <v>150</v>
      </c>
    </row>
    <row r="13" spans="1:6" outlineLevel="1" x14ac:dyDescent="0.2">
      <c r="B13" s="7" t="s">
        <v>137</v>
      </c>
      <c r="C13" s="8">
        <v>100</v>
      </c>
      <c r="D13" s="7" t="s">
        <v>138</v>
      </c>
      <c r="E13" s="12">
        <f>Tres_*9/5+32</f>
        <v>212</v>
      </c>
      <c r="F13" s="10" t="s">
        <v>151</v>
      </c>
    </row>
    <row r="14" spans="1:6" ht="38.25" outlineLevel="1" x14ac:dyDescent="0.2">
      <c r="B14" s="11" t="s">
        <v>139</v>
      </c>
      <c r="C14" s="8">
        <v>1.2</v>
      </c>
      <c r="D14" s="7" t="s">
        <v>133</v>
      </c>
    </row>
    <row r="15" spans="1:6" ht="25.5" outlineLevel="1" x14ac:dyDescent="0.2">
      <c r="B15" s="16" t="s">
        <v>147</v>
      </c>
      <c r="C15" s="8">
        <v>1</v>
      </c>
      <c r="D15" s="17" t="s">
        <v>148</v>
      </c>
    </row>
    <row r="18" spans="1:12" x14ac:dyDescent="0.2">
      <c r="A18" t="s">
        <v>141</v>
      </c>
    </row>
    <row r="19" spans="1:12" outlineLevel="1" x14ac:dyDescent="0.2">
      <c r="A19" t="s">
        <v>142</v>
      </c>
    </row>
    <row r="20" spans="1:12" outlineLevel="1" x14ac:dyDescent="0.2"/>
    <row r="21" spans="1:12" outlineLevel="1" x14ac:dyDescent="0.2">
      <c r="H21" s="78"/>
    </row>
    <row r="22" spans="1:12" ht="19.5" outlineLevel="1" x14ac:dyDescent="0.35">
      <c r="C22" s="15" t="s">
        <v>0</v>
      </c>
      <c r="D22" s="15" t="s">
        <v>143</v>
      </c>
      <c r="E22" s="15" t="s">
        <v>152</v>
      </c>
      <c r="F22" s="15" t="s">
        <v>153</v>
      </c>
      <c r="G22" s="15" t="s">
        <v>154</v>
      </c>
      <c r="H22" s="77" t="s">
        <v>259</v>
      </c>
      <c r="I22" s="77" t="s">
        <v>260</v>
      </c>
      <c r="J22" s="15" t="s">
        <v>261</v>
      </c>
      <c r="K22" s="15" t="s">
        <v>262</v>
      </c>
      <c r="L22" s="15" t="s">
        <v>263</v>
      </c>
    </row>
    <row r="23" spans="1:12" outlineLevel="1" x14ac:dyDescent="0.2">
      <c r="C23" s="8">
        <v>1</v>
      </c>
      <c r="D23" s="8">
        <v>80</v>
      </c>
      <c r="E23" s="13">
        <f>[3]!PVT_Rs_m3m3(C23,D23,gamma_gas_,gamma_oil_,gamma_wat_,Rsb_,Rp_,Pb_,Tres_,Bob_,muob_)</f>
        <v>0.27348943697138201</v>
      </c>
      <c r="F23" s="76">
        <f>[3]!PVT_Bo_m3m3(C23,D23,gamma_gas_,gamma_oil_,gamma_wat_,Rsb_,Rp_,Pb_,Tres_,Bob_,muob_)</f>
        <v>1.0376527596788165</v>
      </c>
      <c r="G23" s="13">
        <f>[3]!PVT_Muo_cP(C23,D23,gamma_gas_,gamma_oil_,gamma_wat_,Rsb_,Rp_,Pb_,Tres_,Bob_,muob_)</f>
        <v>3.4463445519065772</v>
      </c>
      <c r="H23" s="80">
        <f>[3]!PVT_Mug_cP(C23,D23,gamma_gas_,gamma_oil_,gamma_wat_,Rsb_,Rp_,Pb_,Pb_,Bob_,muob_)</f>
        <v>1.2105546241270334E-2</v>
      </c>
      <c r="I23" s="80">
        <f>[3]!PVT_Muw_cP(C23,D23,gamma_gas_,gamma_oil_,gamma_wat_,Rsb_,Rp_,Pb_,Tres_,Bob_,muob_)</f>
        <v>0.33586886209810729</v>
      </c>
      <c r="J23" s="80">
        <f>[3]!PVT_Rhog_kgm3(C23,D23,gamma_gas_,gamma_oil_,gamma_wat_,Rsb_,Rp_,Pb_,Tres_,Bob_,muob_)</f>
        <v>0.80923453779557586</v>
      </c>
      <c r="K23" s="79">
        <f>[3]!PVT_Rhow_kgm3(C23,D23,gamma_gas_,gamma_oil_,gamma_wat_,Rsb_,Rp_,Pb_,Tres_,Bob_,muob_)</f>
        <v>970.56653980677311</v>
      </c>
      <c r="L23" s="7">
        <f>[3]!PVT_Rhoo_kgm3(C23,D23,gamma_gas_,gamma_oil_,gamma_wat_,Rsb_,Rp_,Pb_,Tres_,Bob_,muob_)</f>
        <v>829.05123087842594</v>
      </c>
    </row>
    <row r="24" spans="1:12" outlineLevel="1" x14ac:dyDescent="0.2">
      <c r="C24" s="8">
        <v>5</v>
      </c>
      <c r="D24" s="8">
        <f>D23</f>
        <v>80</v>
      </c>
      <c r="E24" s="13">
        <f>[3]!PVT_Rs_m3m3(C24,D24,gamma_gas_,gamma_oil_,gamma_wat_,Rsb_,Rp_,Pb_,Tres_,Bob_,muob_)</f>
        <v>1.8988927763676839</v>
      </c>
      <c r="F24" s="76">
        <f>[3]!PVT_Bo_m3m3(C24,D24,gamma_gas_,gamma_oil_,gamma_wat_,Rsb_,Rp_,Pb_,Tres_,Bob_,muob_)</f>
        <v>1.0403173727412995</v>
      </c>
      <c r="G24" s="13">
        <f>[3]!PVT_Muo_cP(C24,D24,gamma_gas_,gamma_oil_,gamma_wat_,Rsb_,Rp_,Pb_,Tres_,Bob_,muob_)</f>
        <v>3.2336371116505358</v>
      </c>
      <c r="H24" s="80">
        <f>[3]!PVT_Mug_cP(C24,D24,gamma_gas_,gamma_oil_,gamma_wat_,Rsb_,Rp_,Pb_,Pb_,Bob_,muob_)</f>
        <v>1.2152607093515563E-2</v>
      </c>
      <c r="I24" s="80">
        <f>[3]!PVT_Muw_cP(C24,D24,gamma_gas_,gamma_oil_,gamma_wat_,Rsb_,Rp_,Pb_,Tres_,Bob_,muob_)</f>
        <v>0.3366698582445789</v>
      </c>
      <c r="J24" s="80">
        <f>[3]!PVT_Rhog_kgm3(C24,D24,gamma_gas_,gamma_oil_,gamma_wat_,Rsb_,Rp_,Pb_,Tres_,Bob_,muob_)</f>
        <v>4.0720135434559541</v>
      </c>
      <c r="K24" s="79">
        <f>[3]!PVT_Rhow_kgm3(C24,D24,gamma_gas_,gamma_oil_,gamma_wat_,Rsb_,Rp_,Pb_,Tres_,Bob_,muob_)</f>
        <v>970.6078507425874</v>
      </c>
      <c r="L24" s="7">
        <f>[3]!PVT_Rhoo_kgm3(C24,D24,gamma_gas_,gamma_oil_,gamma_wat_,Rsb_,Rp_,Pb_,Tres_,Bob_,muob_)</f>
        <v>828.45478161425683</v>
      </c>
    </row>
    <row r="25" spans="1:12" outlineLevel="1" x14ac:dyDescent="0.2">
      <c r="C25" s="8">
        <v>10</v>
      </c>
      <c r="D25" s="8">
        <f t="shared" ref="D25:D48" si="0">D24</f>
        <v>80</v>
      </c>
      <c r="E25" s="13">
        <f>[3]!PVT_Rs_m3m3(C25,D25,gamma_gas_,gamma_oil_,gamma_wat_,Rsb_,Rp_,Pb_,Tres_,Bob_,muob_)</f>
        <v>4.3746222464887943</v>
      </c>
      <c r="F25" s="76">
        <f>[3]!PVT_Bo_m3m3(C25,D25,gamma_gas_,gamma_oil_,gamma_wat_,Rsb_,Rp_,Pb_,Tres_,Bob_,muob_)</f>
        <v>1.0444102727998681</v>
      </c>
      <c r="G25" s="13">
        <f>[3]!PVT_Muo_cP(C25,D25,gamma_gas_,gamma_oil_,gamma_wat_,Rsb_,Rp_,Pb_,Tres_,Bob_,muob_)</f>
        <v>2.9618622051682864</v>
      </c>
      <c r="H25" s="80">
        <f>[3]!PVT_Mug_cP(C25,D25,gamma_gas_,gamma_oil_,gamma_wat_,Rsb_,Rp_,Pb_,Pb_,Bob_,muob_)</f>
        <v>1.2231437157962866E-2</v>
      </c>
      <c r="I25" s="80">
        <f>[3]!PVT_Muw_cP(C25,D25,gamma_gas_,gamma_oil_,gamma_wat_,Rsb_,Rp_,Pb_,Tres_,Bob_,muob_)</f>
        <v>0.33768124309210917</v>
      </c>
      <c r="J25" s="80">
        <f>[3]!PVT_Rhog_kgm3(C25,D25,gamma_gas_,gamma_oil_,gamma_wat_,Rsb_,Rp_,Pb_,Tres_,Bob_,muob_)</f>
        <v>8.205184623817356</v>
      </c>
      <c r="K25" s="79">
        <f>[3]!PVT_Rhow_kgm3(C25,D25,gamma_gas_,gamma_oil_,gamma_wat_,Rsb_,Rp_,Pb_,Tres_,Bob_,muob_)</f>
        <v>970.66190643699338</v>
      </c>
      <c r="L25" s="7">
        <f>[3]!PVT_Rhoo_kgm3(C25,D25,gamma_gas_,gamma_oil_,gamma_wat_,Rsb_,Rp_,Pb_,Tres_,Bob_,muob_)</f>
        <v>827.52497108427281</v>
      </c>
    </row>
    <row r="26" spans="1:12" outlineLevel="1" x14ac:dyDescent="0.2">
      <c r="C26" s="8">
        <v>20</v>
      </c>
      <c r="D26" s="8">
        <f t="shared" si="0"/>
        <v>80</v>
      </c>
      <c r="E26" s="13">
        <f>[3]!PVT_Rs_m3m3(C26,D26,gamma_gas_,gamma_oil_,gamma_wat_,Rsb_,Rp_,Pb_,Tres_,Bob_,muob_)</f>
        <v>10.078146611354056</v>
      </c>
      <c r="F26" s="76">
        <f>[3]!PVT_Bo_m3m3(C26,D26,gamma_gas_,gamma_oil_,gamma_wat_,Rsb_,Rp_,Pb_,Tres_,Bob_,muob_)</f>
        <v>1.0539877935797775</v>
      </c>
      <c r="G26" s="13">
        <f>[3]!PVT_Muo_cP(C26,D26,gamma_gas_,gamma_oil_,gamma_wat_,Rsb_,Rp_,Pb_,Tres_,Bob_,muob_)</f>
        <v>2.4986426136130651</v>
      </c>
      <c r="H26" s="80">
        <f>[3]!PVT_Mug_cP(C26,D26,gamma_gas_,gamma_oil_,gamma_wat_,Rsb_,Rp_,Pb_,Pb_,Bob_,muob_)</f>
        <v>1.242965872389205E-2</v>
      </c>
      <c r="I26" s="80">
        <f>[3]!PVT_Muw_cP(C26,D26,gamma_gas_,gamma_oil_,gamma_wat_,Rsb_,Rp_,Pb_,Tres_,Bob_,muob_)</f>
        <v>0.33973781166863876</v>
      </c>
      <c r="J26" s="80">
        <f>[3]!PVT_Rhog_kgm3(C26,D26,gamma_gas_,gamma_oil_,gamma_wat_,Rsb_,Rp_,Pb_,Tres_,Bob_,muob_)</f>
        <v>16.625539084112528</v>
      </c>
      <c r="K26" s="79">
        <f>[3]!PVT_Rhow_kgm3(C26,D26,gamma_gas_,gamma_oil_,gamma_wat_,Rsb_,Rp_,Pb_,Tres_,Bob_,muob_)</f>
        <v>970.77807803228427</v>
      </c>
      <c r="L26" s="7">
        <f>[3]!PVT_Rhoo_kgm3(C26,D26,gamma_gas_,gamma_oil_,gamma_wat_,Rsb_,Rp_,Pb_,Tres_,Bob_,muob_)</f>
        <v>825.29416628033573</v>
      </c>
    </row>
    <row r="27" spans="1:12" outlineLevel="1" x14ac:dyDescent="0.2">
      <c r="C27" s="8">
        <v>40</v>
      </c>
      <c r="D27" s="8">
        <f t="shared" si="0"/>
        <v>80</v>
      </c>
      <c r="E27" s="13">
        <f>[3]!PVT_Rs_m3m3(C27,D27,gamma_gas_,gamma_oil_,gamma_wat_,Rsb_,Rp_,Pb_,Tres_,Bob_,muob_)</f>
        <v>23.21778507880758</v>
      </c>
      <c r="F27" s="76">
        <f>[3]!PVT_Bo_m3m3(C27,D27,gamma_gas_,gamma_oil_,gamma_wat_,Rsb_,Rp_,Pb_,Tres_,Bob_,muob_)</f>
        <v>1.0767538727082331</v>
      </c>
      <c r="G27" s="13">
        <f>[3]!PVT_Muo_cP(C27,D27,gamma_gas_,gamma_oil_,gamma_wat_,Rsb_,Rp_,Pb_,Tres_,Bob_,muob_)</f>
        <v>1.8766576953859042</v>
      </c>
      <c r="H27" s="80">
        <f>[3]!PVT_Mug_cP(C27,D27,gamma_gas_,gamma_oil_,gamma_wat_,Rsb_,Rp_,Pb_,Pb_,Bob_,muob_)</f>
        <v>1.2940038915198142E-2</v>
      </c>
      <c r="I27" s="80">
        <f>[3]!PVT_Muw_cP(C27,D27,gamma_gas_,gamma_oil_,gamma_wat_,Rsb_,Rp_,Pb_,Tres_,Bob_,muob_)</f>
        <v>0.34398614434757446</v>
      </c>
      <c r="J27" s="80">
        <f>[3]!PVT_Rhog_kgm3(C27,D27,gamma_gas_,gamma_oil_,gamma_wat_,Rsb_,Rp_,Pb_,Tres_,Bob_,muob_)</f>
        <v>33.869447334844871</v>
      </c>
      <c r="K27" s="79">
        <f>[3]!PVT_Rhow_kgm3(C27,D27,gamma_gas_,gamma_oil_,gamma_wat_,Rsb_,Rp_,Pb_,Tres_,Bob_,muob_)</f>
        <v>971.04268997016459</v>
      </c>
      <c r="L27" s="7">
        <f>[3]!PVT_Rhoo_kgm3(C27,D27,gamma_gas_,gamma_oil_,gamma_wat_,Rsb_,Rp_,Pb_,Tres_,Bob_,muob_)</f>
        <v>819.77149727308722</v>
      </c>
    </row>
    <row r="28" spans="1:12" outlineLevel="1" x14ac:dyDescent="0.2">
      <c r="C28" s="8">
        <v>60</v>
      </c>
      <c r="D28" s="8">
        <f t="shared" si="0"/>
        <v>80</v>
      </c>
      <c r="E28" s="13">
        <f>[3]!PVT_Rs_m3m3(C28,D28,gamma_gas_,gamma_oil_,gamma_wat_,Rsb_,Rp_,Pb_,Tres_,Bob_,muob_)</f>
        <v>37.829853777030927</v>
      </c>
      <c r="F28" s="76">
        <f>[3]!PVT_Bo_m3m3(C28,D28,gamma_gas_,gamma_oil_,gamma_wat_,Rsb_,Rp_,Pb_,Tres_,Bob_,muob_)</f>
        <v>1.1030546590708084</v>
      </c>
      <c r="G28" s="13">
        <f>[3]!PVT_Muo_cP(C28,D28,gamma_gas_,gamma_oil_,gamma_wat_,Rsb_,Rp_,Pb_,Tres_,Bob_,muob_)</f>
        <v>1.500453325635279</v>
      </c>
      <c r="H28" s="80">
        <f>[3]!PVT_Mug_cP(C28,D28,gamma_gas_,gamma_oil_,gamma_wat_,Rsb_,Rp_,Pb_,Pb_,Bob_,muob_)</f>
        <v>1.3565718967699225E-2</v>
      </c>
      <c r="I28" s="80">
        <f>[3]!PVT_Muw_cP(C28,D28,gamma_gas_,gamma_oil_,gamma_wat_,Rsb_,Rp_,Pb_,Tres_,Bob_,muob_)</f>
        <v>0.34841473772767878</v>
      </c>
      <c r="J28" s="80">
        <f>[3]!PVT_Rhog_kgm3(C28,D28,gamma_gas_,gamma_oil_,gamma_wat_,Rsb_,Rp_,Pb_,Tres_,Bob_,muob_)</f>
        <v>51.277440019390482</v>
      </c>
      <c r="K28" s="79">
        <f>[3]!PVT_Rhow_kgm3(C28,D28,gamma_gas_,gamma_oil_,gamma_wat_,Rsb_,Rp_,Pb_,Tres_,Bob_,muob_)</f>
        <v>971.35038666714604</v>
      </c>
      <c r="L28" s="7">
        <f>[3]!PVT_Rhoo_kgm3(C28,D28,gamma_gas_,gamma_oil_,gamma_wat_,Rsb_,Rp_,Pb_,Tres_,Bob_,muob_)</f>
        <v>813.17220185907354</v>
      </c>
    </row>
    <row r="29" spans="1:12" outlineLevel="1" x14ac:dyDescent="0.2">
      <c r="C29" s="8">
        <v>80</v>
      </c>
      <c r="D29" s="8">
        <f t="shared" si="0"/>
        <v>80</v>
      </c>
      <c r="E29" s="13">
        <f>[3]!PVT_Rs_m3m3(C29,D29,gamma_gas_,gamma_oil_,gamma_wat_,Rsb_,Rp_,Pb_,Tres_,Bob_,muob_)</f>
        <v>53.488559430003527</v>
      </c>
      <c r="F29" s="76">
        <f>[3]!PVT_Bo_m3m3(C29,D29,gamma_gas_,gamma_oil_,gamma_wat_,Rsb_,Rp_,Pb_,Tres_,Bob_,muob_)</f>
        <v>1.1322102757286072</v>
      </c>
      <c r="G29" s="13">
        <f>[3]!PVT_Muo_cP(C29,D29,gamma_gas_,gamma_oil_,gamma_wat_,Rsb_,Rp_,Pb_,Tres_,Bob_,muob_)</f>
        <v>1.2534060565552225</v>
      </c>
      <c r="H29" s="80">
        <f>[3]!PVT_Mug_cP(C29,D29,gamma_gas_,gamma_oil_,gamma_wat_,Rsb_,Rp_,Pb_,Pb_,Bob_,muob_)</f>
        <v>1.4281265311255864E-2</v>
      </c>
      <c r="I29" s="80">
        <f>[3]!PVT_Muw_cP(C29,D29,gamma_gas_,gamma_oil_,gamma_wat_,Rsb_,Rp_,Pb_,Tres_,Bob_,muob_)</f>
        <v>0.35302359180895171</v>
      </c>
      <c r="J29" s="80">
        <f>[3]!PVT_Rhog_kgm3(C29,D29,gamma_gas_,gamma_oil_,gamma_wat_,Rsb_,Rp_,Pb_,Tres_,Bob_,muob_)</f>
        <v>68.472148721841492</v>
      </c>
      <c r="K29" s="79">
        <f>[3]!PVT_Rhow_kgm3(C29,D29,gamma_gas_,gamma_oil_,gamma_wat_,Rsb_,Rp_,Pb_,Tres_,Bob_,muob_)</f>
        <v>971.70124991871342</v>
      </c>
      <c r="L29" s="7">
        <f>[3]!PVT_Rhoo_kgm3(C29,D29,gamma_gas_,gamma_oil_,gamma_wat_,Rsb_,Rp_,Pb_,Tres_,Bob_,muob_)</f>
        <v>805.7492481751533</v>
      </c>
    </row>
    <row r="30" spans="1:12" outlineLevel="1" x14ac:dyDescent="0.2">
      <c r="C30" s="8">
        <v>100</v>
      </c>
      <c r="D30" s="8">
        <f t="shared" si="0"/>
        <v>80</v>
      </c>
      <c r="E30" s="13">
        <f>[3]!PVT_Rs_m3m3(C30,D30,gamma_gas_,gamma_oil_,gamma_wat_,Rsb_,Rp_,Pb_,Tres_,Bob_,muob_)</f>
        <v>69.974621365274899</v>
      </c>
      <c r="F30" s="76">
        <f>[3]!PVT_Bo_m3m3(C30,D30,gamma_gas_,gamma_oil_,gamma_wat_,Rsb_,Rp_,Pb_,Tres_,Bob_,muob_)</f>
        <v>1.1638405832814809</v>
      </c>
      <c r="G30" s="13">
        <f>[3]!PVT_Muo_cP(C30,D30,gamma_gas_,gamma_oil_,gamma_wat_,Rsb_,Rp_,Pb_,Tres_,Bob_,muob_)</f>
        <v>1.0798118334263502</v>
      </c>
      <c r="H30" s="80">
        <f>[3]!PVT_Mug_cP(C30,D30,gamma_gas_,gamma_oil_,gamma_wat_,Rsb_,Rp_,Pb_,Pb_,Bob_,muob_)</f>
        <v>1.5067188178231777E-2</v>
      </c>
      <c r="I30" s="80">
        <f>[3]!PVT_Muw_cP(C30,D30,gamma_gas_,gamma_oil_,gamma_wat_,Rsb_,Rp_,Pb_,Tres_,Bob_,muob_)</f>
        <v>0.3578127065913933</v>
      </c>
      <c r="J30" s="80">
        <f>[3]!PVT_Rhog_kgm3(C30,D30,gamma_gas_,gamma_oil_,gamma_wat_,Rsb_,Rp_,Pb_,Tres_,Bob_,muob_)</f>
        <v>85.167243557721918</v>
      </c>
      <c r="K30" s="79">
        <f>[3]!PVT_Rhow_kgm3(C30,D30,gamma_gas_,gamma_oil_,gamma_wat_,Rsb_,Rp_,Pb_,Tres_,Bob_,muob_)</f>
        <v>972.09537309020902</v>
      </c>
      <c r="L30" s="7">
        <f>[3]!PVT_Rhoo_kgm3(C30,D30,gamma_gas_,gamma_oil_,gamma_wat_,Rsb_,Rp_,Pb_,Tres_,Bob_,muob_)</f>
        <v>797.69549994548436</v>
      </c>
    </row>
    <row r="31" spans="1:12" outlineLevel="1" x14ac:dyDescent="0.2">
      <c r="C31" s="8">
        <v>120</v>
      </c>
      <c r="D31" s="8">
        <f t="shared" si="0"/>
        <v>80</v>
      </c>
      <c r="E31" s="13">
        <f>[3]!PVT_Rs_m3m3(C31,D31,gamma_gas_,gamma_oil_,gamma_wat_,Rsb_,Rp_,Pb_,Tres_,Bob_,muob_)</f>
        <v>80</v>
      </c>
      <c r="F31" s="76">
        <f>[3]!PVT_Bo_m3m3(C31,D31,gamma_gas_,gamma_oil_,gamma_wat_,Rsb_,Rp_,Pb_,Tres_,Bob_,muob_)</f>
        <v>1.1806672063194987</v>
      </c>
      <c r="G31" s="13">
        <f>[3]!PVT_Muo_cP(C31,D31,gamma_gas_,gamma_oil_,gamma_wat_,Rsb_,Rp_,Pb_,Tres_,Bob_,muob_)</f>
        <v>1.0143832116351985</v>
      </c>
      <c r="H31" s="80">
        <f>[3]!PVT_Mug_cP(C31,D31,gamma_gas_,gamma_oil_,gamma_wat_,Rsb_,Rp_,Pb_,Pb_,Bob_,muob_)</f>
        <v>1.5906881569035945E-2</v>
      </c>
      <c r="I31" s="80">
        <f>[3]!PVT_Muw_cP(C31,D31,gamma_gas_,gamma_oil_,gamma_wat_,Rsb_,Rp_,Pb_,Tres_,Bob_,muob_)</f>
        <v>0.36278208207500345</v>
      </c>
      <c r="J31" s="80">
        <f>[3]!PVT_Rhog_kgm3(C31,D31,gamma_gas_,gamma_oil_,gamma_wat_,Rsb_,Rp_,Pb_,Tres_,Bob_,muob_)</f>
        <v>101.16827513716821</v>
      </c>
      <c r="K31" s="79">
        <f>[3]!PVT_Rhow_kgm3(C31,D31,gamma_gas_,gamma_oil_,gamma_wat_,Rsb_,Rp_,Pb_,Tres_,Bob_,muob_)</f>
        <v>972.53286117907339</v>
      </c>
      <c r="L31" s="7">
        <f>[3]!PVT_Rhoo_kgm3(C31,D31,gamma_gas_,gamma_oil_,gamma_wat_,Rsb_,Rp_,Pb_,Tres_,Bob_,muob_)</f>
        <v>794.62594961422008</v>
      </c>
    </row>
    <row r="32" spans="1:12" outlineLevel="1" x14ac:dyDescent="0.2">
      <c r="C32" s="8">
        <v>140</v>
      </c>
      <c r="D32" s="8">
        <f t="shared" si="0"/>
        <v>80</v>
      </c>
      <c r="E32" s="13">
        <f>[3]!PVT_Rs_m3m3(C32,D32,gamma_gas_,gamma_oil_,gamma_wat_,Rsb_,Rp_,Pb_,Tres_,Bob_,muob_)</f>
        <v>80</v>
      </c>
      <c r="F32" s="76">
        <f>[3]!PVT_Bo_m3m3(C32,D32,gamma_gas_,gamma_oil_,gamma_wat_,Rsb_,Rp_,Pb_,Tres_,Bob_,muob_)</f>
        <v>1.1755656078867194</v>
      </c>
      <c r="G32" s="13">
        <f>[3]!PVT_Muo_cP(C32,D32,gamma_gas_,gamma_oil_,gamma_wat_,Rsb_,Rp_,Pb_,Tres_,Bob_,muob_)</f>
        <v>1.0516696946026671</v>
      </c>
      <c r="H32" s="80">
        <f>[3]!PVT_Mug_cP(C32,D32,gamma_gas_,gamma_oil_,gamma_wat_,Rsb_,Rp_,Pb_,Pb_,Bob_,muob_)</f>
        <v>1.6786635470529682E-2</v>
      </c>
      <c r="I32" s="80">
        <f>[3]!PVT_Muw_cP(C32,D32,gamma_gas_,gamma_oil_,gamma_wat_,Rsb_,Rp_,Pb_,Tres_,Bob_,muob_)</f>
        <v>0.36793171825978227</v>
      </c>
      <c r="J32" s="80">
        <f>[3]!PVT_Rhog_kgm3(C32,D32,gamma_gas_,gamma_oil_,gamma_wat_,Rsb_,Rp_,Pb_,Tres_,Bob_,muob_)</f>
        <v>116.36900892897458</v>
      </c>
      <c r="K32" s="79">
        <f>[3]!PVT_Rhow_kgm3(C32,D32,gamma_gas_,gamma_oil_,gamma_wat_,Rsb_,Rp_,Pb_,Tres_,Bob_,muob_)</f>
        <v>973.01383088495345</v>
      </c>
      <c r="L32" s="7">
        <f>[3]!PVT_Rhoo_kgm3(C32,D32,gamma_gas_,gamma_oil_,gamma_wat_,Rsb_,Rp_,Pb_,Tres_,Bob_,muob_)</f>
        <v>798.07438539015709</v>
      </c>
    </row>
    <row r="33" spans="3:12" outlineLevel="1" x14ac:dyDescent="0.2">
      <c r="C33" s="8">
        <v>160</v>
      </c>
      <c r="D33" s="8">
        <f t="shared" si="0"/>
        <v>80</v>
      </c>
      <c r="E33" s="13">
        <f>[3]!PVT_Rs_m3m3(C33,D33,gamma_gas_,gamma_oil_,gamma_wat_,Rsb_,Rp_,Pb_,Tres_,Bob_,muob_)</f>
        <v>80</v>
      </c>
      <c r="F33" s="76">
        <f>[3]!PVT_Bo_m3m3(C33,D33,gamma_gas_,gamma_oil_,gamma_wat_,Rsb_,Rp_,Pb_,Tres_,Bob_,muob_)</f>
        <v>1.1717538804745498</v>
      </c>
      <c r="G33" s="13">
        <f>[3]!PVT_Muo_cP(C33,D33,gamma_gas_,gamma_oil_,gamma_wat_,Rsb_,Rp_,Pb_,Tres_,Bob_,muob_)</f>
        <v>1.0946410836040579</v>
      </c>
      <c r="H33" s="80">
        <f>[3]!PVT_Mug_cP(C33,D33,gamma_gas_,gamma_oil_,gamma_wat_,Rsb_,Rp_,Pb_,Pb_,Bob_,muob_)</f>
        <v>1.7696649218225117E-2</v>
      </c>
      <c r="I33" s="80">
        <f>[3]!PVT_Muw_cP(C33,D33,gamma_gas_,gamma_oil_,gamma_wat_,Rsb_,Rp_,Pb_,Tres_,Bob_,muob_)</f>
        <v>0.3732616151457297</v>
      </c>
      <c r="J33" s="80">
        <f>[3]!PVT_Rhog_kgm3(C33,D33,gamma_gas_,gamma_oil_,gamma_wat_,Rsb_,Rp_,Pb_,Tres_,Bob_,muob_)</f>
        <v>130.74752734310729</v>
      </c>
      <c r="K33" s="79">
        <f>[3]!PVT_Rhow_kgm3(C33,D33,gamma_gas_,gamma_oil_,gamma_wat_,Rsb_,Rp_,Pb_,Tres_,Bob_,muob_)</f>
        <v>973.53841068777274</v>
      </c>
      <c r="L33" s="7">
        <f>[3]!PVT_Rhoo_kgm3(C33,D33,gamma_gas_,gamma_oil_,gamma_wat_,Rsb_,Rp_,Pb_,Tres_,Bob_,muob_)</f>
        <v>800.67052956551083</v>
      </c>
    </row>
    <row r="34" spans="3:12" outlineLevel="1" x14ac:dyDescent="0.2">
      <c r="C34" s="8">
        <v>180</v>
      </c>
      <c r="D34" s="8">
        <f t="shared" si="0"/>
        <v>80</v>
      </c>
      <c r="E34" s="13">
        <f>[3]!PVT_Rs_m3m3(C34,D34,gamma_gas_,gamma_oil_,gamma_wat_,Rsb_,Rp_,Pb_,Tres_,Bob_,muob_)</f>
        <v>80</v>
      </c>
      <c r="F34" s="76">
        <f>[3]!PVT_Bo_m3m3(C34,D34,gamma_gas_,gamma_oil_,gamma_wat_,Rsb_,Rp_,Pb_,Tres_,Bob_,muob_)</f>
        <v>1.1687977504115337</v>
      </c>
      <c r="G34" s="13">
        <f>[3]!PVT_Muo_cP(C34,D34,gamma_gas_,gamma_oil_,gamma_wat_,Rsb_,Rp_,Pb_,Tres_,Bob_,muob_)</f>
        <v>1.1427623596214616</v>
      </c>
      <c r="H34" s="80">
        <f>[3]!PVT_Mug_cP(C34,D34,gamma_gas_,gamma_oil_,gamma_wat_,Rsb_,Rp_,Pb_,Pb_,Bob_,muob_)</f>
        <v>1.8632637091865627E-2</v>
      </c>
      <c r="I34" s="80">
        <f>[3]!PVT_Muw_cP(C34,D34,gamma_gas_,gamma_oil_,gamma_wat_,Rsb_,Rp_,Pb_,Tres_,Bob_,muob_)</f>
        <v>0.37877177273284574</v>
      </c>
      <c r="J34" s="80">
        <f>[3]!PVT_Rhog_kgm3(C34,D34,gamma_gas_,gamma_oil_,gamma_wat_,Rsb_,Rp_,Pb_,Tres_,Bob_,muob_)</f>
        <v>144.3646036110502</v>
      </c>
      <c r="K34" s="79">
        <f>[3]!PVT_Rhow_kgm3(C34,D34,gamma_gas_,gamma_oil_,gamma_wat_,Rsb_,Rp_,Pb_,Tres_,Bob_,muob_)</f>
        <v>974.10674093385262</v>
      </c>
      <c r="L34" s="7">
        <f>[3]!PVT_Rhoo_kgm3(C34,D34,gamma_gas_,gamma_oil_,gamma_wat_,Rsb_,Rp_,Pb_,Tres_,Bob_,muob_)</f>
        <v>802.69559012212653</v>
      </c>
    </row>
    <row r="35" spans="3:12" outlineLevel="1" x14ac:dyDescent="0.2">
      <c r="C35" s="8">
        <v>200</v>
      </c>
      <c r="D35" s="8">
        <f t="shared" si="0"/>
        <v>80</v>
      </c>
      <c r="E35" s="13">
        <f>[3]!PVT_Rs_m3m3(C35,D35,gamma_gas_,gamma_oil_,gamma_wat_,Rsb_,Rp_,Pb_,Tres_,Bob_,muob_)</f>
        <v>80</v>
      </c>
      <c r="F35" s="76">
        <f>[3]!PVT_Bo_m3m3(C35,D35,gamma_gas_,gamma_oil_,gamma_wat_,Rsb_,Rp_,Pb_,Tres_,Bob_,muob_)</f>
        <v>1.1664382168802112</v>
      </c>
      <c r="G35" s="13">
        <f>[3]!PVT_Muo_cP(C35,D35,gamma_gas_,gamma_oil_,gamma_wat_,Rsb_,Rp_,Pb_,Tres_,Bob_,muob_)</f>
        <v>1.1956079698529825</v>
      </c>
      <c r="H35" s="80">
        <f>[3]!PVT_Mug_cP(C35,D35,gamma_gas_,gamma_oil_,gamma_wat_,Rsb_,Rp_,Pb_,Pb_,Bob_,muob_)</f>
        <v>1.959793520234334E-2</v>
      </c>
      <c r="I35" s="80">
        <f>[3]!PVT_Muw_cP(C35,D35,gamma_gas_,gamma_oil_,gamma_wat_,Rsb_,Rp_,Pb_,Tres_,Bob_,muob_)</f>
        <v>0.38446219102113038</v>
      </c>
      <c r="J35" s="80">
        <f>[3]!PVT_Rhog_kgm3(C35,D35,gamma_gas_,gamma_oil_,gamma_wat_,Rsb_,Rp_,Pb_,Tres_,Bob_,muob_)</f>
        <v>157.36515020693065</v>
      </c>
      <c r="K35" s="79">
        <f>[3]!PVT_Rhow_kgm3(C35,D35,gamma_gas_,gamma_oil_,gamma_wat_,Rsb_,Rp_,Pb_,Tres_,Bob_,muob_)</f>
        <v>974.71897393020072</v>
      </c>
      <c r="L35" s="7">
        <f>[3]!PVT_Rhoo_kgm3(C35,D35,gamma_gas_,gamma_oil_,gamma_wat_,Rsb_,Rp_,Pb_,Tres_,Bob_,muob_)</f>
        <v>804.3193256384435</v>
      </c>
    </row>
    <row r="36" spans="3:12" outlineLevel="1" x14ac:dyDescent="0.2">
      <c r="C36" s="8">
        <v>220</v>
      </c>
      <c r="D36" s="8">
        <f t="shared" si="0"/>
        <v>80</v>
      </c>
      <c r="E36" s="13">
        <f>[3]!PVT_Rs_m3m3(C36,D36,gamma_gas_,gamma_oil_,gamma_wat_,Rsb_,Rp_,Pb_,Tres_,Bob_,muob_)</f>
        <v>80</v>
      </c>
      <c r="F36" s="76">
        <f>[3]!PVT_Bo_m3m3(C36,D36,gamma_gas_,gamma_oil_,gamma_wat_,Rsb_,Rp_,Pb_,Tres_,Bob_,muob_)</f>
        <v>1.1645112328704794</v>
      </c>
      <c r="G36" s="13">
        <f>[3]!PVT_Muo_cP(C36,D36,gamma_gas_,gamma_oil_,gamma_wat_,Rsb_,Rp_,Pb_,Tres_,Bob_,muob_)</f>
        <v>1.2528187080253694</v>
      </c>
      <c r="H36" s="80">
        <f>[3]!PVT_Mug_cP(C36,D36,gamma_gas_,gamma_oil_,gamma_wat_,Rsb_,Rp_,Pb_,Pb_,Bob_,muob_)</f>
        <v>2.0606043940918212E-2</v>
      </c>
      <c r="I36" s="80">
        <f>[3]!PVT_Muw_cP(C36,D36,gamma_gas_,gamma_oil_,gamma_wat_,Rsb_,Rp_,Pb_,Tres_,Bob_,muob_)</f>
        <v>0.39033287001058364</v>
      </c>
      <c r="J36" s="80">
        <f>[3]!PVT_Rhog_kgm3(C36,D36,gamma_gas_,gamma_oil_,gamma_wat_,Rsb_,Rp_,Pb_,Tres_,Bob_,muob_)</f>
        <v>169.9814069327287</v>
      </c>
      <c r="K36" s="79">
        <f>[3]!PVT_Rhow_kgm3(C36,D36,gamma_gas_,gamma_oil_,gamma_wat_,Rsb_,Rp_,Pb_,Tres_,Bob_,muob_)</f>
        <v>975.37527404707998</v>
      </c>
      <c r="L36" s="7">
        <f>[3]!PVT_Rhoo_kgm3(C36,D36,gamma_gas_,gamma_oil_,gamma_wat_,Rsb_,Rp_,Pb_,Tres_,Bob_,muob_)</f>
        <v>805.65027929133623</v>
      </c>
    </row>
    <row r="37" spans="3:12" outlineLevel="1" x14ac:dyDescent="0.2">
      <c r="C37" s="8">
        <v>240</v>
      </c>
      <c r="D37" s="8">
        <f t="shared" si="0"/>
        <v>80</v>
      </c>
      <c r="E37" s="13">
        <f>[3]!PVT_Rs_m3m3(C37,D37,gamma_gas_,gamma_oil_,gamma_wat_,Rsb_,Rp_,Pb_,Tres_,Bob_,muob_)</f>
        <v>80</v>
      </c>
      <c r="F37" s="76">
        <f>[3]!PVT_Bo_m3m3(C37,D37,gamma_gas_,gamma_oil_,gamma_wat_,Rsb_,Rp_,Pb_,Tres_,Bob_,muob_)</f>
        <v>1.1629078448678598</v>
      </c>
      <c r="G37" s="13">
        <f>[3]!PVT_Muo_cP(C37,D37,gamma_gas_,gamma_oil_,gamma_wat_,Rsb_,Rp_,Pb_,Tres_,Bob_,muob_)</f>
        <v>1.3140740183946704</v>
      </c>
      <c r="H37" s="80">
        <f>[3]!PVT_Mug_cP(C37,D37,gamma_gas_,gamma_oil_,gamma_wat_,Rsb_,Rp_,Pb_,Pb_,Bob_,muob_)</f>
        <v>2.1683383160038823E-2</v>
      </c>
      <c r="I37" s="80">
        <f>[3]!PVT_Muw_cP(C37,D37,gamma_gas_,gamma_oil_,gamma_wat_,Rsb_,Rp_,Pb_,Tres_,Bob_,muob_)</f>
        <v>0.39638380970120551</v>
      </c>
      <c r="J37" s="80">
        <f>[3]!PVT_Rhog_kgm3(C37,D37,gamma_gas_,gamma_oil_,gamma_wat_,Rsb_,Rp_,Pb_,Tres_,Bob_,muob_)</f>
        <v>182.53336625994487</v>
      </c>
      <c r="K37" s="79">
        <f>[3]!PVT_Rhow_kgm3(C37,D37,gamma_gas_,gamma_oil_,gamma_wat_,Rsb_,Rp_,Pb_,Tres_,Bob_,muob_)</f>
        <v>976.07581782899126</v>
      </c>
      <c r="L37" s="7">
        <f>[3]!PVT_Rhoo_kgm3(C37,D37,gamma_gas_,gamma_oil_,gamma_wat_,Rsb_,Rp_,Pb_,Tres_,Bob_,muob_)</f>
        <v>806.76108957421775</v>
      </c>
    </row>
    <row r="38" spans="3:12" outlineLevel="1" x14ac:dyDescent="0.2">
      <c r="C38" s="8">
        <v>260</v>
      </c>
      <c r="D38" s="8">
        <f t="shared" si="0"/>
        <v>80</v>
      </c>
      <c r="E38" s="13">
        <f>[3]!PVT_Rs_m3m3(C38,D38,gamma_gas_,gamma_oil_,gamma_wat_,Rsb_,Rp_,Pb_,Tres_,Bob_,muob_)</f>
        <v>80</v>
      </c>
      <c r="F38" s="76">
        <f>[3]!PVT_Bo_m3m3(C38,D38,gamma_gas_,gamma_oil_,gamma_wat_,Rsb_,Rp_,Pb_,Tres_,Bob_,muob_)</f>
        <v>1.1615528563960344</v>
      </c>
      <c r="G38" s="13">
        <f>[3]!PVT_Muo_cP(C38,D38,gamma_gas_,gamma_oil_,gamma_wat_,Rsb_,Rp_,Pb_,Tres_,Bob_,muob_)</f>
        <v>1.3790736979594145</v>
      </c>
      <c r="H38" s="80">
        <f>[3]!PVT_Mug_cP(C38,D38,gamma_gas_,gamma_oil_,gamma_wat_,Rsb_,Rp_,Pb_,Pb_,Bob_,muob_)</f>
        <v>2.2871605188958734E-2</v>
      </c>
      <c r="I38" s="80">
        <f>[3]!PVT_Muw_cP(C38,D38,gamma_gas_,gamma_oil_,gamma_wat_,Rsb_,Rp_,Pb_,Tres_,Bob_,muob_)</f>
        <v>0.40261501009299605</v>
      </c>
      <c r="J38" s="80">
        <f>[3]!PVT_Rhog_kgm3(C38,D38,gamma_gas_,gamma_oil_,gamma_wat_,Rsb_,Rp_,Pb_,Tres_,Bob_,muob_)</f>
        <v>195.41703229727273</v>
      </c>
      <c r="K38" s="79">
        <f>[3]!PVT_Rhow_kgm3(C38,D38,gamma_gas_,gamma_oil_,gamma_wat_,Rsb_,Rp_,Pb_,Tres_,Bob_,muob_)</f>
        <v>976.82079411420705</v>
      </c>
      <c r="L38" s="7">
        <f>[3]!PVT_Rhoo_kgm3(C38,D38,gamma_gas_,gamma_oil_,gamma_wat_,Rsb_,Rp_,Pb_,Tres_,Bob_,muob_)</f>
        <v>807.70220212873562</v>
      </c>
    </row>
    <row r="39" spans="3:12" outlineLevel="1" x14ac:dyDescent="0.2">
      <c r="C39" s="8">
        <v>280</v>
      </c>
      <c r="D39" s="8">
        <f t="shared" si="0"/>
        <v>80</v>
      </c>
      <c r="E39" s="13">
        <f>[3]!PVT_Rs_m3m3(C39,D39,gamma_gas_,gamma_oil_,gamma_wat_,Rsb_,Rp_,Pb_,Tres_,Bob_,muob_)</f>
        <v>80</v>
      </c>
      <c r="F39" s="76">
        <f>[3]!PVT_Bo_m3m3(C39,D39,gamma_gas_,gamma_oil_,gamma_wat_,Rsb_,Rp_,Pb_,Tres_,Bob_,muob_)</f>
        <v>1.1603926943680387</v>
      </c>
      <c r="G39" s="13">
        <f>[3]!PVT_Muo_cP(C39,D39,gamma_gas_,gamma_oil_,gamma_wat_,Rsb_,Rp_,Pb_,Tres_,Bob_,muob_)</f>
        <v>1.447525646071635</v>
      </c>
      <c r="H39" s="80">
        <f>[3]!PVT_Mug_cP(C39,D39,gamma_gas_,gamma_oil_,gamma_wat_,Rsb_,Rp_,Pb_,Pb_,Bob_,muob_)</f>
        <v>2.422784902336915E-2</v>
      </c>
      <c r="I39" s="80">
        <f>[3]!PVT_Muw_cP(C39,D39,gamma_gas_,gamma_oil_,gamma_wat_,Rsb_,Rp_,Pb_,Tres_,Bob_,muob_)</f>
        <v>0.4090264711859552</v>
      </c>
      <c r="J39" s="80">
        <f>[3]!PVT_Rhog_kgm3(C39,D39,gamma_gas_,gamma_oil_,gamma_wat_,Rsb_,Rp_,Pb_,Tres_,Bob_,muob_)</f>
        <v>209.06416247293561</v>
      </c>
      <c r="K39" s="79">
        <f>[3]!PVT_Rhow_kgm3(C39,D39,gamma_gas_,gamma_oil_,gamma_wat_,Rsb_,Rp_,Pb_,Tres_,Bob_,muob_)</f>
        <v>977.61040416301159</v>
      </c>
      <c r="L39" s="7">
        <f>[3]!PVT_Rhoo_kgm3(C39,D39,gamma_gas_,gamma_oil_,gamma_wat_,Rsb_,Rp_,Pb_,Tres_,Bob_,muob_)</f>
        <v>808.5097437733757</v>
      </c>
    </row>
    <row r="40" spans="3:12" outlineLevel="1" x14ac:dyDescent="0.2">
      <c r="C40" s="8">
        <v>300</v>
      </c>
      <c r="D40" s="8">
        <f t="shared" si="0"/>
        <v>80</v>
      </c>
      <c r="E40" s="13">
        <f>[3]!PVT_Rs_m3m3(C40,D40,gamma_gas_,gamma_oil_,gamma_wat_,Rsb_,Rp_,Pb_,Tres_,Bob_,muob_)</f>
        <v>80</v>
      </c>
      <c r="F40" s="76">
        <f>[3]!PVT_Bo_m3m3(C40,D40,gamma_gas_,gamma_oil_,gamma_wat_,Rsb_,Rp_,Pb_,Tres_,Bob_,muob_)</f>
        <v>1.1593881579705583</v>
      </c>
      <c r="G40" s="13">
        <f>[3]!PVT_Muo_cP(C40,D40,gamma_gas_,gamma_oil_,gamma_wat_,Rsb_,Rp_,Pb_,Tres_,Bob_,muob_)</f>
        <v>1.5191376962112864</v>
      </c>
      <c r="H40" s="80">
        <f>[3]!PVT_Mug_cP(C40,D40,gamma_gas_,gamma_oil_,gamma_wat_,Rsb_,Rp_,Pb_,Pb_,Bob_,muob_)</f>
        <v>2.5819443725453597E-2</v>
      </c>
      <c r="I40" s="80">
        <f>[3]!PVT_Muw_cP(C40,D40,gamma_gas_,gamma_oil_,gamma_wat_,Rsb_,Rp_,Pb_,Tres_,Bob_,muob_)</f>
        <v>0.4156181929800829</v>
      </c>
      <c r="J40" s="80">
        <f>[3]!PVT_Rhog_kgm3(C40,D40,gamma_gas_,gamma_oil_,gamma_wat_,Rsb_,Rp_,Pb_,Tres_,Bob_,muob_)</f>
        <v>223.85018235404627</v>
      </c>
      <c r="K40" s="79">
        <f>[3]!PVT_Rhow_kgm3(C40,D40,gamma_gas_,gamma_oil_,gamma_wat_,Rsb_,Rp_,Pb_,Tres_,Bob_,muob_)</f>
        <v>978.4448617948093</v>
      </c>
      <c r="L40" s="7">
        <f>[3]!PVT_Rhoo_kgm3(C40,D40,gamma_gas_,gamma_oil_,gamma_wat_,Rsb_,Rp_,Pb_,Tres_,Bob_,muob_)</f>
        <v>809.2102662513347</v>
      </c>
    </row>
    <row r="41" spans="3:12" outlineLevel="1" x14ac:dyDescent="0.2">
      <c r="C41" s="8">
        <v>320</v>
      </c>
      <c r="D41" s="8">
        <f t="shared" si="0"/>
        <v>80</v>
      </c>
      <c r="E41" s="13">
        <f>[3]!PVT_Rs_m3m3(C41,D41,gamma_gas_,gamma_oil_,gamma_wat_,Rsb_,Rp_,Pb_,Tres_,Bob_,muob_)</f>
        <v>80</v>
      </c>
      <c r="F41" s="76">
        <f>[3]!PVT_Bo_m3m3(C41,D41,gamma_gas_,gamma_oil_,gamma_wat_,Rsb_,Rp_,Pb_,Tres_,Bob_,muob_)</f>
        <v>1.1585099020034806</v>
      </c>
      <c r="G41" s="13">
        <f>[3]!PVT_Muo_cP(C41,D41,gamma_gas_,gamma_oil_,gamma_wat_,Rsb_,Rp_,Pb_,Tres_,Bob_,muob_)</f>
        <v>1.5936123222926795</v>
      </c>
      <c r="H41" s="80">
        <f>[3]!PVT_Mug_cP(C41,D41,gamma_gas_,gamma_oil_,gamma_wat_,Rsb_,Rp_,Pb_,Pb_,Bob_,muob_)</f>
        <v>2.7706850757567025E-2</v>
      </c>
      <c r="I41" s="80">
        <f>[3]!PVT_Muw_cP(C41,D41,gamma_gas_,gamma_oil_,gamma_wat_,Rsb_,Rp_,Pb_,Tres_,Bob_,muob_)</f>
        <v>0.42239017547537927</v>
      </c>
      <c r="J41" s="80">
        <f>[3]!PVT_Rhog_kgm3(C41,D41,gamma_gas_,gamma_oil_,gamma_wat_,Rsb_,Rp_,Pb_,Tres_,Bob_,muob_)</f>
        <v>239.92959410590848</v>
      </c>
      <c r="K41" s="79">
        <f>[3]!PVT_Rhow_kgm3(C41,D41,gamma_gas_,gamma_oil_,gamma_wat_,Rsb_,Rp_,Pb_,Tres_,Bob_,muob_)</f>
        <v>979.32439353427742</v>
      </c>
      <c r="L41" s="7">
        <f>[3]!PVT_Rhoo_kgm3(C41,D41,gamma_gas_,gamma_oil_,gamma_wat_,Rsb_,Rp_,Pb_,Tres_,Bob_,muob_)</f>
        <v>809.82372129710234</v>
      </c>
    </row>
    <row r="42" spans="3:12" outlineLevel="1" x14ac:dyDescent="0.2">
      <c r="C42" s="8">
        <v>340</v>
      </c>
      <c r="D42" s="8">
        <f t="shared" si="0"/>
        <v>80</v>
      </c>
      <c r="E42" s="13">
        <f>[3]!PVT_Rs_m3m3(C42,D42,gamma_gas_,gamma_oil_,gamma_wat_,Rsb_,Rp_,Pb_,Tres_,Bob_,muob_)</f>
        <v>80</v>
      </c>
      <c r="F42" s="76">
        <f>[3]!PVT_Bo_m3m3(C42,D42,gamma_gas_,gamma_oil_,gamma_wat_,Rsb_,Rp_,Pb_,Tres_,Bob_,muob_)</f>
        <v>1.1577355227772113</v>
      </c>
      <c r="G42" s="13">
        <f>[3]!PVT_Muo_cP(C42,D42,gamma_gas_,gamma_oil_,gamma_wat_,Rsb_,Rp_,Pb_,Tres_,Bob_,muob_)</f>
        <v>1.6706434440866633</v>
      </c>
      <c r="H42" s="80">
        <f>[3]!PVT_Mug_cP(C42,D42,gamma_gas_,gamma_oil_,gamma_wat_,Rsb_,Rp_,Pb_,Pb_,Bob_,muob_)</f>
        <v>2.9907947532178368E-2</v>
      </c>
      <c r="I42" s="80">
        <f>[3]!PVT_Muw_cP(C42,D42,gamma_gas_,gamma_oil_,gamma_wat_,Rsb_,Rp_,Pb_,Tres_,Bob_,muob_)</f>
        <v>0.42934241867184425</v>
      </c>
      <c r="J42" s="80">
        <f>[3]!PVT_Rhog_kgm3(C42,D42,gamma_gas_,gamma_oil_,gamma_wat_,Rsb_,Rp_,Pb_,Tres_,Bob_,muob_)</f>
        <v>257.01485989595426</v>
      </c>
      <c r="K42" s="79">
        <f>[3]!PVT_Rhow_kgm3(C42,D42,gamma_gas_,gamma_oil_,gamma_wat_,Rsb_,Rp_,Pb_,Tres_,Bob_,muob_)</f>
        <v>980.24923876675155</v>
      </c>
      <c r="L42" s="7">
        <f>[3]!PVT_Rhoo_kgm3(C42,D42,gamma_gas_,gamma_oil_,gamma_wat_,Rsb_,Rp_,Pb_,Tres_,Bob_,muob_)</f>
        <v>810.36539135418775</v>
      </c>
    </row>
    <row r="43" spans="3:12" outlineLevel="1" x14ac:dyDescent="0.2">
      <c r="C43" s="8">
        <v>360</v>
      </c>
      <c r="D43" s="8">
        <f t="shared" si="0"/>
        <v>80</v>
      </c>
      <c r="E43" s="13">
        <f>[3]!PVT_Rs_m3m3(C43,D43,gamma_gas_,gamma_oil_,gamma_wat_,Rsb_,Rp_,Pb_,Tres_,Bob_,muob_)</f>
        <v>80</v>
      </c>
      <c r="F43" s="76">
        <f>[3]!PVT_Bo_m3m3(C43,D43,gamma_gas_,gamma_oil_,gamma_wat_,Rsb_,Rp_,Pb_,Tres_,Bob_,muob_)</f>
        <v>1.1570476202397262</v>
      </c>
      <c r="G43" s="13">
        <f>[3]!PVT_Muo_cP(C43,D43,gamma_gas_,gamma_oil_,gamma_wat_,Rsb_,Rp_,Pb_,Tres_,Bob_,muob_)</f>
        <v>1.7499148114006253</v>
      </c>
      <c r="H43" s="80">
        <f>[3]!PVT_Mug_cP(C43,D43,gamma_gas_,gamma_oil_,gamma_wat_,Rsb_,Rp_,Pb_,Pb_,Bob_,muob_)</f>
        <v>3.234779767218704E-2</v>
      </c>
      <c r="I43" s="80">
        <f>[3]!PVT_Muw_cP(C43,D43,gamma_gas_,gamma_oil_,gamma_wat_,Rsb_,Rp_,Pb_,Tres_,Bob_,muob_)</f>
        <v>0.4364749225694779</v>
      </c>
      <c r="J43" s="80">
        <f>[3]!PVT_Rhog_kgm3(C43,D43,gamma_gas_,gamma_oil_,gamma_wat_,Rsb_,Rp_,Pb_,Tres_,Bob_,muob_)</f>
        <v>274.21422686778067</v>
      </c>
      <c r="K43" s="79">
        <f>[3]!PVT_Rhow_kgm3(C43,D43,gamma_gas_,gamma_oil_,gamma_wat_,Rsb_,Rp_,Pb_,Tres_,Bob_,muob_)</f>
        <v>981.21964990304559</v>
      </c>
      <c r="L43" s="7">
        <f>[3]!PVT_Rhoo_kgm3(C43,D43,gamma_gas_,gamma_oil_,gamma_wat_,Rsb_,Rp_,Pb_,Tres_,Bob_,muob_)</f>
        <v>810.84718000251246</v>
      </c>
    </row>
    <row r="44" spans="3:12" outlineLevel="1" x14ac:dyDescent="0.2">
      <c r="C44" s="8">
        <v>380</v>
      </c>
      <c r="D44" s="8">
        <f t="shared" si="0"/>
        <v>80</v>
      </c>
      <c r="E44" s="13">
        <f>[3]!PVT_Rs_m3m3(C44,D44,gamma_gas_,gamma_oil_,gamma_wat_,Rsb_,Rp_,Pb_,Tres_,Bob_,muob_)</f>
        <v>80</v>
      </c>
      <c r="F44" s="76">
        <f>[3]!PVT_Bo_m3m3(C44,D44,gamma_gas_,gamma_oil_,gamma_wat_,Rsb_,Rp_,Pb_,Tres_,Bob_,muob_)</f>
        <v>1.1564324749673425</v>
      </c>
      <c r="G44" s="13">
        <f>[3]!PVT_Muo_cP(C44,D44,gamma_gas_,gamma_oil_,gamma_wat_,Rsb_,Rp_,Pb_,Tres_,Bob_,muob_)</f>
        <v>1.8310996013758258</v>
      </c>
      <c r="H44" s="80">
        <f>[3]!PVT_Mug_cP(C44,D44,gamma_gas_,gamma_oil_,gamma_wat_,Rsb_,Rp_,Pb_,Pb_,Bob_,muob_)</f>
        <v>3.4831394992291626E-2</v>
      </c>
      <c r="I44" s="80">
        <f>[3]!PVT_Muw_cP(C44,D44,gamma_gas_,gamma_oil_,gamma_wat_,Rsb_,Rp_,Pb_,Tres_,Bob_,muob_)</f>
        <v>0.4437876871682801</v>
      </c>
      <c r="J44" s="80">
        <f>[3]!PVT_Rhog_kgm3(C44,D44,gamma_gas_,gamma_oil_,gamma_wat_,Rsb_,Rp_,Pb_,Tres_,Bob_,muob_)</f>
        <v>290.16236861656057</v>
      </c>
      <c r="K44" s="79">
        <f>[3]!PVT_Rhow_kgm3(C44,D44,gamma_gas_,gamma_oil_,gamma_wat_,Rsb_,Rp_,Pb_,Tres_,Bob_,muob_)</f>
        <v>982.23589255391971</v>
      </c>
      <c r="L44" s="7">
        <f>[3]!PVT_Rhoo_kgm3(C44,D44,gamma_gas_,gamma_oil_,gamma_wat_,Rsb_,Rp_,Pb_,Tres_,Bob_,muob_)</f>
        <v>811.27849684997329</v>
      </c>
    </row>
    <row r="45" spans="3:12" outlineLevel="1" x14ac:dyDescent="0.2">
      <c r="C45" s="8">
        <v>400</v>
      </c>
      <c r="D45" s="8">
        <f t="shared" si="0"/>
        <v>80</v>
      </c>
      <c r="E45" s="13">
        <f>[3]!PVT_Rs_m3m3(C45,D45,gamma_gas_,gamma_oil_,gamma_wat_,Rsb_,Rp_,Pb_,Tres_,Bob_,muob_)</f>
        <v>80</v>
      </c>
      <c r="F45" s="76">
        <f>[3]!PVT_Bo_m3m3(C45,D45,gamma_gas_,gamma_oil_,gamma_wat_,Rsb_,Rp_,Pb_,Tres_,Bob_,muob_)</f>
        <v>1.1558791238484611</v>
      </c>
      <c r="G45" s="13">
        <f>[3]!PVT_Muo_cP(C45,D45,gamma_gas_,gamma_oil_,gamma_wat_,Rsb_,Rp_,Pb_,Tres_,Bob_,muob_)</f>
        <v>1.9138609593794527</v>
      </c>
      <c r="H45" s="80">
        <f>[3]!PVT_Mug_cP(C45,D45,gamma_gas_,gamma_oil_,gamma_wat_,Rsb_,Rp_,Pb_,Pb_,Bob_,muob_)</f>
        <v>3.7103767854624728E-2</v>
      </c>
      <c r="I45" s="80">
        <f>[3]!PVT_Muw_cP(C45,D45,gamma_gas_,gamma_oil_,gamma_wat_,Rsb_,Rp_,Pb_,Tres_,Bob_,muob_)</f>
        <v>0.45128071246825097</v>
      </c>
      <c r="J45" s="80">
        <f>[3]!PVT_Rhog_kgm3(C45,D45,gamma_gas_,gamma_oil_,gamma_wat_,Rsb_,Rp_,Pb_,Tres_,Bob_,muob_)</f>
        <v>303.59340071013372</v>
      </c>
      <c r="K45" s="79">
        <f>[3]!PVT_Rhow_kgm3(C45,D45,gamma_gas_,gamma_oil_,gamma_wat_,Rsb_,Rp_,Pb_,Tres_,Bob_,muob_)</f>
        <v>983.29824571442282</v>
      </c>
      <c r="L45" s="7">
        <f>[3]!PVT_Rhoo_kgm3(C45,D45,gamma_gas_,gamma_oil_,gamma_wat_,Rsb_,Rp_,Pb_,Tres_,Bob_,muob_)</f>
        <v>811.6668781734993</v>
      </c>
    </row>
    <row r="46" spans="3:12" outlineLevel="1" x14ac:dyDescent="0.2">
      <c r="C46" s="8">
        <v>420</v>
      </c>
      <c r="D46" s="8">
        <f t="shared" si="0"/>
        <v>80</v>
      </c>
      <c r="E46" s="13">
        <f>[3]!PVT_Rs_m3m3(C46,D46,gamma_gas_,gamma_oil_,gamma_wat_,Rsb_,Rp_,Pb_,Tres_,Bob_,muob_)</f>
        <v>80</v>
      </c>
      <c r="F46" s="76">
        <f>[3]!PVT_Bo_m3m3(C46,D46,gamma_gas_,gamma_oil_,gamma_wat_,Rsb_,Rp_,Pb_,Tres_,Bob_,muob_)</f>
        <v>1.1553787009926739</v>
      </c>
      <c r="G46" s="13">
        <f>[3]!PVT_Muo_cP(C46,D46,gamma_gas_,gamma_oil_,gamma_wat_,Rsb_,Rp_,Pb_,Tres_,Bob_,muob_)</f>
        <v>1.9978532751006954</v>
      </c>
      <c r="H46" s="80">
        <f>[3]!PVT_Mug_cP(C46,D46,gamma_gas_,gamma_oil_,gamma_wat_,Rsb_,Rp_,Pb_,Pb_,Bob_,muob_)</f>
        <v>3.8995470709754662E-2</v>
      </c>
      <c r="I46" s="80">
        <f>[3]!PVT_Muw_cP(C46,D46,gamma_gas_,gamma_oil_,gamma_wat_,Rsb_,Rp_,Pb_,Tres_,Bob_,muob_)</f>
        <v>0.45895399846939039</v>
      </c>
      <c r="J46" s="80">
        <f>[3]!PVT_Rhog_kgm3(C46,D46,gamma_gas_,gamma_oil_,gamma_wat_,Rsb_,Rp_,Pb_,Tres_,Bob_,muob_)</f>
        <v>314.04397739127421</v>
      </c>
      <c r="K46" s="79">
        <f>[3]!PVT_Rhow_kgm3(C46,D46,gamma_gas_,gamma_oil_,gamma_wat_,Rsb_,Rp_,Pb_,Tres_,Bob_,muob_)</f>
        <v>984.4070019583562</v>
      </c>
      <c r="L46" s="7">
        <f>[3]!PVT_Rhoo_kgm3(C46,D46,gamma_gas_,gamma_oil_,gamma_wat_,Rsb_,Rp_,Pb_,Tres_,Bob_,muob_)</f>
        <v>812.01843100788551</v>
      </c>
    </row>
    <row r="47" spans="3:12" outlineLevel="1" x14ac:dyDescent="0.2">
      <c r="C47" s="8">
        <v>440</v>
      </c>
      <c r="D47" s="8">
        <f t="shared" si="0"/>
        <v>80</v>
      </c>
      <c r="E47" s="13">
        <f>[3]!PVT_Rs_m3m3(C47,D47,gamma_gas_,gamma_oil_,gamma_wat_,Rsb_,Rp_,Pb_,Tres_,Bob_,muob_)</f>
        <v>80</v>
      </c>
      <c r="F47" s="76">
        <f>[3]!PVT_Bo_m3m3(C47,D47,gamma_gas_,gamma_oil_,gamma_wat_,Rsb_,Rp_,Pb_,Tres_,Bob_,muob_)</f>
        <v>1.1549239591296774</v>
      </c>
      <c r="G47" s="13">
        <f>[3]!PVT_Muo_cP(C47,D47,gamma_gas_,gamma_oil_,gamma_wat_,Rsb_,Rp_,Pb_,Tres_,Bob_,muob_)</f>
        <v>2.0827240254263466</v>
      </c>
      <c r="H47" s="80">
        <f>[3]!PVT_Mug_cP(C47,D47,gamma_gas_,gamma_oil_,gamma_wat_,Rsb_,Rp_,Pb_,Pb_,Bob_,muob_)</f>
        <v>4.0517403578276795E-2</v>
      </c>
      <c r="I47" s="80">
        <f>[3]!PVT_Muw_cP(C47,D47,gamma_gas_,gamma_oil_,gamma_wat_,Rsb_,Rp_,Pb_,Tres_,Bob_,muob_)</f>
        <v>0.46680754517169848</v>
      </c>
      <c r="J47" s="80">
        <f>[3]!PVT_Rhog_kgm3(C47,D47,gamma_gas_,gamma_oil_,gamma_wat_,Rsb_,Rp_,Pb_,Tres_,Bob_,muob_)</f>
        <v>322.02345994955135</v>
      </c>
      <c r="K47" s="79">
        <f>[3]!PVT_Rhow_kgm3(C47,D47,gamma_gas_,gamma_oil_,gamma_wat_,Rsb_,Rp_,Pb_,Tres_,Bob_,muob_)</f>
        <v>985.56246764310936</v>
      </c>
      <c r="L47" s="7">
        <f>[3]!PVT_Rhoo_kgm3(C47,D47,gamma_gas_,gamma_oil_,gamma_wat_,Rsb_,Rp_,Pb_,Tres_,Bob_,muob_)</f>
        <v>812.33815662374536</v>
      </c>
    </row>
    <row r="48" spans="3:12" outlineLevel="1" x14ac:dyDescent="0.2">
      <c r="C48" s="8">
        <v>460</v>
      </c>
      <c r="D48" s="8">
        <f t="shared" si="0"/>
        <v>80</v>
      </c>
      <c r="E48" s="13">
        <f>[3]!PVT_Rs_m3m3(C48,D48,gamma_gas_,gamma_oil_,gamma_wat_,Rsb_,Rp_,Pb_,Tres_,Bob_,muob_)</f>
        <v>80</v>
      </c>
      <c r="F48" s="76">
        <f>[3]!PVT_Bo_m3m3(C48,D48,gamma_gas_,gamma_oil_,gamma_wat_,Rsb_,Rp_,Pb_,Tres_,Bob_,muob_)</f>
        <v>1.1545089163509799</v>
      </c>
      <c r="G48" s="13">
        <f>[3]!PVT_Muo_cP(C48,D48,gamma_gas_,gamma_oil_,gamma_wat_,Rsb_,Rp_,Pb_,Tres_,Bob_,muob_)</f>
        <v>2.168116042785591</v>
      </c>
      <c r="H48" s="80">
        <f>[3]!PVT_Mug_cP(C48,D48,gamma_gas_,gamma_oil_,gamma_wat_,Rsb_,Rp_,Pb_,Pb_,Bob_,muob_)</f>
        <v>4.1800659307069124E-2</v>
      </c>
      <c r="I48" s="80">
        <f>[3]!PVT_Muw_cP(C48,D48,gamma_gas_,gamma_oil_,gamma_wat_,Rsb_,Rp_,Pb_,Tres_,Bob_,muob_)</f>
        <v>0.47484135257517518</v>
      </c>
      <c r="J48" s="80">
        <f>[3]!PVT_Rhog_kgm3(C48,D48,gamma_gas_,gamma_oil_,gamma_wat_,Rsb_,Rp_,Pb_,Tres_,Bob_,muob_)</f>
        <v>328.4808721005885</v>
      </c>
      <c r="K48" s="79">
        <f>[3]!PVT_Rhow_kgm3(C48,D48,gamma_gas_,gamma_oil_,gamma_wat_,Rsb_,Rp_,Pb_,Tres_,Bob_,muob_)</f>
        <v>986.76496312514394</v>
      </c>
      <c r="L48" s="7">
        <f>[3]!PVT_Rhoo_kgm3(C48,D48,gamma_gas_,gamma_oil_,gamma_wat_,Rsb_,Rp_,Pb_,Tres_,Bob_,muob_)</f>
        <v>812.63018995583332</v>
      </c>
    </row>
    <row r="49" outlineLevel="1" x14ac:dyDescent="0.2"/>
    <row r="107" spans="11:11" x14ac:dyDescent="0.2">
      <c r="K107" t="s">
        <v>144</v>
      </c>
    </row>
    <row r="118" spans="11:11" x14ac:dyDescent="0.2">
      <c r="K118" s="1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outlinePr summaryBelow="0"/>
  </sheetPr>
  <dimension ref="A1:AG101"/>
  <sheetViews>
    <sheetView zoomScale="80" zoomScaleNormal="80" workbookViewId="0">
      <selection activeCell="C15" sqref="C15"/>
    </sheetView>
  </sheetViews>
  <sheetFormatPr defaultColWidth="8.7109375" defaultRowHeight="15" outlineLevelRow="1" x14ac:dyDescent="0.25"/>
  <cols>
    <col min="1" max="1" width="7.28515625" style="18" customWidth="1"/>
    <col min="2" max="2" width="12.28515625" style="19" customWidth="1"/>
    <col min="3" max="3" width="8.7109375" style="19"/>
    <col min="4" max="4" width="10.140625" style="19" customWidth="1"/>
    <col min="5" max="6" width="8.7109375" style="19"/>
    <col min="7" max="7" width="12.28515625" style="20" customWidth="1"/>
    <col min="8" max="8" width="13.140625" style="19" customWidth="1"/>
    <col min="9" max="9" width="11" style="19" customWidth="1"/>
    <col min="10" max="12" width="8.7109375" style="19"/>
    <col min="13" max="13" width="10" style="19" customWidth="1"/>
    <col min="14" max="14" width="10.140625" style="19" customWidth="1"/>
    <col min="15" max="16384" width="8.7109375" style="19"/>
  </cols>
  <sheetData>
    <row r="1" spans="1:17" x14ac:dyDescent="0.25">
      <c r="A1" s="18" t="str">
        <f>версия_</f>
        <v>вер 7.21</v>
      </c>
      <c r="J1" s="21" t="s">
        <v>155</v>
      </c>
      <c r="K1" s="21"/>
      <c r="L1" s="21"/>
    </row>
    <row r="2" spans="1:17" ht="18" x14ac:dyDescent="0.25">
      <c r="A2" s="73" t="s">
        <v>156</v>
      </c>
      <c r="B2" s="73"/>
      <c r="C2" s="73"/>
      <c r="D2" s="73"/>
      <c r="E2" s="73"/>
      <c r="J2" s="22" t="s">
        <v>157</v>
      </c>
      <c r="K2" s="23">
        <v>1</v>
      </c>
      <c r="L2" s="24" t="s">
        <v>158</v>
      </c>
    </row>
    <row r="3" spans="1:17" ht="18" customHeight="1" x14ac:dyDescent="0.25">
      <c r="F3" s="74" t="s">
        <v>159</v>
      </c>
      <c r="G3" s="74"/>
      <c r="H3" s="23">
        <v>1</v>
      </c>
      <c r="J3" s="24" t="s">
        <v>160</v>
      </c>
      <c r="K3" s="23">
        <v>15</v>
      </c>
      <c r="L3" s="24" t="s">
        <v>161</v>
      </c>
    </row>
    <row r="6" spans="1:17" x14ac:dyDescent="0.25">
      <c r="B6" s="25" t="s">
        <v>162</v>
      </c>
      <c r="C6" s="26"/>
      <c r="D6" s="26"/>
      <c r="E6" s="21"/>
      <c r="F6" s="21"/>
      <c r="G6" s="27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spans="1:17" x14ac:dyDescent="0.25">
      <c r="B7" s="21" t="s">
        <v>163</v>
      </c>
      <c r="C7" s="21"/>
      <c r="D7" s="21"/>
      <c r="F7" s="21" t="s">
        <v>164</v>
      </c>
      <c r="G7" s="21"/>
      <c r="H7" s="21"/>
      <c r="J7" s="21" t="s">
        <v>165</v>
      </c>
      <c r="K7" s="21"/>
      <c r="L7" s="21"/>
      <c r="N7" s="75" t="s">
        <v>166</v>
      </c>
      <c r="O7" s="75"/>
      <c r="P7" s="75"/>
      <c r="Q7" s="75"/>
    </row>
    <row r="8" spans="1:17" ht="18" x14ac:dyDescent="0.25">
      <c r="B8" s="28" t="s">
        <v>167</v>
      </c>
      <c r="C8" s="23">
        <v>30</v>
      </c>
      <c r="D8" s="24" t="s">
        <v>168</v>
      </c>
      <c r="F8" s="22" t="s">
        <v>169</v>
      </c>
      <c r="G8" s="23">
        <v>0.86</v>
      </c>
      <c r="H8" s="24"/>
      <c r="J8" s="29" t="s">
        <v>170</v>
      </c>
      <c r="K8" s="23">
        <v>100</v>
      </c>
      <c r="L8" s="24" t="s">
        <v>171</v>
      </c>
      <c r="N8" s="22" t="s">
        <v>172</v>
      </c>
      <c r="O8" s="23">
        <v>0</v>
      </c>
      <c r="P8" s="24"/>
      <c r="Q8" s="21"/>
    </row>
    <row r="9" spans="1:17" ht="18" x14ac:dyDescent="0.25">
      <c r="B9" s="28" t="s">
        <v>143</v>
      </c>
      <c r="C9" s="23">
        <v>30</v>
      </c>
      <c r="D9" s="24" t="s">
        <v>173</v>
      </c>
      <c r="F9" s="24" t="s">
        <v>174</v>
      </c>
      <c r="G9" s="23">
        <v>0.7</v>
      </c>
      <c r="H9" s="24"/>
      <c r="J9" s="24" t="s">
        <v>175</v>
      </c>
      <c r="K9" s="23">
        <v>0</v>
      </c>
      <c r="L9" s="24" t="s">
        <v>140</v>
      </c>
      <c r="N9" s="24" t="s">
        <v>176</v>
      </c>
      <c r="O9" s="23">
        <v>20</v>
      </c>
      <c r="P9" s="24" t="s">
        <v>168</v>
      </c>
      <c r="Q9" s="21"/>
    </row>
    <row r="10" spans="1:17" ht="18" x14ac:dyDescent="0.25">
      <c r="F10" s="24" t="s">
        <v>177</v>
      </c>
      <c r="G10" s="23">
        <v>1.07</v>
      </c>
      <c r="H10" s="24"/>
      <c r="J10" s="29" t="s">
        <v>178</v>
      </c>
      <c r="K10" s="30">
        <f>Ql_scm3day_*(1-wc_perc_/100)*gamma_oil_</f>
        <v>86</v>
      </c>
      <c r="L10" s="24" t="s">
        <v>179</v>
      </c>
      <c r="N10" s="24" t="s">
        <v>180</v>
      </c>
      <c r="O10" s="23">
        <v>30</v>
      </c>
      <c r="P10" s="24" t="s">
        <v>173</v>
      </c>
      <c r="Q10" s="21"/>
    </row>
    <row r="11" spans="1:17" ht="18" x14ac:dyDescent="0.25">
      <c r="F11" s="29" t="s">
        <v>181</v>
      </c>
      <c r="G11" s="23">
        <v>100</v>
      </c>
      <c r="H11" s="24" t="s">
        <v>182</v>
      </c>
      <c r="J11" s="29" t="s">
        <v>183</v>
      </c>
      <c r="K11" s="23">
        <v>100</v>
      </c>
      <c r="L11" s="24" t="s">
        <v>182</v>
      </c>
    </row>
    <row r="12" spans="1:17" ht="18" x14ac:dyDescent="0.25">
      <c r="J12" s="29" t="s">
        <v>183</v>
      </c>
      <c r="K12" s="31">
        <f>Rp_m3m3_/gamma_oil_</f>
        <v>116.27906976744187</v>
      </c>
      <c r="L12" s="24" t="s">
        <v>184</v>
      </c>
    </row>
    <row r="13" spans="1:17" x14ac:dyDescent="0.25">
      <c r="F13" s="21" t="s">
        <v>185</v>
      </c>
      <c r="G13" s="21"/>
      <c r="H13" s="21"/>
    </row>
    <row r="14" spans="1:17" ht="18" x14ac:dyDescent="0.25">
      <c r="F14" s="24" t="s">
        <v>186</v>
      </c>
      <c r="G14" s="23">
        <v>80</v>
      </c>
      <c r="H14" s="24" t="s">
        <v>138</v>
      </c>
    </row>
    <row r="15" spans="1:17" ht="18" x14ac:dyDescent="0.25">
      <c r="F15" s="24" t="s">
        <v>187</v>
      </c>
      <c r="G15" s="23">
        <v>100</v>
      </c>
      <c r="H15" s="24" t="s">
        <v>168</v>
      </c>
    </row>
    <row r="16" spans="1:17" ht="18" x14ac:dyDescent="0.25">
      <c r="F16" s="29" t="s">
        <v>188</v>
      </c>
      <c r="G16" s="23"/>
      <c r="H16" s="24" t="s">
        <v>182</v>
      </c>
    </row>
    <row r="17" spans="2:33" ht="18" x14ac:dyDescent="0.25">
      <c r="F17" s="32" t="s">
        <v>189</v>
      </c>
      <c r="G17" s="23"/>
      <c r="H17" s="24" t="s">
        <v>148</v>
      </c>
    </row>
    <row r="20" spans="2:33" x14ac:dyDescent="0.25">
      <c r="B20" s="33" t="s">
        <v>190</v>
      </c>
      <c r="C20" s="34"/>
      <c r="D20" s="34"/>
      <c r="E20" s="34"/>
      <c r="F20" s="34"/>
      <c r="G20" s="35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2:33" outlineLevel="1" x14ac:dyDescent="0.25"/>
    <row r="22" spans="2:33" outlineLevel="1" x14ac:dyDescent="0.25">
      <c r="B22" s="36" t="s">
        <v>191</v>
      </c>
      <c r="C22" s="21"/>
      <c r="D22" s="21"/>
      <c r="E22" s="21"/>
      <c r="F22" s="21"/>
      <c r="G22" s="36" t="s">
        <v>192</v>
      </c>
      <c r="H22" s="21"/>
    </row>
    <row r="23" spans="2:33" ht="18" outlineLevel="1" x14ac:dyDescent="0.25">
      <c r="B23" s="24" t="s">
        <v>193</v>
      </c>
      <c r="C23" s="37">
        <f>[2]!PVT_Pb_atma(Tres_C_,gamma_gas_,gamma_oil_,gamma_w_,Rsb_m3m3_,,Pb_atma_,Tres_C_,Bob_m3m3_,mu_cP_,PVT_correlation_,Ksep_,Psep_atma_,Tsep_C_)</f>
        <v>100</v>
      </c>
      <c r="D23" s="24" t="s">
        <v>168</v>
      </c>
      <c r="E23" s="21"/>
      <c r="F23" s="21"/>
      <c r="G23" s="38">
        <f>[2]!PVT_Pb_atma(T_C_,gamma_gas_,gamma_oil_,gamma_w_,Rsb_m3m3_,,Pb_atma_,Tres_C_,Bob_m3m3_,mu_cP_,PVT_correlation_,Ksep_,Psep_atma_,Tsep_C_)</f>
        <v>79.24820354434199</v>
      </c>
      <c r="H23" s="21"/>
    </row>
    <row r="24" spans="2:33" ht="18" outlineLevel="1" x14ac:dyDescent="0.25">
      <c r="B24" s="24" t="s">
        <v>186</v>
      </c>
      <c r="C24" s="39">
        <f>Tres_C_</f>
        <v>80</v>
      </c>
      <c r="D24" s="24" t="s">
        <v>173</v>
      </c>
      <c r="E24" s="21"/>
      <c r="F24" s="21"/>
      <c r="G24" s="40">
        <f>T_C_</f>
        <v>30</v>
      </c>
      <c r="H24" s="21"/>
    </row>
    <row r="25" spans="2:33" ht="18" outlineLevel="1" x14ac:dyDescent="0.25">
      <c r="B25" s="29" t="s">
        <v>181</v>
      </c>
      <c r="C25" s="39">
        <f>Rsb_m3m3_</f>
        <v>100</v>
      </c>
      <c r="D25" s="24" t="s">
        <v>182</v>
      </c>
      <c r="E25" s="21"/>
      <c r="F25" s="21"/>
      <c r="G25" s="27"/>
      <c r="H25" s="21"/>
    </row>
    <row r="26" spans="2:33" ht="18" outlineLevel="1" x14ac:dyDescent="0.25">
      <c r="B26" s="29" t="s">
        <v>194</v>
      </c>
      <c r="C26" s="41">
        <f>[2]!PVT_Bo_m3m3(C23,Tres_C_,gamma_gas_,gamma_oil_,gamma_w_,Rsb_m3m3_,,Pb_atma_,Tres_C_,Bob_m3m3_,mu_cP_,PVT_correlation_,Ksep_,Psep_atma_,Tsep_C_)</f>
        <v>1.287833096954804</v>
      </c>
      <c r="D26" s="24" t="s">
        <v>182</v>
      </c>
      <c r="E26" s="21"/>
      <c r="F26" s="21"/>
      <c r="G26" s="27"/>
      <c r="H26" s="21"/>
    </row>
    <row r="27" spans="2:33" ht="18" outlineLevel="1" x14ac:dyDescent="0.25">
      <c r="B27" s="32" t="s">
        <v>195</v>
      </c>
      <c r="C27" s="37">
        <f>[2]!PVT_Rhoo_kgm3(C23,Tres_C_,gamma_gas_,gamma_oil_,gamma_w_,Rsb_m3m3_,,Pb_atma_,Tres_C_,Bob_m3m3_,mu_cP_,PVT_correlation_,Ksep_,Psep_atma_,Tsep_C_)</f>
        <v>733.8502604049288</v>
      </c>
      <c r="D27" s="24" t="s">
        <v>196</v>
      </c>
      <c r="E27" s="21"/>
      <c r="F27" s="21"/>
      <c r="G27" s="27"/>
      <c r="H27" s="21"/>
    </row>
    <row r="28" spans="2:33" ht="18" outlineLevel="1" x14ac:dyDescent="0.25">
      <c r="B28" s="32" t="s">
        <v>197</v>
      </c>
      <c r="C28" s="42">
        <f>[2]!PVT_Muo_cP(C23,Tres_C_,gamma_gas_,gamma_oil_,gamma_w_,Rsb_m3m3_,,Pb_atma_,Tres_C_,Bob_m3m3_,mu_cP_,PVT_correlation_,Ksep_,Psep_atma_,Tsep_C_)</f>
        <v>0.76612647633959408</v>
      </c>
      <c r="D28" s="24" t="s">
        <v>148</v>
      </c>
      <c r="E28" s="21"/>
      <c r="F28" s="21"/>
      <c r="G28" s="27"/>
      <c r="H28" s="21"/>
    </row>
    <row r="29" spans="2:33" outlineLevel="1" x14ac:dyDescent="0.25"/>
    <row r="30" spans="2:33" outlineLevel="1" x14ac:dyDescent="0.25"/>
    <row r="31" spans="2:33" outlineLevel="1" x14ac:dyDescent="0.25">
      <c r="B31" s="36" t="s">
        <v>198</v>
      </c>
      <c r="C31" s="21"/>
      <c r="D31" s="21"/>
      <c r="E31" s="21"/>
      <c r="F31" s="21"/>
      <c r="G31" s="43"/>
      <c r="H31" s="36" t="s">
        <v>199</v>
      </c>
      <c r="I31" s="21"/>
      <c r="J31" s="21"/>
      <c r="K31" s="21"/>
      <c r="L31" s="36" t="s">
        <v>200</v>
      </c>
      <c r="M31" s="21"/>
      <c r="N31" s="21"/>
      <c r="Q31" s="44" t="s">
        <v>201</v>
      </c>
      <c r="R31" s="21"/>
      <c r="S31" s="21"/>
      <c r="T31" s="21"/>
      <c r="U31" s="21"/>
      <c r="V31" s="21"/>
      <c r="W31" s="44"/>
      <c r="X31" s="44"/>
      <c r="Z31" s="21" t="s">
        <v>202</v>
      </c>
      <c r="AA31" s="21"/>
      <c r="AB31" s="21"/>
    </row>
    <row r="32" spans="2:33" ht="18" outlineLevel="1" x14ac:dyDescent="0.35">
      <c r="B32" s="24" t="s">
        <v>203</v>
      </c>
      <c r="C32" s="37">
        <f>[2]!PVT_Rhoo_kgm3(Psc_atma_,Tsc_C_,gamma_gas_,gamma_oil_,gamma_w_,Rsb_m3m3_,,Pb_atma_,Tres_C_,Bob_m3m3_,mu_cP_,PVT_correlation_,Ksep_,Psep_atma_,Tsep_C_)</f>
        <v>857.32211579126965</v>
      </c>
      <c r="D32" s="24" t="s">
        <v>196</v>
      </c>
      <c r="E32" s="45">
        <f>[2]!PVT_Rhoo_kgm3(Psc_atma_,Tsc_C_,gamma_gas_,gamma_oil_,gamma_w_,Rsb_m3m3_,,,,,,PVT_correlation_,Ksep_,Psep_atma_,Tsep_C_)</f>
        <v>860.00434407024829</v>
      </c>
      <c r="F32" s="46">
        <f t="shared" ref="F32:F37" si="0">(E32-C32)/E32</f>
        <v>3.1188543377398885E-3</v>
      </c>
      <c r="G32" s="47"/>
      <c r="H32" s="24" t="s">
        <v>204</v>
      </c>
      <c r="I32" s="42">
        <f>[2]!PVT_Rhog_kgm3(Psc_atma_,Tsc_C_,gamma_gas_,gamma_oil_,gamma_w_,Rsb_m3m3_,,Pb_atma_,Tres_C_,Bob_m3m3_,mu_cP_,PVT_correlation_,Ksep_,Psep_atma_,Tsep_C_)</f>
        <v>0.86851485761170277</v>
      </c>
      <c r="J32" s="24" t="s">
        <v>196</v>
      </c>
      <c r="L32" s="24" t="s">
        <v>205</v>
      </c>
      <c r="M32" s="37">
        <f>[2]!PVT_Rhow_kgm3(Psc_atma_,Tsc_C_,gamma_gas_,gamma_oil_,gamma_w_,Rsb_m3m3_,,Pb_atma_,Tres_C_,Bob_m3m3_,mu_cP_,PVT_correlation_,Ksep_,Psep_atma_,Tsep_C_)</f>
        <v>1070.3638451179736</v>
      </c>
      <c r="N32" s="24" t="s">
        <v>196</v>
      </c>
      <c r="Q32" s="48" t="s">
        <v>206</v>
      </c>
      <c r="R32" s="49">
        <v>0.86</v>
      </c>
      <c r="S32" s="44"/>
      <c r="T32" s="44" t="s">
        <v>207</v>
      </c>
      <c r="U32" s="44"/>
      <c r="V32" s="44" t="s">
        <v>208</v>
      </c>
      <c r="W32" s="44"/>
      <c r="X32" s="44" t="s">
        <v>209</v>
      </c>
      <c r="Z32" s="24" t="s">
        <v>193</v>
      </c>
      <c r="AA32" s="50">
        <f>ABS(U33)</f>
        <v>0.46925466942242361</v>
      </c>
      <c r="AB32" s="51">
        <f>ABS(Pb_diff_)</f>
        <v>0.30575274402365782</v>
      </c>
      <c r="AD32" s="44" t="str">
        <f>Q34&amp; " = "&amp;IFERROR(TEXT(gamma_gas_diff_total_*100,"0.0") &amp; "%",TEXT(gamma_gas_diff_total_*100,"0,0") &amp; "%")</f>
        <v>Сумм откл = 17.2%</v>
      </c>
      <c r="AE32" s="44"/>
      <c r="AF32" s="21"/>
      <c r="AG32" s="21"/>
    </row>
    <row r="33" spans="2:33" ht="18" outlineLevel="1" x14ac:dyDescent="0.25">
      <c r="B33" s="24" t="s">
        <v>210</v>
      </c>
      <c r="C33" s="42">
        <f>[2]!PVT_Muo_cP(Psc_atma_,Tsc_C_,gamma_gas_,gamma_oil_,gamma_w_,Rsb_m3m3_,,Pb_atma_,Tres_C_,Bob_m3m3_,mu_cP_,PVT_correlation_,Ksep_,Psep_atma_,Tsep_C_)</f>
        <v>11.609618679748797</v>
      </c>
      <c r="D33" s="24" t="s">
        <v>148</v>
      </c>
      <c r="E33" s="45">
        <f>[2]!PVT_Muo_cP(Psc_atma_,Tsc_C_,gamma_gas_,gamma_oil_,gamma_w_,Rsb_m3m3_,,,,,,PVT_correlation_,Ksep_,Psep_atma_,Tsep_C_)</f>
        <v>12.53061051510749</v>
      </c>
      <c r="F33" s="46">
        <f t="shared" si="0"/>
        <v>7.3499358570622106E-2</v>
      </c>
      <c r="G33" s="47"/>
      <c r="H33" s="24" t="s">
        <v>211</v>
      </c>
      <c r="I33" s="52">
        <f>[2]!PVT_Mug_cP(Psc_atma_,Tsc_C_,gamma_gas_,gamma_oil_,gamma_w_,Rsb_m3m3_,,Pb_atma_,Tres_C_,Bob_m3m3_,mu_cP_,PVT_correlation_,Ksep_,Psep_atma_,Tsep_C_)</f>
        <v>1.0255672046621608E-2</v>
      </c>
      <c r="J33" s="24" t="s">
        <v>148</v>
      </c>
      <c r="L33" s="24" t="s">
        <v>212</v>
      </c>
      <c r="M33" s="41">
        <f>[2]!PVT_Muw_cP(Psc_atma_,Tsc_C_,gamma_gas_,gamma_oil_,gamma_w_,Rsb_m3m3_,,Pb_atma_,Tres_C_,Bob_m3m3_,mu_cP_,PVT_correlation_,Ksep_,Psep_atma_,Tsep_C_)</f>
        <v>1.2900781748980021</v>
      </c>
      <c r="N33" s="24" t="s">
        <v>148</v>
      </c>
      <c r="Q33" s="48" t="s">
        <v>213</v>
      </c>
      <c r="R33" s="49">
        <v>0.89080765983146293</v>
      </c>
      <c r="S33" s="24" t="s">
        <v>193</v>
      </c>
      <c r="T33" s="45">
        <f>[2]!PVT_Pb_atma(Tres_C_,gamma_gas_,gamma_oil_,gamma_w_,Rsb_m3m3_,,,Tres_C_,,,PVT_correlation_,Ksep_,Psep_atma_,Tsep_C_)</f>
        <v>188.41428127342422</v>
      </c>
      <c r="U33" s="46">
        <f>(T33-C23)/T33</f>
        <v>0.46925466942242361</v>
      </c>
      <c r="V33" s="53">
        <f>[2]!PVT_Pb_atma(Tres_C_,gamma_gas_new_,gamma_oil_new_,gamma_w_,Rsb_m3m3_,,,Tres_C_,,,PVT_correlation_,Ksep_,Psep_atma_,Tsep_C_)</f>
        <v>144.04090061453221</v>
      </c>
      <c r="W33" s="54">
        <f>(V33-C23)/V33</f>
        <v>0.30575274402365782</v>
      </c>
      <c r="X33" s="44">
        <v>2</v>
      </c>
      <c r="Z33" s="29" t="s">
        <v>194</v>
      </c>
      <c r="AA33" s="50">
        <f>ABS(U34)</f>
        <v>0</v>
      </c>
      <c r="AB33" s="50">
        <f>ABS(W34)</f>
        <v>9.4974545970277158E-2</v>
      </c>
      <c r="AD33" s="44" t="str">
        <f>F9 &amp;" = "&amp;IFERROR(  TEXT(gamma_gas_,"0.00"),TEXT(gamma_gas_,"0,00")) &amp;",  "&amp; F8 &amp;" = "&amp;  IFERROR(TEXT(gamma_oil_,"0.00"),TEXT(gamma_oil_,"0,00"))</f>
        <v>γg = 0.70,  γo = 0.86</v>
      </c>
      <c r="AE33" s="44"/>
      <c r="AF33" s="21"/>
      <c r="AG33" s="21"/>
    </row>
    <row r="34" spans="2:33" ht="18" outlineLevel="1" x14ac:dyDescent="0.25">
      <c r="B34" s="24" t="s">
        <v>214</v>
      </c>
      <c r="C34" s="42">
        <f>[2]!PVT_Rs_m3m3(P_atma_,T_C_,gamma_gas_,gamma_oil_,gamma_w_,Rsb_m3m3_,,Pb_atma_,Tres_C_,Bob_m3m3_,mu_cP_,PVT_correlation_,Ksep_,Psep_atma_,Tsep_C_)</f>
        <v>46.731510057875148</v>
      </c>
      <c r="D34" s="24" t="s">
        <v>182</v>
      </c>
      <c r="E34" s="45">
        <f>[2]!PVT_Rs_m3m3(P_atma_,T_C_,gamma_gas_,gamma_oil_,gamma_w_,Rsb_m3m3_,,,,,,PVT_correlation_,Ksep_,Psep_atma_,Tsep_C_)</f>
        <v>29.625586135838734</v>
      </c>
      <c r="F34" s="46">
        <f t="shared" si="0"/>
        <v>-0.5774037294520562</v>
      </c>
      <c r="G34" s="47"/>
      <c r="H34" s="24" t="s">
        <v>215</v>
      </c>
      <c r="I34" s="41">
        <f>[2]!PVT_Z(P_atma_,T_C_,gamma_gas_,gamma_oil_,gamma_w_,Rsb_m3m3_,,Pb_atma_,Tres_C_,Bob_m3m3_,mu_cP_,PVT_correlation_,Ksep_,Psep_atma_,Tsep_C_)</f>
        <v>0.95008334880238299</v>
      </c>
      <c r="J34" s="24"/>
      <c r="L34" s="24" t="s">
        <v>216</v>
      </c>
      <c r="M34" s="37">
        <f>[2]!PVT_Sal_ppm(Psc_atma_,Tsc_C_,gamma_gas_,gamma_oil_,gamma_w_,Rsb_m3m3_,,Pb_atma_,Tres_C_,Bob_m3m3_,mu_cP_,PVT_correlation_,Ksep_,Psep_atma_,Tsep_C_)</f>
        <v>97525.871265721944</v>
      </c>
      <c r="N34" s="24" t="s">
        <v>217</v>
      </c>
      <c r="Q34" s="55" t="s">
        <v>218</v>
      </c>
      <c r="R34" s="56">
        <f>((X33*W33^2+X34*W34^2+X35*W35^2+X36*W36^2+X37*W37^2+X38*W38^2)/SUM(X33:X38))^0.5</f>
        <v>0.17227010926839523</v>
      </c>
      <c r="S34" s="29" t="s">
        <v>194</v>
      </c>
      <c r="T34" s="57">
        <f>[2]!PVT_Bo_m3m3(T33,Tres_C_,gamma_gas_,gamma_oil_,gamma_w_,Rsb_m3m3_,,,,,,PVT_correlation_,Ksep_,Psep_atma_,Tsep_C_)</f>
        <v>1.287833096954804</v>
      </c>
      <c r="U34" s="46">
        <f>(T34-C26)/(T34-1)</f>
        <v>0</v>
      </c>
      <c r="V34" s="58">
        <f>[2]!PVT_Bo_m3m3(V33,Tres_C_,gamma_gas_new_,gamma_oil_new_,gamma_w_,Rsb_m3m3_,,,,,,PVT_correlation_,Ksep_,Psep_atma_,Tsep_C_)</f>
        <v>1.3180386757888369</v>
      </c>
      <c r="W34" s="54">
        <f>(V34-C26)/(V34-1)</f>
        <v>9.4974545970277158E-2</v>
      </c>
      <c r="X34" s="44">
        <v>2</v>
      </c>
      <c r="Z34" s="32" t="s">
        <v>197</v>
      </c>
      <c r="AA34" s="50">
        <f>ABS(U36)</f>
        <v>0</v>
      </c>
      <c r="AB34" s="50">
        <f>ABS(W36)</f>
        <v>1.2059471853105768E-4</v>
      </c>
      <c r="AD34" s="44" t="str">
        <f>Q33&amp;" = "&amp;IFERROR(TEXT(gamma_gas_new_,"0.00"),TEXT(gamma_gas_new_,"0,00"))&amp;",  "&amp;Q32&amp;" = "&amp;IFERROR(TEXT(gamma_oil_new_,"0.00"),TEXT(gamma_oil_new_,"0,00"))</f>
        <v>γg new  = 0.89,  γo new  = 0.86</v>
      </c>
      <c r="AE34" s="44"/>
      <c r="AF34" s="21"/>
      <c r="AG34" s="21"/>
    </row>
    <row r="35" spans="2:33" ht="18" outlineLevel="1" x14ac:dyDescent="0.25">
      <c r="B35" s="24" t="s">
        <v>219</v>
      </c>
      <c r="C35" s="41">
        <f>[2]!PVT_Bo_m3m3(P_atma_,T_C_,gamma_gas_,gamma_oil_,gamma_w_,Rsb_m3m3_,,Pb_atma_,Tres_C_,Bob_m3m3_,mu_cP_,PVT_correlation_,Ksep_,Psep_atma_,Tsep_C_)</f>
        <v>1.1128775936215842</v>
      </c>
      <c r="D35" s="24" t="s">
        <v>182</v>
      </c>
      <c r="E35" s="45">
        <f>[2]!PVT_Bo_m3m3(P_atma_,T_C_,gamma_gas_,gamma_oil_,gamma_w_,Rsb_m3m3_,,,,,,PVT_correlation_,Ksep_,Psep_atma_,Tsep_C_)</f>
        <v>1.076527064194055</v>
      </c>
      <c r="F35" s="46">
        <f t="shared" si="0"/>
        <v>-3.3766479855983168E-2</v>
      </c>
      <c r="G35" s="47"/>
      <c r="H35" s="24" t="s">
        <v>220</v>
      </c>
      <c r="I35" s="52">
        <f>[2]!PVT_Bg_m3m3(P_atma_,T_C_,gamma_gas_,gamma_oil_,gamma_w_,Rsb_m3m3_,,Pb_atma_,Tres_C_,Bob_m3m3_,mu_cP_,PVT_correlation_,Ksep_,Psep_atma_,Tsep_C_)</f>
        <v>3.288298245989392E-2</v>
      </c>
      <c r="J35" s="24" t="s">
        <v>182</v>
      </c>
      <c r="L35" s="24" t="s">
        <v>221</v>
      </c>
      <c r="M35" s="41">
        <f>[2]!PVT_Bw_m3m3(P_atma_,T_C_,gamma_gas_,gamma_oil_,gamma_w_,Rsb_m3m3_,,Pb_atma_,Tres_C_,Bob_m3m3_,mu_cP_,PVT_correlation_,Ksep_,Psep_atma_,Tsep_C_)</f>
        <v>1.00512664544482</v>
      </c>
      <c r="N35" s="24" t="s">
        <v>182</v>
      </c>
      <c r="S35" s="32" t="s">
        <v>195</v>
      </c>
      <c r="T35" s="45">
        <f>[2]!PVT_Rhoo_kgm3(C23,Tres_C_,gamma_gas_,gamma_oil_,gamma_w_,Rsb_m3m3_,,,,,,PVT_correlation_,Ksep_,Psep_atma_,Tsep_C_)</f>
        <v>762.97043934947192</v>
      </c>
      <c r="U35" s="46">
        <f>(T35-C27)/T35</f>
        <v>3.8166850827630654E-2</v>
      </c>
      <c r="V35" s="53">
        <f>[2]!PVT_Rhoo_kgm3(G23,Tres_C_,gamma_gas_new_,gamma_oil_new_,gamma_w_,Rsb_m3m3_,,,,,,PVT_correlation_,Ksep_,Psep_atma_,Tsep_C_)</f>
        <v>756.84209424151481</v>
      </c>
      <c r="W35" s="54">
        <f>(V35-C27)/V35</f>
        <v>3.0378640421193485E-2</v>
      </c>
      <c r="X35" s="44">
        <v>0</v>
      </c>
      <c r="Z35" s="24" t="s">
        <v>222</v>
      </c>
      <c r="AA35" s="51">
        <f>ABS((gamma_oil_-gamma_oil_)/(gamma_oil_))</f>
        <v>0</v>
      </c>
      <c r="AB35" s="50">
        <f>ABS((gamma_oil_new_-gamma_oil_)/(gamma_oil_))</f>
        <v>0</v>
      </c>
    </row>
    <row r="36" spans="2:33" ht="18" outlineLevel="1" x14ac:dyDescent="0.25">
      <c r="B36" s="24" t="s">
        <v>223</v>
      </c>
      <c r="C36" s="37">
        <f>[2]!PVT_Rhoo_kgm3(P_atma_,T_C_,gamma_gas_,gamma_oil_,gamma_w_,Rsb_m3m3_,,Pb_atma_,Tres_C_,Bob_m3m3_,mu_cP_,PVT_correlation_,Ksep_,Psep_atma_,Tsep_C_)</f>
        <v>808.68221738356999</v>
      </c>
      <c r="D36" s="24" t="s">
        <v>196</v>
      </c>
      <c r="E36" s="45">
        <f>[2]!PVT_Rhoo_kgm3(P_atma_,T_C_,gamma_gas_,gamma_oil_,gamma_w_,Rsb_m3m3_,,,,,,PVT_correlation_,Ksep_,Psep_atma_,Tsep_C_)</f>
        <v>822.39967247857055</v>
      </c>
      <c r="F36" s="46">
        <f t="shared" si="0"/>
        <v>1.667979153452058E-2</v>
      </c>
      <c r="G36" s="47"/>
      <c r="H36" s="24" t="s">
        <v>224</v>
      </c>
      <c r="I36" s="37">
        <f>[2]!PVT_Rhog_kgm3(P_atma_,T_C_,gamma_gas_,gamma_oil_,gamma_w_,Rsb_m3m3_,,Pb_atma_,Tres_C_,Bob_m3m3_,mu_cP_,PVT_correlation_,Ksep_,Psep_atma_,Tsep_C_)</f>
        <v>26.007069189756177</v>
      </c>
      <c r="J36" s="24" t="s">
        <v>196</v>
      </c>
      <c r="L36" s="24" t="s">
        <v>225</v>
      </c>
      <c r="M36" s="37">
        <f>[2]!PVT_Rhow_kgm3(P_atma_,T_C_,gamma_gas_,gamma_oil_,gamma_w_,Rsb_m3m3_,,Pb_atma_,Tres_C_,Bob_m3m3_,mu_cP_,PVT_correlation_,Ksep_,Psep_atma_,Tsep_C_)</f>
        <v>1064.5424682045616</v>
      </c>
      <c r="N36" s="24" t="s">
        <v>196</v>
      </c>
      <c r="S36" s="32" t="s">
        <v>197</v>
      </c>
      <c r="T36" s="59">
        <f>[2]!PVT_Muo_cP(T33,Tres_C_,gamma_gas_,gamma_oil_,gamma_w_,Rsb_m3m3_,,,,,,PVT_correlation_,Ksep_,Psep_atma_,Tsep_C_)</f>
        <v>0.76612647633959408</v>
      </c>
      <c r="U36" s="46">
        <f>(T36-C28)/T36</f>
        <v>0</v>
      </c>
      <c r="V36" s="60">
        <f>[2]!PVT_Muo_cP(V33,Tres_C_,gamma_gas_new_,gamma_oil_new_,gamma_w_,Rsb_m3m3_,,,,,,PVT_correlation_,Ksep_,Psep_atma_,Tsep_C_)</f>
        <v>0.76603409667332056</v>
      </c>
      <c r="W36" s="54">
        <f>(V36-C28)/V36</f>
        <v>-1.2059471853105768E-4</v>
      </c>
      <c r="X36" s="44">
        <v>2</v>
      </c>
      <c r="Z36" s="24" t="s">
        <v>174</v>
      </c>
      <c r="AA36" s="51">
        <f>ABS(gamma_gas_-gamma_gas_)/gamma_gas_</f>
        <v>0</v>
      </c>
      <c r="AB36" s="50">
        <f>ABS(gamma_gas_new_-gamma_gas_)/gamma_gas_</f>
        <v>0.27258237118780426</v>
      </c>
    </row>
    <row r="37" spans="2:33" ht="18" outlineLevel="1" x14ac:dyDescent="0.25">
      <c r="B37" s="24" t="s">
        <v>226</v>
      </c>
      <c r="C37" s="42">
        <f>[2]!PVT_Muo_cP(P_atma_,T_C_,gamma_gas_,gamma_oil_,gamma_w_,Rsb_m3m3_,,Pb_atma_,Tres_C_,Bob_m3m3_,mu_cP_,PVT_correlation_,Ksep_,Psep_atma_,Tsep_C_)</f>
        <v>3.4261453850162567</v>
      </c>
      <c r="D37" s="24" t="s">
        <v>148</v>
      </c>
      <c r="E37" s="45">
        <f>[2]!PVT_Muo_cP(P_atma_,T_C_,gamma_gas_,gamma_oil_,gamma_w_,Rsb_m3m3_,,,,,,PVT_correlation_,Ksep_,Psep_atma_,Tsep_C_)</f>
        <v>4.448291156906401</v>
      </c>
      <c r="F37" s="46">
        <f t="shared" si="0"/>
        <v>0.2297839183262913</v>
      </c>
      <c r="G37" s="47"/>
      <c r="H37" s="24" t="s">
        <v>227</v>
      </c>
      <c r="I37" s="52">
        <f>[2]!PVT_Mug_cP(P_atma_,T_C_,gamma_gas_,gamma_oil_,gamma_w_,Rsb_m3m3_,,Pb_atma_,Tres_C_,Bob_m3m3_,mu_cP_,PVT_correlation_,Ksep_,Psep_atma_,Tsep_C_)</f>
        <v>1.1463490259589898E-2</v>
      </c>
      <c r="J37" s="24" t="s">
        <v>148</v>
      </c>
      <c r="L37" s="24" t="s">
        <v>228</v>
      </c>
      <c r="M37" s="41">
        <f>[2]!PVT_Muw_cP(P_atma_,T_C_,gamma_gas_,gamma_oil_,gamma_w_,Rsb_m3m3_,,Pb_atma_,Tres_C_,Bob_m3m3_,mu_cP_,PVT_correlation_,Ksep_,Psep_atma_,Tsep_C_)</f>
        <v>0.90972638194866384</v>
      </c>
      <c r="N37" s="24" t="s">
        <v>148</v>
      </c>
      <c r="S37" s="22" t="s">
        <v>169</v>
      </c>
      <c r="W37" s="54">
        <f>(R32-G8)/R32</f>
        <v>0</v>
      </c>
      <c r="X37" s="44">
        <v>2</v>
      </c>
    </row>
    <row r="38" spans="2:33" ht="18" outlineLevel="1" x14ac:dyDescent="0.25">
      <c r="B38" s="24" t="s">
        <v>229</v>
      </c>
      <c r="C38" s="42"/>
      <c r="D38" s="24"/>
      <c r="E38" s="45"/>
      <c r="F38" s="46"/>
      <c r="G38" s="47"/>
      <c r="H38" s="24" t="s">
        <v>230</v>
      </c>
      <c r="I38" s="37"/>
      <c r="J38" s="24"/>
      <c r="L38" s="24" t="s">
        <v>231</v>
      </c>
      <c r="M38" s="37"/>
      <c r="N38" s="24"/>
      <c r="S38" s="24" t="s">
        <v>174</v>
      </c>
      <c r="W38" s="54">
        <f>(R33-G9)/R33</f>
        <v>0.21419624957823441</v>
      </c>
      <c r="X38" s="44">
        <v>2</v>
      </c>
      <c r="Z38" s="32" t="s">
        <v>195</v>
      </c>
      <c r="AA38" s="50">
        <f>ABS(U35)</f>
        <v>3.8166850827630654E-2</v>
      </c>
      <c r="AB38" s="50">
        <f>ABS(W35)</f>
        <v>3.0378640421193485E-2</v>
      </c>
    </row>
    <row r="39" spans="2:33" ht="18" outlineLevel="1" x14ac:dyDescent="0.25">
      <c r="B39" s="24" t="s">
        <v>232</v>
      </c>
      <c r="C39" s="42"/>
      <c r="D39" s="24"/>
      <c r="E39" s="45"/>
      <c r="F39" s="46"/>
      <c r="G39" s="47"/>
      <c r="H39" s="24" t="s">
        <v>233</v>
      </c>
      <c r="I39" s="37"/>
      <c r="J39" s="24"/>
      <c r="L39" s="24" t="s">
        <v>234</v>
      </c>
      <c r="M39" s="37"/>
      <c r="N39" s="24"/>
    </row>
    <row r="40" spans="2:33" ht="18" outlineLevel="1" x14ac:dyDescent="0.25">
      <c r="B40" s="61" t="s">
        <v>235</v>
      </c>
      <c r="C40" s="62">
        <f>[2]!PVT_SToilgas_Nm(P_atma_,T_C_,gamma_gas_,gamma_oil_,gamma_w_,Rsb_m3m3_,,Pb_atma_,Tres_C_,Bob_m3m3_,mu_cP_,PVT_correlation_,Ksep_,Psep_atma_,Tsep_C_)</f>
        <v>4.2196451605605201E-2</v>
      </c>
      <c r="D40" s="24" t="s">
        <v>236</v>
      </c>
      <c r="L40" s="61" t="s">
        <v>237</v>
      </c>
      <c r="M40" s="62">
        <f>[2]!PVT_STwatgas_Nm(P_atma_,T_C_,gamma_gas_,gamma_oil_,gamma_w_,Rsb_m3m3_,,Pb_atma_,Tres_C_,Bob_m3m3_,mu_cP_,PVT_correlation_,Ksep_,Psep_atma_,Tsep_C_)</f>
        <v>6.0255958607435781E-2</v>
      </c>
      <c r="N40" s="24" t="s">
        <v>236</v>
      </c>
    </row>
    <row r="41" spans="2:33" outlineLevel="1" x14ac:dyDescent="0.25">
      <c r="L41" s="47"/>
    </row>
    <row r="42" spans="2:33" outlineLevel="1" x14ac:dyDescent="0.25">
      <c r="B42" s="36" t="s">
        <v>238</v>
      </c>
      <c r="C42" s="21"/>
      <c r="D42" s="21"/>
      <c r="E42" s="43"/>
      <c r="F42" s="47"/>
      <c r="L42" s="47"/>
    </row>
    <row r="43" spans="2:33" ht="18" outlineLevel="1" x14ac:dyDescent="0.25">
      <c r="B43" s="29" t="s">
        <v>239</v>
      </c>
      <c r="C43" s="63">
        <f>[2]!MF_Qmix_m3day(Ql_scm3day_,wc_perc_,P_atma_,T_C_,gamma_gas_,gamma_oil_,gamma_w_,Rsb_m3m3_,Rp_m3m3_,Pb_atma_,Tres_C_,Bob_m3m3_,mu_cP_,PVT_correlation_,Ksep_,Psep_atma_,Tsep_C_)</f>
        <v>286.45044140535117</v>
      </c>
      <c r="D43" s="24" t="s">
        <v>171</v>
      </c>
      <c r="E43" s="43"/>
      <c r="F43" s="47"/>
      <c r="L43" s="47"/>
    </row>
    <row r="44" spans="2:33" ht="18" outlineLevel="1" x14ac:dyDescent="0.25">
      <c r="B44" s="24" t="s">
        <v>240</v>
      </c>
      <c r="C44" s="63">
        <f>[2]!MF_Rhomix_kgm3(Ql_scm3day_,wc_perc_,P_atma_,T_C_,gamma_gas_,gamma_oil_,gamma_w_,Rsb_m3m3_,Rp_m3m3_,Pb_atma_,Tres_C_,Bob_m3m3_,mu_cP_,PVT_correlation_,Ksep_,Psep_atma_,Tsep_C_)</f>
        <v>330.08118101029993</v>
      </c>
      <c r="D44" s="24" t="s">
        <v>196</v>
      </c>
      <c r="E44" s="43"/>
      <c r="F44" s="47"/>
      <c r="X44" s="19">
        <f>gamma_gas_</f>
        <v>0.7</v>
      </c>
    </row>
    <row r="45" spans="2:33" ht="18" outlineLevel="1" x14ac:dyDescent="0.25">
      <c r="B45" s="24" t="s">
        <v>241</v>
      </c>
      <c r="C45" s="63">
        <f>[2]!MF_Mumix_cP(Ql_scm3day_,wc_perc_,P_atma_,T_C_,gamma_gas_,gamma_oil_,gamma_w_,Rsb_m3m3_,Rp_m3m3_,Pb_atma_,Tres_C_,Bob_m3m3_,mu_cP_,PVT_correlation_,Ksep_,Psep_atma_,Tsep_C_)</f>
        <v>1.3355322038116846</v>
      </c>
      <c r="D45" s="24" t="s">
        <v>148</v>
      </c>
      <c r="E45" s="43"/>
      <c r="F45" s="47"/>
    </row>
    <row r="46" spans="2:33" ht="18" outlineLevel="1" x14ac:dyDescent="0.25">
      <c r="B46" s="24" t="s">
        <v>242</v>
      </c>
      <c r="E46" s="47"/>
      <c r="F46" s="47"/>
    </row>
    <row r="47" spans="2:33" ht="18" outlineLevel="1" x14ac:dyDescent="0.25">
      <c r="B47" s="24" t="s">
        <v>243</v>
      </c>
      <c r="E47" s="47"/>
      <c r="F47" s="47"/>
    </row>
    <row r="48" spans="2:33" ht="18" outlineLevel="1" x14ac:dyDescent="0.25">
      <c r="B48" s="24" t="s">
        <v>244</v>
      </c>
      <c r="E48" s="47"/>
      <c r="F48" s="47"/>
    </row>
    <row r="49" spans="1:29" outlineLevel="1" x14ac:dyDescent="0.25">
      <c r="C49" s="19">
        <f>[2]!PVT_STliqgas_Nm(P_atma_,T_C_,gamma_gas_,gamma_oil_,gamma_w_,Rsb_m3m3_,,Pb_atma_,Tres_C_,Bob_m3m3_,mu_cP_,PVT_correlation_,Ksep_,Psep_atma_,Tsep_C_)</f>
        <v>4.2196451605605201E-2</v>
      </c>
      <c r="D49" s="24" t="s">
        <v>236</v>
      </c>
      <c r="E49" s="47"/>
      <c r="F49" s="47"/>
    </row>
    <row r="50" spans="1:29" outlineLevel="1" x14ac:dyDescent="0.25">
      <c r="E50" s="47"/>
      <c r="F50" s="47"/>
    </row>
    <row r="51" spans="1:29" outlineLevel="1" x14ac:dyDescent="0.25">
      <c r="E51" s="47"/>
      <c r="F51" s="47"/>
    </row>
    <row r="52" spans="1:29" outlineLevel="1" x14ac:dyDescent="0.25"/>
    <row r="53" spans="1:29" outlineLevel="1" x14ac:dyDescent="0.25"/>
    <row r="54" spans="1:29" x14ac:dyDescent="0.25">
      <c r="L54" s="47"/>
    </row>
    <row r="55" spans="1:29" x14ac:dyDescent="0.25">
      <c r="B55" s="64" t="s">
        <v>245</v>
      </c>
      <c r="C55" s="34"/>
      <c r="D55" s="34"/>
      <c r="E55" s="34"/>
      <c r="F55" s="34"/>
      <c r="G55" s="35"/>
      <c r="H55" s="34"/>
      <c r="I55" s="34"/>
      <c r="J55" s="34"/>
      <c r="K55" s="34"/>
      <c r="L55" s="65"/>
      <c r="M55" s="65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</row>
    <row r="56" spans="1:29" outlineLevel="1" x14ac:dyDescent="0.25">
      <c r="B56" s="19" t="str">
        <f>"Температура = " &amp;T_C_&amp;" °С"</f>
        <v>Температура = 30 °С</v>
      </c>
      <c r="L56" s="47"/>
      <c r="M56" s="47"/>
    </row>
    <row r="57" spans="1:29" outlineLevel="1" x14ac:dyDescent="0.25">
      <c r="L57" s="47"/>
      <c r="M57" s="47"/>
    </row>
    <row r="58" spans="1:29" ht="18" outlineLevel="1" x14ac:dyDescent="0.25">
      <c r="A58" s="66"/>
      <c r="B58" s="24" t="s">
        <v>246</v>
      </c>
      <c r="C58" s="24" t="s">
        <v>246</v>
      </c>
      <c r="D58" s="24" t="s">
        <v>214</v>
      </c>
      <c r="E58" s="24" t="s">
        <v>247</v>
      </c>
      <c r="F58" s="24" t="s">
        <v>248</v>
      </c>
      <c r="G58" s="24" t="s">
        <v>219</v>
      </c>
      <c r="H58" s="24" t="s">
        <v>249</v>
      </c>
      <c r="I58" s="24" t="s">
        <v>250</v>
      </c>
      <c r="J58" s="24" t="s">
        <v>223</v>
      </c>
      <c r="K58" s="24" t="s">
        <v>251</v>
      </c>
      <c r="L58" s="24" t="s">
        <v>252</v>
      </c>
      <c r="M58" s="24" t="s">
        <v>226</v>
      </c>
      <c r="N58" s="24" t="s">
        <v>253</v>
      </c>
      <c r="O58" s="24" t="s">
        <v>254</v>
      </c>
      <c r="P58" s="61" t="s">
        <v>255</v>
      </c>
      <c r="Q58" s="61" t="s">
        <v>256</v>
      </c>
      <c r="R58" s="61" t="s">
        <v>257</v>
      </c>
    </row>
    <row r="59" spans="1:29" outlineLevel="1" x14ac:dyDescent="0.25">
      <c r="A59" s="67">
        <v>1</v>
      </c>
      <c r="B59" s="68">
        <v>1</v>
      </c>
      <c r="C59" s="21">
        <v>1</v>
      </c>
      <c r="D59" s="21">
        <v>2.870269071828853</v>
      </c>
      <c r="E59" s="21">
        <v>2.870269071828853</v>
      </c>
      <c r="F59" s="19">
        <v>7.3073359279448066E-2</v>
      </c>
      <c r="G59" s="21">
        <v>1.0284661798992814</v>
      </c>
      <c r="H59" s="27">
        <v>1.0284661798992814</v>
      </c>
      <c r="I59" s="19">
        <v>1.0222526485976851</v>
      </c>
      <c r="J59" s="21">
        <v>838.58336060403883</v>
      </c>
      <c r="K59" s="21">
        <v>838.58336060403883</v>
      </c>
      <c r="L59" s="19">
        <v>841.34043847765668</v>
      </c>
      <c r="M59" s="21">
        <v>5.6578645150739844</v>
      </c>
      <c r="N59" s="21">
        <v>5.6578645150739844</v>
      </c>
      <c r="O59" s="19">
        <v>6.0213429641748046</v>
      </c>
      <c r="P59" s="19">
        <v>0.99365634659680135</v>
      </c>
      <c r="Q59" s="19">
        <v>0.99365634659680135</v>
      </c>
      <c r="R59" s="19">
        <v>0.99365634659680135</v>
      </c>
    </row>
    <row r="60" spans="1:29" outlineLevel="1" x14ac:dyDescent="0.25">
      <c r="A60" s="67">
        <v>2</v>
      </c>
      <c r="B60" s="69">
        <f>($B$79-$B$59)/($A$79-$A$59)+B59</f>
        <v>4.9124101772170992</v>
      </c>
      <c r="C60" s="21">
        <v>5.1333129408491152</v>
      </c>
      <c r="D60" s="21">
        <v>12.759697733962112</v>
      </c>
      <c r="E60" s="21">
        <v>12.759697733962112</v>
      </c>
      <c r="F60" s="19">
        <v>7.8498650232280047</v>
      </c>
      <c r="G60" s="21">
        <v>1.0501854333142775</v>
      </c>
      <c r="H60" s="27">
        <v>1.0501854333142775</v>
      </c>
      <c r="I60" s="19">
        <v>1.0394355719825954</v>
      </c>
      <c r="J60" s="21">
        <v>829.29351167688378</v>
      </c>
      <c r="K60" s="21">
        <v>829.29351167688378</v>
      </c>
      <c r="L60" s="19">
        <v>833.83054171993149</v>
      </c>
      <c r="M60" s="21">
        <v>4.6332027452079467</v>
      </c>
      <c r="N60" s="21">
        <v>4.6332027452079467</v>
      </c>
      <c r="O60" s="19">
        <v>5.0978688361695239</v>
      </c>
      <c r="P60" s="19">
        <v>0.92822393325618791</v>
      </c>
      <c r="Q60" s="19">
        <v>0.92822393325618791</v>
      </c>
      <c r="R60" s="19">
        <v>0.92822393325618791</v>
      </c>
    </row>
    <row r="61" spans="1:29" outlineLevel="1" x14ac:dyDescent="0.25">
      <c r="A61" s="67">
        <v>3</v>
      </c>
      <c r="B61" s="69">
        <f t="shared" ref="B61:B78" si="1">($B$79-$B$59)/($A$79-$A$59)+B60</f>
        <v>8.8248203544341983</v>
      </c>
      <c r="C61" s="21">
        <v>9.2666258816982303</v>
      </c>
      <c r="D61" s="21">
        <v>19.483214075380882</v>
      </c>
      <c r="E61" s="21">
        <v>19.483214075380882</v>
      </c>
      <c r="F61" s="19">
        <v>12.364501307691741</v>
      </c>
      <c r="G61" s="21">
        <v>1.0648323830419844</v>
      </c>
      <c r="H61" s="27">
        <v>1.0648323830419844</v>
      </c>
      <c r="I61" s="19">
        <v>1.0493220653165771</v>
      </c>
      <c r="J61" s="21">
        <v>823.28624092056737</v>
      </c>
      <c r="K61" s="21">
        <v>823.28624092056737</v>
      </c>
      <c r="L61" s="19">
        <v>829.65376088863195</v>
      </c>
      <c r="M61" s="21">
        <v>4.1043926461827214</v>
      </c>
      <c r="N61" s="21">
        <v>4.1043926461827214</v>
      </c>
      <c r="O61" s="19">
        <v>4.6678734584135624</v>
      </c>
      <c r="P61" s="19">
        <v>0.86617840151612313</v>
      </c>
      <c r="Q61" s="19">
        <v>0.86617840151612313</v>
      </c>
      <c r="R61" s="19">
        <v>0.86617840151612313</v>
      </c>
    </row>
    <row r="62" spans="1:29" outlineLevel="1" x14ac:dyDescent="0.25">
      <c r="A62" s="67">
        <v>4</v>
      </c>
      <c r="B62" s="69">
        <f t="shared" si="1"/>
        <v>12.737230531651297</v>
      </c>
      <c r="C62" s="21">
        <v>13.399938822547345</v>
      </c>
      <c r="D62" s="21">
        <v>25.238144963591264</v>
      </c>
      <c r="E62" s="21">
        <v>25.238144963591264</v>
      </c>
      <c r="F62" s="19">
        <v>16.150377720837035</v>
      </c>
      <c r="G62" s="21">
        <v>1.0773175075694756</v>
      </c>
      <c r="H62" s="27">
        <v>1.0773175075694756</v>
      </c>
      <c r="I62" s="19">
        <v>1.0575811668104491</v>
      </c>
      <c r="J62" s="21">
        <v>818.31345262395701</v>
      </c>
      <c r="K62" s="21">
        <v>818.31345262395701</v>
      </c>
      <c r="L62" s="19">
        <v>826.23600811501251</v>
      </c>
      <c r="M62" s="21">
        <v>3.7277090200970142</v>
      </c>
      <c r="N62" s="21">
        <v>3.7277090200970142</v>
      </c>
      <c r="O62" s="19">
        <v>4.3529322646057587</v>
      </c>
      <c r="P62" s="19">
        <v>0.80780617913436636</v>
      </c>
      <c r="Q62" s="19">
        <v>0.80780617913436636</v>
      </c>
      <c r="R62" s="19">
        <v>0.80780617913436636</v>
      </c>
    </row>
    <row r="63" spans="1:29" outlineLevel="1" x14ac:dyDescent="0.25">
      <c r="A63" s="67">
        <v>5</v>
      </c>
      <c r="B63" s="69">
        <f t="shared" si="1"/>
        <v>16.649640708868397</v>
      </c>
      <c r="C63" s="21">
        <v>17.533251763396461</v>
      </c>
      <c r="D63" s="21">
        <v>30.471191957275128</v>
      </c>
      <c r="E63" s="21">
        <v>30.471191957275128</v>
      </c>
      <c r="F63" s="19">
        <v>19.541060770860231</v>
      </c>
      <c r="G63" s="21">
        <v>1.0886381358340553</v>
      </c>
      <c r="H63" s="27">
        <v>1.0886381358340553</v>
      </c>
      <c r="I63" s="19">
        <v>1.0649580943529677</v>
      </c>
      <c r="J63" s="21">
        <v>813.91477065158313</v>
      </c>
      <c r="K63" s="21">
        <v>813.91477065158313</v>
      </c>
      <c r="L63" s="19">
        <v>823.23550983787004</v>
      </c>
      <c r="M63" s="21">
        <v>3.4326245875518011</v>
      </c>
      <c r="N63" s="43">
        <v>3.4326245875518011</v>
      </c>
      <c r="O63" s="19">
        <v>4.1002917679434185</v>
      </c>
      <c r="P63" s="19">
        <v>0.75327403531906711</v>
      </c>
      <c r="Q63" s="19">
        <v>0.75327403531906711</v>
      </c>
      <c r="R63" s="19">
        <v>0.75327403531906711</v>
      </c>
    </row>
    <row r="64" spans="1:29" outlineLevel="1" x14ac:dyDescent="0.25">
      <c r="A64" s="67">
        <v>6</v>
      </c>
      <c r="B64" s="69">
        <f t="shared" si="1"/>
        <v>20.562050886085498</v>
      </c>
      <c r="C64" s="21">
        <v>21.666564704245577</v>
      </c>
      <c r="D64" s="21">
        <v>35.374484404416215</v>
      </c>
      <c r="E64" s="21">
        <v>35.374484404416215</v>
      </c>
      <c r="F64" s="19">
        <v>22.67421942967724</v>
      </c>
      <c r="G64" s="21">
        <v>1.0992232508508828</v>
      </c>
      <c r="H64" s="27">
        <v>1.0992232508508828</v>
      </c>
      <c r="I64" s="19">
        <v>1.0717602658076764</v>
      </c>
      <c r="J64" s="21">
        <v>809.89180735459308</v>
      </c>
      <c r="K64" s="21">
        <v>809.89180735459308</v>
      </c>
      <c r="L64" s="19">
        <v>820.51069979848387</v>
      </c>
      <c r="M64" s="21">
        <v>3.1895276939001946</v>
      </c>
      <c r="N64" s="21">
        <v>3.1895276939001946</v>
      </c>
      <c r="O64" s="19">
        <v>3.8880552315347865</v>
      </c>
      <c r="P64" s="19">
        <v>0.70253759355470535</v>
      </c>
      <c r="Q64" s="19">
        <v>0.70253759355470535</v>
      </c>
      <c r="R64" s="19">
        <v>0.70253759355470535</v>
      </c>
    </row>
    <row r="65" spans="1:18" outlineLevel="1" x14ac:dyDescent="0.25">
      <c r="A65" s="67">
        <v>7</v>
      </c>
      <c r="B65" s="69">
        <f t="shared" si="1"/>
        <v>24.474461063302599</v>
      </c>
      <c r="C65" s="21">
        <v>25.799877645094693</v>
      </c>
      <c r="D65" s="21">
        <v>40.052888260284789</v>
      </c>
      <c r="E65" s="21">
        <v>40.052888260284789</v>
      </c>
      <c r="F65" s="19">
        <v>25.623541336797413</v>
      </c>
      <c r="G65" s="21">
        <v>1.109307098589577</v>
      </c>
      <c r="H65" s="27">
        <v>1.109307098589577</v>
      </c>
      <c r="I65" s="19">
        <v>1.0781521931526206</v>
      </c>
      <c r="J65" s="21">
        <v>806.13639870177178</v>
      </c>
      <c r="K65" s="21">
        <v>806.13639870177178</v>
      </c>
      <c r="L65" s="19">
        <v>817.98562570003912</v>
      </c>
      <c r="M65" s="21">
        <v>2.9827742110725635</v>
      </c>
      <c r="N65" s="21">
        <v>2.9827742110725635</v>
      </c>
      <c r="O65" s="19">
        <v>3.7045606083564451</v>
      </c>
      <c r="P65" s="19">
        <v>0.65533044724470579</v>
      </c>
      <c r="Q65" s="19">
        <v>0.65533044724470579</v>
      </c>
      <c r="R65" s="19">
        <v>0.65533044724470579</v>
      </c>
    </row>
    <row r="66" spans="1:18" outlineLevel="1" x14ac:dyDescent="0.25">
      <c r="A66" s="67">
        <v>8</v>
      </c>
      <c r="B66" s="69">
        <f t="shared" si="1"/>
        <v>28.386871240519699</v>
      </c>
      <c r="C66" s="21">
        <v>29.933190585943809</v>
      </c>
      <c r="D66" s="21">
        <v>44.571532055403182</v>
      </c>
      <c r="E66" s="21">
        <v>44.571532055403182</v>
      </c>
      <c r="F66" s="19">
        <v>28.434258508759868</v>
      </c>
      <c r="G66" s="21">
        <v>1.1190352571119691</v>
      </c>
      <c r="H66" s="27">
        <v>1.1190352571119691</v>
      </c>
      <c r="I66" s="19">
        <v>1.0842348560073236</v>
      </c>
      <c r="J66" s="21">
        <v>802.58161911389709</v>
      </c>
      <c r="K66" s="21">
        <v>802.58161911389709</v>
      </c>
      <c r="L66" s="19">
        <v>815.61359942862146</v>
      </c>
      <c r="M66" s="21">
        <v>2.8029912759455518</v>
      </c>
      <c r="N66" s="21">
        <v>2.8029912759455518</v>
      </c>
      <c r="O66" s="19">
        <v>3.5427251167176572</v>
      </c>
      <c r="P66" s="19">
        <v>0.61117371972981938</v>
      </c>
      <c r="Q66" s="19">
        <v>0.61117371972981938</v>
      </c>
      <c r="R66" s="19">
        <v>0.61117371972981938</v>
      </c>
    </row>
    <row r="67" spans="1:18" outlineLevel="1" x14ac:dyDescent="0.25">
      <c r="A67" s="67">
        <v>9</v>
      </c>
      <c r="B67" s="69">
        <f t="shared" si="1"/>
        <v>32.2992814177368</v>
      </c>
      <c r="C67" s="21">
        <v>34.066503526792921</v>
      </c>
      <c r="D67" s="21">
        <v>48.974345089004089</v>
      </c>
      <c r="E67" s="21">
        <v>48.974345089004089</v>
      </c>
      <c r="F67" s="19">
        <v>31.136640453495396</v>
      </c>
      <c r="G67" s="21">
        <v>1.1285059958634507</v>
      </c>
      <c r="H67" s="27">
        <v>1.1285059958634507</v>
      </c>
      <c r="I67" s="19">
        <v>1.0900758367640202</v>
      </c>
      <c r="J67" s="21">
        <v>799.18261266003344</v>
      </c>
      <c r="K67" s="21">
        <v>799.18261266003344</v>
      </c>
      <c r="L67" s="19">
        <v>813.36335844435564</v>
      </c>
      <c r="M67" s="21">
        <v>2.6440875665875674</v>
      </c>
      <c r="N67" s="21">
        <v>2.6440875665875674</v>
      </c>
      <c r="O67" s="19">
        <v>3.3978751247133236</v>
      </c>
      <c r="P67" s="19">
        <v>0.56940191489666614</v>
      </c>
      <c r="Q67" s="19">
        <v>0.56940191489666614</v>
      </c>
      <c r="R67" s="19">
        <v>0.56940191489666614</v>
      </c>
    </row>
    <row r="68" spans="1:18" outlineLevel="1" x14ac:dyDescent="0.25">
      <c r="A68" s="67">
        <v>10</v>
      </c>
      <c r="B68" s="69">
        <f t="shared" si="1"/>
        <v>36.211691594953898</v>
      </c>
      <c r="C68" s="21">
        <v>38.199816467642037</v>
      </c>
      <c r="D68" s="21">
        <v>53.292717487793936</v>
      </c>
      <c r="E68" s="21">
        <v>53.292717487793936</v>
      </c>
      <c r="F68" s="19">
        <v>33.752193643695144</v>
      </c>
      <c r="G68" s="21">
        <v>1.1377895920995427</v>
      </c>
      <c r="H68" s="27">
        <v>1.1377895920995427</v>
      </c>
      <c r="I68" s="19">
        <v>1.0957231618556211</v>
      </c>
      <c r="J68" s="21">
        <v>795.90761363649358</v>
      </c>
      <c r="K68" s="21">
        <v>795.90761363649358</v>
      </c>
      <c r="L68" s="19">
        <v>811.21269443355402</v>
      </c>
      <c r="M68" s="21">
        <v>2.5018697770753873</v>
      </c>
      <c r="N68" s="21">
        <v>2.5018697770753873</v>
      </c>
      <c r="O68" s="19">
        <v>3.2667435333569461</v>
      </c>
      <c r="P68" s="19">
        <v>0.52921618930122938</v>
      </c>
      <c r="Q68" s="19">
        <v>0.52921618930122938</v>
      </c>
      <c r="R68" s="19">
        <v>0.52921618930122938</v>
      </c>
    </row>
    <row r="69" spans="1:18" outlineLevel="1" x14ac:dyDescent="0.25">
      <c r="A69" s="67">
        <v>11</v>
      </c>
      <c r="B69" s="69">
        <f t="shared" si="1"/>
        <v>40.124101772170995</v>
      </c>
      <c r="C69" s="21">
        <v>42.333129408491153</v>
      </c>
      <c r="D69" s="21">
        <v>57.550058755974867</v>
      </c>
      <c r="E69" s="21">
        <v>57.550058755974867</v>
      </c>
      <c r="F69" s="19">
        <v>36.296887505293427</v>
      </c>
      <c r="G69" s="21">
        <v>1.1469384977452866</v>
      </c>
      <c r="H69" s="27">
        <v>1.1469384977452866</v>
      </c>
      <c r="I69" s="19">
        <v>1.1012125023985289</v>
      </c>
      <c r="J69" s="21">
        <v>792.73320804464083</v>
      </c>
      <c r="K69" s="21">
        <v>792.73320804464083</v>
      </c>
      <c r="L69" s="19">
        <v>809.14513164797336</v>
      </c>
      <c r="M69" s="21">
        <v>2.3733236344723148</v>
      </c>
      <c r="N69" s="21">
        <v>2.3733236344723148</v>
      </c>
      <c r="O69" s="19">
        <v>3.1469468665314451</v>
      </c>
      <c r="P69" s="19">
        <v>0.48979006512275197</v>
      </c>
      <c r="Q69" s="19">
        <v>0.48979006512275197</v>
      </c>
      <c r="R69" s="19">
        <v>0.48979006512275197</v>
      </c>
    </row>
    <row r="70" spans="1:18" outlineLevel="1" x14ac:dyDescent="0.25">
      <c r="A70" s="67">
        <v>12</v>
      </c>
      <c r="B70" s="69">
        <f t="shared" si="1"/>
        <v>44.036511949388093</v>
      </c>
      <c r="C70" s="21">
        <v>46.466442349340269</v>
      </c>
      <c r="D70" s="21">
        <v>61.764412255320103</v>
      </c>
      <c r="E70" s="21">
        <v>61.764412255320103</v>
      </c>
      <c r="F70" s="19">
        <v>38.782988958646548</v>
      </c>
      <c r="G70" s="21">
        <v>1.1559931694914984</v>
      </c>
      <c r="H70" s="27">
        <v>1.1559931694914984</v>
      </c>
      <c r="I70" s="19">
        <v>1.1065712681455278</v>
      </c>
      <c r="J70" s="21">
        <v>789.64161018197126</v>
      </c>
      <c r="K70" s="21">
        <v>789.64161018197126</v>
      </c>
      <c r="L70" s="19">
        <v>807.14803468951311</v>
      </c>
      <c r="M70" s="21">
        <v>2.2562077321094072</v>
      </c>
      <c r="N70" s="21">
        <v>2.2562077321094072</v>
      </c>
      <c r="O70" s="19">
        <v>3.0366879623804053</v>
      </c>
      <c r="P70" s="19">
        <v>0.45046392616810066</v>
      </c>
      <c r="Q70" s="19">
        <v>0.45046392616810066</v>
      </c>
      <c r="R70" s="19">
        <v>0.45046392616810066</v>
      </c>
    </row>
    <row r="71" spans="1:18" outlineLevel="1" x14ac:dyDescent="0.25">
      <c r="A71" s="67">
        <v>13</v>
      </c>
      <c r="B71" s="69">
        <f t="shared" si="1"/>
        <v>47.94892212660519</v>
      </c>
      <c r="C71" s="21">
        <v>50.599755290189385</v>
      </c>
      <c r="D71" s="21">
        <v>65.950055317721166</v>
      </c>
      <c r="E71" s="21">
        <v>65.950055317721166</v>
      </c>
      <c r="F71" s="19">
        <v>41.220177842720339</v>
      </c>
      <c r="G71" s="21">
        <v>1.1649856372563565</v>
      </c>
      <c r="H71" s="27">
        <v>1.1649856372563565</v>
      </c>
      <c r="I71" s="19">
        <v>1.1118210962224648</v>
      </c>
      <c r="J71" s="21">
        <v>786.61899211509945</v>
      </c>
      <c r="K71" s="21">
        <v>786.61899211509945</v>
      </c>
      <c r="L71" s="19">
        <v>805.21145616954971</v>
      </c>
      <c r="M71" s="21">
        <v>2.1488090744253334</v>
      </c>
      <c r="N71" s="21">
        <v>2.1488090744253334</v>
      </c>
      <c r="O71" s="19">
        <v>2.9345755861968539</v>
      </c>
      <c r="P71" s="19">
        <v>0.411052572424978</v>
      </c>
      <c r="Q71" s="19">
        <v>0.411052572424978</v>
      </c>
      <c r="R71" s="19">
        <v>0.411052572424978</v>
      </c>
    </row>
    <row r="72" spans="1:18" outlineLevel="1" x14ac:dyDescent="0.25">
      <c r="A72" s="67">
        <v>14</v>
      </c>
      <c r="B72" s="69">
        <f t="shared" si="1"/>
        <v>51.861332303822287</v>
      </c>
      <c r="C72" s="21">
        <v>54.733068231038501</v>
      </c>
      <c r="D72" s="21">
        <v>70.118529822505295</v>
      </c>
      <c r="E72" s="21">
        <v>70.118529822505295</v>
      </c>
      <c r="F72" s="19">
        <v>43.616261568204592</v>
      </c>
      <c r="G72" s="21">
        <v>1.1739418023123269</v>
      </c>
      <c r="H72" s="27">
        <v>1.1739418023123269</v>
      </c>
      <c r="I72" s="19">
        <v>1.116979445434888</v>
      </c>
      <c r="J72" s="21">
        <v>783.65440578642233</v>
      </c>
      <c r="K72" s="21">
        <v>783.65440578642233</v>
      </c>
      <c r="L72" s="19">
        <v>803.32739729257537</v>
      </c>
      <c r="M72" s="21">
        <v>2.0497884232094128</v>
      </c>
      <c r="N72" s="21">
        <v>2.0497884232094128</v>
      </c>
      <c r="O72" s="19">
        <v>2.8395092746628738</v>
      </c>
      <c r="P72" s="19">
        <v>0.3722088725726303</v>
      </c>
      <c r="Q72" s="19">
        <v>0.3722088725726303</v>
      </c>
      <c r="R72" s="19">
        <v>0.3722088725726303</v>
      </c>
    </row>
    <row r="73" spans="1:18" outlineLevel="1" x14ac:dyDescent="0.25">
      <c r="A73" s="67">
        <v>15</v>
      </c>
      <c r="B73" s="69">
        <f t="shared" si="1"/>
        <v>55.773742481039385</v>
      </c>
      <c r="C73" s="21">
        <v>58.866381171887618</v>
      </c>
      <c r="D73" s="21">
        <v>74.279333899938706</v>
      </c>
      <c r="E73" s="21">
        <v>74.279333899938706</v>
      </c>
      <c r="F73" s="19">
        <v>45.977652729515846</v>
      </c>
      <c r="G73" s="21">
        <v>1.1828829797788563</v>
      </c>
      <c r="H73" s="27">
        <v>1.1828829797788563</v>
      </c>
      <c r="I73" s="19">
        <v>1.1220606616411368</v>
      </c>
      <c r="J73" s="21">
        <v>780.73905817001787</v>
      </c>
      <c r="K73" s="21">
        <v>780.73905817001787</v>
      </c>
      <c r="L73" s="19">
        <v>801.48931299525373</v>
      </c>
      <c r="M73" s="21">
        <v>1.9580784227169492</v>
      </c>
      <c r="N73" s="21">
        <v>1.9580784227169492</v>
      </c>
      <c r="O73" s="19">
        <v>2.7506027485000617</v>
      </c>
      <c r="P73" s="19">
        <v>0.33559997624763432</v>
      </c>
      <c r="Q73" s="19">
        <v>0.33559997624763432</v>
      </c>
      <c r="R73" s="19">
        <v>0.33559997624763432</v>
      </c>
    </row>
    <row r="74" spans="1:18" outlineLevel="1" x14ac:dyDescent="0.25">
      <c r="A74" s="67">
        <v>16</v>
      </c>
      <c r="B74" s="69">
        <f t="shared" si="1"/>
        <v>59.686152658256482</v>
      </c>
      <c r="C74" s="21">
        <v>62.999694112736734</v>
      </c>
      <c r="D74" s="21">
        <v>78.440402271586834</v>
      </c>
      <c r="E74" s="21">
        <v>78.440402271586834</v>
      </c>
      <c r="F74" s="19">
        <v>48.309699591654223</v>
      </c>
      <c r="G74" s="21">
        <v>1.1918269697661616</v>
      </c>
      <c r="H74" s="27">
        <v>1.1918269697661616</v>
      </c>
      <c r="I74" s="19">
        <v>1.127076714877574</v>
      </c>
      <c r="J74" s="21">
        <v>777.86580698080127</v>
      </c>
      <c r="K74" s="21">
        <v>777.86580698080127</v>
      </c>
      <c r="L74" s="19">
        <v>799.69176906621647</v>
      </c>
      <c r="M74" s="21">
        <v>1.8728142105837864</v>
      </c>
      <c r="N74" s="21">
        <v>1.8728142105837864</v>
      </c>
      <c r="O74" s="19">
        <v>2.6671312268979261</v>
      </c>
      <c r="P74" s="19">
        <v>0.30348419090129947</v>
      </c>
      <c r="Q74" s="19">
        <v>0.30348419090129947</v>
      </c>
      <c r="R74" s="19">
        <v>0.30348419090129947</v>
      </c>
    </row>
    <row r="75" spans="1:18" outlineLevel="1" x14ac:dyDescent="0.25">
      <c r="A75" s="67">
        <v>17</v>
      </c>
      <c r="B75" s="69">
        <f t="shared" si="1"/>
        <v>63.598562835473579</v>
      </c>
      <c r="C75" s="21">
        <v>67.133007053585843</v>
      </c>
      <c r="D75" s="21">
        <v>82.608449498452316</v>
      </c>
      <c r="E75" s="21">
        <v>82.608449498452316</v>
      </c>
      <c r="F75" s="19">
        <v>50.616921540940915</v>
      </c>
      <c r="G75" s="21">
        <v>1.2007888227783161</v>
      </c>
      <c r="H75" s="27">
        <v>1.2007888227783161</v>
      </c>
      <c r="I75" s="19">
        <v>1.1320377244181339</v>
      </c>
      <c r="J75" s="21">
        <v>775.0287996296521</v>
      </c>
      <c r="K75" s="21">
        <v>775.0287996296521</v>
      </c>
      <c r="L75" s="19">
        <v>797.9301975973334</v>
      </c>
      <c r="M75" s="21">
        <v>1.7932848067751939</v>
      </c>
      <c r="N75" s="21">
        <v>1.7932848067751939</v>
      </c>
      <c r="O75" s="19">
        <v>2.5884941424956134</v>
      </c>
      <c r="P75" s="19">
        <v>0.27754601698039399</v>
      </c>
      <c r="Q75" s="19">
        <v>0.27754601698039399</v>
      </c>
      <c r="R75" s="19">
        <v>0.27754601698039399</v>
      </c>
    </row>
    <row r="76" spans="1:18" outlineLevel="1" x14ac:dyDescent="0.25">
      <c r="A76" s="67">
        <v>18</v>
      </c>
      <c r="B76" s="69">
        <f t="shared" si="1"/>
        <v>67.510973012690684</v>
      </c>
      <c r="C76" s="21">
        <v>71.266319994434951</v>
      </c>
      <c r="D76" s="21">
        <v>86.789221323931272</v>
      </c>
      <c r="E76" s="21">
        <v>86.789221323931272</v>
      </c>
      <c r="F76" s="19">
        <v>52.903181046423512</v>
      </c>
      <c r="G76" s="21">
        <v>1.2097814001329776</v>
      </c>
      <c r="H76" s="27">
        <v>1.2097814001329776</v>
      </c>
      <c r="I76" s="19">
        <v>1.1369523424914105</v>
      </c>
      <c r="J76" s="21">
        <v>772.22320832616901</v>
      </c>
      <c r="K76" s="21">
        <v>772.22320832616901</v>
      </c>
      <c r="L76" s="19">
        <v>796.20071797858122</v>
      </c>
      <c r="M76" s="21">
        <v>1.7188982309231766</v>
      </c>
      <c r="N76" s="21">
        <v>1.7188982309231766</v>
      </c>
      <c r="O76" s="19">
        <v>2.5141881102323409</v>
      </c>
      <c r="P76" s="19">
        <v>0.25774483164078632</v>
      </c>
      <c r="Q76" s="19">
        <v>0.25774483164078632</v>
      </c>
      <c r="R76" s="19">
        <v>0.25774483164078632</v>
      </c>
    </row>
    <row r="77" spans="1:18" outlineLevel="1" x14ac:dyDescent="0.25">
      <c r="A77" s="67">
        <v>19</v>
      </c>
      <c r="B77" s="69">
        <f t="shared" si="1"/>
        <v>71.423383189907781</v>
      </c>
      <c r="C77" s="21">
        <v>75.39963293528406</v>
      </c>
      <c r="D77" s="21">
        <v>90.987682637764451</v>
      </c>
      <c r="E77" s="21">
        <v>90.987682637764451</v>
      </c>
      <c r="F77" s="19">
        <v>55.171811969591133</v>
      </c>
      <c r="G77" s="21">
        <v>1.2188157928735559</v>
      </c>
      <c r="H77" s="27">
        <v>1.2188157928735559</v>
      </c>
      <c r="I77" s="19">
        <v>1.1418280401179879</v>
      </c>
      <c r="J77" s="21">
        <v>769.44503164333514</v>
      </c>
      <c r="K77" s="21">
        <v>769.44503164333514</v>
      </c>
      <c r="L77" s="19">
        <v>794.50000350712469</v>
      </c>
      <c r="M77" s="21">
        <v>1.6491559463740972</v>
      </c>
      <c r="N77" s="21">
        <v>1.6491559463740972</v>
      </c>
      <c r="O77" s="19">
        <v>2.4437869174805269</v>
      </c>
      <c r="P77" s="19">
        <v>0.24238212454847693</v>
      </c>
      <c r="Q77" s="19">
        <v>0.24238212454847693</v>
      </c>
      <c r="R77" s="19">
        <v>0.24238212454847693</v>
      </c>
    </row>
    <row r="78" spans="1:18" outlineLevel="1" x14ac:dyDescent="0.25">
      <c r="A78" s="67">
        <v>20</v>
      </c>
      <c r="B78" s="69">
        <f t="shared" si="1"/>
        <v>75.335793367124879</v>
      </c>
      <c r="C78" s="21">
        <v>79.532945876133169</v>
      </c>
      <c r="D78" s="21">
        <v>95.208160649541654</v>
      </c>
      <c r="E78" s="21">
        <v>95.208160649541654</v>
      </c>
      <c r="F78" s="19">
        <v>57.425717105722477</v>
      </c>
      <c r="G78" s="21">
        <v>1.2279016413818555</v>
      </c>
      <c r="H78" s="27">
        <v>1.2279016413818555</v>
      </c>
      <c r="I78" s="19">
        <v>1.1466713248190645</v>
      </c>
      <c r="J78" s="21">
        <v>766.69094264457976</v>
      </c>
      <c r="K78" s="21">
        <v>766.69094264457976</v>
      </c>
      <c r="L78" s="19">
        <v>792.82517957366122</v>
      </c>
      <c r="M78" s="21">
        <v>1.5836337954630948</v>
      </c>
      <c r="N78" s="21">
        <v>1.5836337954630948</v>
      </c>
      <c r="O78" s="19">
        <v>2.3769264400394707</v>
      </c>
      <c r="P78" s="19">
        <v>0.22938584901705888</v>
      </c>
      <c r="Q78" s="19">
        <v>0.22938584901705888</v>
      </c>
      <c r="R78" s="19">
        <v>0.22938584901705888</v>
      </c>
    </row>
    <row r="79" spans="1:18" outlineLevel="1" x14ac:dyDescent="0.25">
      <c r="A79" s="67">
        <v>21</v>
      </c>
      <c r="B79" s="70">
        <f>G23</f>
        <v>79.24820354434199</v>
      </c>
      <c r="C79" s="21">
        <v>83.666258816982307</v>
      </c>
      <c r="D79" s="21">
        <v>99.45445572300568</v>
      </c>
      <c r="E79" s="21">
        <v>99.45445572300568</v>
      </c>
      <c r="F79" s="19">
        <v>59.66744356118442</v>
      </c>
      <c r="G79" s="21">
        <v>1.2383330749167678</v>
      </c>
      <c r="H79" s="27">
        <v>1.2383330749167678</v>
      </c>
      <c r="I79" s="19">
        <v>1.1514879086630763</v>
      </c>
      <c r="J79" s="21">
        <v>763.16499585806275</v>
      </c>
      <c r="K79" s="21">
        <v>763.16499585806275</v>
      </c>
      <c r="L79" s="19">
        <v>791.17374503465544</v>
      </c>
      <c r="M79" s="21">
        <v>1.521967549138763</v>
      </c>
      <c r="N79" s="21">
        <v>1.521967549138763</v>
      </c>
      <c r="O79" s="19">
        <v>2.3132930880136202</v>
      </c>
      <c r="P79" s="19">
        <v>0.21741280605664562</v>
      </c>
      <c r="Q79" s="19">
        <v>0.21741280605664562</v>
      </c>
      <c r="R79" s="19">
        <v>0.21741280605664562</v>
      </c>
    </row>
    <row r="80" spans="1:18" outlineLevel="1" x14ac:dyDescent="0.25">
      <c r="A80" s="67">
        <v>22</v>
      </c>
      <c r="B80" s="69">
        <f t="shared" ref="B80:B98" si="2">($B$99-$B$79)/($A$99-$A$79)+B79</f>
        <v>90.285793367124896</v>
      </c>
      <c r="C80" s="21">
        <v>94.482945876133186</v>
      </c>
      <c r="D80" s="21">
        <v>100</v>
      </c>
      <c r="E80" s="21">
        <v>100</v>
      </c>
      <c r="F80" s="19">
        <v>65.491969681483809</v>
      </c>
      <c r="G80" s="21">
        <v>1.2344741934623329</v>
      </c>
      <c r="H80" s="27">
        <v>1.2344741934623329</v>
      </c>
      <c r="I80" s="19">
        <v>1.1640014722311862</v>
      </c>
      <c r="J80" s="21">
        <v>765.9285264992867</v>
      </c>
      <c r="K80" s="21">
        <v>765.9285264992867</v>
      </c>
      <c r="L80" s="19">
        <v>786.94752489967357</v>
      </c>
      <c r="M80" s="21">
        <v>1.5426582106744255</v>
      </c>
      <c r="N80" s="21">
        <v>1.5426582106744255</v>
      </c>
      <c r="O80" s="19">
        <v>2.1601587186361466</v>
      </c>
      <c r="P80" s="19">
        <v>0.21266235482341828</v>
      </c>
      <c r="Q80" s="19">
        <v>0.21266235482341828</v>
      </c>
      <c r="R80" s="19">
        <v>0.21266235482341828</v>
      </c>
    </row>
    <row r="81" spans="1:18" outlineLevel="1" x14ac:dyDescent="0.25">
      <c r="A81" s="67">
        <v>23</v>
      </c>
      <c r="B81" s="69">
        <f t="shared" si="2"/>
        <v>101.3233831899078</v>
      </c>
      <c r="C81" s="21">
        <v>105.29963293528407</v>
      </c>
      <c r="D81" s="21">
        <v>100</v>
      </c>
      <c r="E81" s="21">
        <v>100</v>
      </c>
      <c r="F81" s="19">
        <v>71.280832799048497</v>
      </c>
      <c r="G81" s="21">
        <v>1.2314166781275693</v>
      </c>
      <c r="H81" s="27">
        <v>1.2314166781275693</v>
      </c>
      <c r="I81" s="19">
        <v>1.1764392970858519</v>
      </c>
      <c r="J81" s="21">
        <v>767.83026963522127</v>
      </c>
      <c r="K81" s="21">
        <v>767.83026963522127</v>
      </c>
      <c r="L81" s="19">
        <v>782.8356785451806</v>
      </c>
      <c r="M81" s="21">
        <v>1.5709801148347229</v>
      </c>
      <c r="N81" s="21">
        <v>1.5709801148347229</v>
      </c>
      <c r="O81" s="19">
        <v>2.0234832450984848</v>
      </c>
      <c r="P81" s="19">
        <v>0.20797751468139458</v>
      </c>
      <c r="Q81" s="19">
        <v>0.20797751468139458</v>
      </c>
      <c r="R81" s="19">
        <v>0.20797751468139458</v>
      </c>
    </row>
    <row r="82" spans="1:18" outlineLevel="1" x14ac:dyDescent="0.25">
      <c r="A82" s="67">
        <v>24</v>
      </c>
      <c r="B82" s="69">
        <f t="shared" si="2"/>
        <v>112.36097301269071</v>
      </c>
      <c r="C82" s="21">
        <v>116.11631999443495</v>
      </c>
      <c r="D82" s="21">
        <v>100</v>
      </c>
      <c r="E82" s="21">
        <v>100</v>
      </c>
      <c r="F82" s="19">
        <v>77.059227922144487</v>
      </c>
      <c r="G82" s="21">
        <v>1.2289343904608365</v>
      </c>
      <c r="H82" s="27">
        <v>1.2289343904608365</v>
      </c>
      <c r="I82" s="19">
        <v>1.1888579214153203</v>
      </c>
      <c r="J82" s="21">
        <v>769.38118693662807</v>
      </c>
      <c r="K82" s="21">
        <v>769.38118693662807</v>
      </c>
      <c r="L82" s="19">
        <v>778.81491509470379</v>
      </c>
      <c r="M82" s="21">
        <v>1.5993020189950202</v>
      </c>
      <c r="N82" s="21">
        <v>1.5993020189950202</v>
      </c>
      <c r="O82" s="19">
        <v>1.9004382379750209</v>
      </c>
      <c r="P82" s="19">
        <v>0.20335122608945377</v>
      </c>
      <c r="Q82" s="19">
        <v>0.20335122608945377</v>
      </c>
      <c r="R82" s="19">
        <v>0.20335122608945377</v>
      </c>
    </row>
    <row r="83" spans="1:18" outlineLevel="1" x14ac:dyDescent="0.25">
      <c r="A83" s="67">
        <v>25</v>
      </c>
      <c r="B83" s="69">
        <f t="shared" si="2"/>
        <v>123.39856283547361</v>
      </c>
      <c r="C83" s="21">
        <v>126.93300705358583</v>
      </c>
      <c r="D83" s="21">
        <v>100</v>
      </c>
      <c r="E83" s="21">
        <v>100</v>
      </c>
      <c r="F83" s="19">
        <v>82.846861015682933</v>
      </c>
      <c r="G83" s="21">
        <v>1.2268789603286467</v>
      </c>
      <c r="H83" s="27">
        <v>1.2268789603286467</v>
      </c>
      <c r="I83" s="19">
        <v>1.2013015363275723</v>
      </c>
      <c r="J83" s="21">
        <v>770.67015620409836</v>
      </c>
      <c r="K83" s="21">
        <v>770.67015620409836</v>
      </c>
      <c r="L83" s="19">
        <v>774.86774046560163</v>
      </c>
      <c r="M83" s="21">
        <v>1.6276239231553176</v>
      </c>
      <c r="N83" s="21">
        <v>1.6276239231553176</v>
      </c>
      <c r="O83" s="19">
        <v>1.7889024964813409</v>
      </c>
      <c r="P83" s="19">
        <v>0.19877912939800127</v>
      </c>
      <c r="Q83" s="19">
        <v>0.19877912939800127</v>
      </c>
      <c r="R83" s="19">
        <v>0.19877912939800127</v>
      </c>
    </row>
    <row r="84" spans="1:18" outlineLevel="1" x14ac:dyDescent="0.25">
      <c r="A84" s="67">
        <v>26</v>
      </c>
      <c r="B84" s="69">
        <f t="shared" si="2"/>
        <v>134.4361526582565</v>
      </c>
      <c r="C84" s="21">
        <v>137.74969411273671</v>
      </c>
      <c r="D84" s="21">
        <v>100</v>
      </c>
      <c r="E84" s="21">
        <v>100</v>
      </c>
      <c r="F84" s="19">
        <v>88.659511554812383</v>
      </c>
      <c r="G84" s="21">
        <v>1.2251490028392711</v>
      </c>
      <c r="H84" s="27">
        <v>1.2251490028392711</v>
      </c>
      <c r="I84" s="19">
        <v>1.213805469937439</v>
      </c>
      <c r="J84" s="21">
        <v>771.75837209087933</v>
      </c>
      <c r="K84" s="21">
        <v>771.75837209087933</v>
      </c>
      <c r="L84" s="19">
        <v>770.98081271193587</v>
      </c>
      <c r="M84" s="21">
        <v>1.6559458273156149</v>
      </c>
      <c r="N84" s="21">
        <v>1.6559458273156149</v>
      </c>
      <c r="O84" s="19">
        <v>1.6872423202942501</v>
      </c>
      <c r="P84" s="19">
        <v>0.19425810064477733</v>
      </c>
      <c r="Q84" s="19">
        <v>0.19425810064477733</v>
      </c>
      <c r="R84" s="19">
        <v>0.19425810064477733</v>
      </c>
    </row>
    <row r="85" spans="1:18" outlineLevel="1" x14ac:dyDescent="0.25">
      <c r="A85" s="67">
        <v>27</v>
      </c>
      <c r="B85" s="69">
        <f t="shared" si="2"/>
        <v>145.47374248103941</v>
      </c>
      <c r="C85" s="21">
        <v>148.5663811718876</v>
      </c>
      <c r="D85" s="21">
        <v>100</v>
      </c>
      <c r="E85" s="21">
        <v>100</v>
      </c>
      <c r="F85" s="19">
        <v>94.510062173653239</v>
      </c>
      <c r="G85" s="21">
        <v>1.2236728842340554</v>
      </c>
      <c r="H85" s="27">
        <v>1.2236728842340554</v>
      </c>
      <c r="I85" s="19">
        <v>1.2263984833081103</v>
      </c>
      <c r="J85" s="21">
        <v>772.68934547964363</v>
      </c>
      <c r="K85" s="21">
        <v>772.68934547964363</v>
      </c>
      <c r="L85" s="19">
        <v>767.14385485253536</v>
      </c>
      <c r="M85" s="21">
        <v>1.6842677314759122</v>
      </c>
      <c r="N85" s="21">
        <v>1.6842677314759122</v>
      </c>
      <c r="O85" s="19">
        <v>1.5941707956275797</v>
      </c>
      <c r="P85" s="19">
        <v>0.18978557072058924</v>
      </c>
      <c r="Q85" s="19">
        <v>0.18978557072058924</v>
      </c>
      <c r="R85" s="19">
        <v>0.18978557072058924</v>
      </c>
    </row>
    <row r="86" spans="1:18" outlineLevel="1" x14ac:dyDescent="0.25">
      <c r="A86" s="67">
        <v>28</v>
      </c>
      <c r="B86" s="69">
        <f t="shared" si="2"/>
        <v>156.51133230382231</v>
      </c>
      <c r="C86" s="21">
        <v>159.38306823103849</v>
      </c>
      <c r="D86" s="21">
        <v>100</v>
      </c>
      <c r="E86" s="21">
        <v>100</v>
      </c>
      <c r="F86" s="19">
        <v>100</v>
      </c>
      <c r="G86" s="21">
        <v>1.22239855494178</v>
      </c>
      <c r="H86" s="27">
        <v>1.22239855494178</v>
      </c>
      <c r="I86" s="19">
        <v>1.2379637489967621</v>
      </c>
      <c r="J86" s="21">
        <v>773.4948607208006</v>
      </c>
      <c r="K86" s="21">
        <v>773.4948607208006</v>
      </c>
      <c r="L86" s="19">
        <v>763.76953748948029</v>
      </c>
      <c r="M86" s="21">
        <v>1.7125896356362094</v>
      </c>
      <c r="N86" s="21">
        <v>1.7125896356362094</v>
      </c>
      <c r="O86" s="19">
        <v>1.5167597503430845</v>
      </c>
      <c r="P86" s="19">
        <v>0.1853592492459086</v>
      </c>
      <c r="Q86" s="19">
        <v>0.1853592492459086</v>
      </c>
      <c r="R86" s="19">
        <v>0.1853592492459086</v>
      </c>
    </row>
    <row r="87" spans="1:18" outlineLevel="1" x14ac:dyDescent="0.25">
      <c r="A87" s="67">
        <v>29</v>
      </c>
      <c r="B87" s="69">
        <f t="shared" si="2"/>
        <v>167.54892212660522</v>
      </c>
      <c r="C87" s="21">
        <v>170.19975529018939</v>
      </c>
      <c r="D87" s="21">
        <v>100</v>
      </c>
      <c r="E87" s="21">
        <v>100</v>
      </c>
      <c r="F87" s="19">
        <v>100</v>
      </c>
      <c r="G87" s="21">
        <v>1.2212872851100083</v>
      </c>
      <c r="H87" s="27">
        <v>1.2212872851100083</v>
      </c>
      <c r="I87" s="19">
        <v>1.2358441492175039</v>
      </c>
      <c r="J87" s="21">
        <v>774.19867669778591</v>
      </c>
      <c r="K87" s="21">
        <v>774.19867669778591</v>
      </c>
      <c r="L87" s="19">
        <v>765.07948077326068</v>
      </c>
      <c r="M87" s="21">
        <v>1.7409115397965069</v>
      </c>
      <c r="N87" s="21">
        <v>1.7409115397965069</v>
      </c>
      <c r="O87" s="19">
        <v>1.531791468729228</v>
      </c>
      <c r="P87" s="19">
        <v>0.18097702393248435</v>
      </c>
      <c r="Q87" s="19">
        <v>0.18097702393248435</v>
      </c>
      <c r="R87" s="19">
        <v>0.18097702393248435</v>
      </c>
    </row>
    <row r="88" spans="1:18" outlineLevel="1" x14ac:dyDescent="0.25">
      <c r="A88" s="67">
        <v>30</v>
      </c>
      <c r="B88" s="69">
        <f t="shared" si="2"/>
        <v>178.58651194938813</v>
      </c>
      <c r="C88" s="21">
        <v>181.01644234934028</v>
      </c>
      <c r="D88" s="21">
        <v>100</v>
      </c>
      <c r="E88" s="21">
        <v>100</v>
      </c>
      <c r="F88" s="19">
        <v>100</v>
      </c>
      <c r="G88" s="21">
        <v>1.2203096601306749</v>
      </c>
      <c r="H88" s="27">
        <v>1.2203096601306749</v>
      </c>
      <c r="I88" s="19">
        <v>1.2339808686224301</v>
      </c>
      <c r="J88" s="21">
        <v>774.81890940595406</v>
      </c>
      <c r="K88" s="21">
        <v>774.81890940595406</v>
      </c>
      <c r="L88" s="19">
        <v>766.23473186868932</v>
      </c>
      <c r="M88" s="21">
        <v>1.7692334439568043</v>
      </c>
      <c r="N88" s="21">
        <v>1.7692334439568043</v>
      </c>
      <c r="O88" s="19">
        <v>1.5468231871153715</v>
      </c>
      <c r="P88" s="19">
        <v>0.1766369242556555</v>
      </c>
      <c r="Q88" s="19">
        <v>0.1766369242556555</v>
      </c>
      <c r="R88" s="19">
        <v>0.1766369242556555</v>
      </c>
    </row>
    <row r="89" spans="1:18" outlineLevel="1" x14ac:dyDescent="0.25">
      <c r="A89" s="67">
        <v>31</v>
      </c>
      <c r="B89" s="69">
        <f t="shared" si="2"/>
        <v>189.62410177217103</v>
      </c>
      <c r="C89" s="21">
        <v>191.83312940849117</v>
      </c>
      <c r="D89" s="21">
        <v>100</v>
      </c>
      <c r="E89" s="21">
        <v>100</v>
      </c>
      <c r="F89" s="19">
        <v>100</v>
      </c>
      <c r="G89" s="21">
        <v>1.2194429389081696</v>
      </c>
      <c r="H89" s="27">
        <v>1.2194429389081696</v>
      </c>
      <c r="I89" s="19">
        <v>1.2323300656535405</v>
      </c>
      <c r="J89" s="21">
        <v>775.36961331423356</v>
      </c>
      <c r="K89" s="21">
        <v>775.36961331423356</v>
      </c>
      <c r="L89" s="19">
        <v>767.26116350862844</v>
      </c>
      <c r="M89" s="21">
        <v>1.7975553481171016</v>
      </c>
      <c r="N89" s="21">
        <v>1.7975553481171016</v>
      </c>
      <c r="O89" s="19">
        <v>1.561854905501515</v>
      </c>
      <c r="P89" s="19">
        <v>0.17233710532507002</v>
      </c>
      <c r="Q89" s="19">
        <v>0.17233710532507002</v>
      </c>
      <c r="R89" s="19">
        <v>0.17233710532507002</v>
      </c>
    </row>
    <row r="90" spans="1:18" outlineLevel="1" x14ac:dyDescent="0.25">
      <c r="A90" s="67">
        <v>32</v>
      </c>
      <c r="B90" s="69">
        <f t="shared" si="2"/>
        <v>200.66169159495394</v>
      </c>
      <c r="C90" s="21">
        <v>202.64981646764207</v>
      </c>
      <c r="D90" s="21">
        <v>100</v>
      </c>
      <c r="E90" s="21">
        <v>100</v>
      </c>
      <c r="F90" s="19">
        <v>100</v>
      </c>
      <c r="G90" s="21">
        <v>1.2186692628750737</v>
      </c>
      <c r="H90" s="27">
        <v>1.2186692628750737</v>
      </c>
      <c r="I90" s="19">
        <v>1.2308573574879496</v>
      </c>
      <c r="J90" s="21">
        <v>775.86185916377337</v>
      </c>
      <c r="K90" s="21">
        <v>775.86185916377337</v>
      </c>
      <c r="L90" s="19">
        <v>768.17918359744374</v>
      </c>
      <c r="M90" s="21">
        <v>1.8258772522773989</v>
      </c>
      <c r="N90" s="21">
        <v>1.8258772522773989</v>
      </c>
      <c r="O90" s="19">
        <v>1.5768866238876584</v>
      </c>
      <c r="P90" s="19">
        <v>0.1680758375079901</v>
      </c>
      <c r="Q90" s="19">
        <v>0.1680758375079901</v>
      </c>
      <c r="R90" s="19">
        <v>0.1680758375079901</v>
      </c>
    </row>
    <row r="91" spans="1:18" outlineLevel="1" x14ac:dyDescent="0.25">
      <c r="A91" s="67">
        <v>33</v>
      </c>
      <c r="B91" s="69">
        <f t="shared" si="2"/>
        <v>211.69928141773684</v>
      </c>
      <c r="C91" s="21">
        <v>213.46650352679296</v>
      </c>
      <c r="D91" s="21">
        <v>100</v>
      </c>
      <c r="E91" s="21">
        <v>100</v>
      </c>
      <c r="F91" s="19">
        <v>100</v>
      </c>
      <c r="G91" s="21">
        <v>1.217974412401708</v>
      </c>
      <c r="H91" s="27">
        <v>1.217974412401708</v>
      </c>
      <c r="I91" s="19">
        <v>1.2295353997806511</v>
      </c>
      <c r="J91" s="21">
        <v>776.30448585167176</v>
      </c>
      <c r="K91" s="21">
        <v>776.30448585167176</v>
      </c>
      <c r="L91" s="19">
        <v>769.00510564289607</v>
      </c>
      <c r="M91" s="21">
        <v>1.8541991564376963</v>
      </c>
      <c r="N91" s="21">
        <v>1.8541991564376963</v>
      </c>
      <c r="O91" s="19">
        <v>1.5919183422738019</v>
      </c>
      <c r="P91" s="19">
        <v>0.16385149786690129</v>
      </c>
      <c r="Q91" s="19">
        <v>0.16385149786690129</v>
      </c>
      <c r="R91" s="19">
        <v>0.16385149786690129</v>
      </c>
    </row>
    <row r="92" spans="1:18" outlineLevel="1" x14ac:dyDescent="0.25">
      <c r="A92" s="67">
        <v>34</v>
      </c>
      <c r="B92" s="69">
        <f t="shared" si="2"/>
        <v>222.73687124051975</v>
      </c>
      <c r="C92" s="21">
        <v>224.28319058594386</v>
      </c>
      <c r="D92" s="21">
        <v>100</v>
      </c>
      <c r="E92" s="21">
        <v>100</v>
      </c>
      <c r="F92" s="19">
        <v>100</v>
      </c>
      <c r="G92" s="21">
        <v>1.2173469248732085</v>
      </c>
      <c r="H92" s="27">
        <v>1.2173469248732085</v>
      </c>
      <c r="I92" s="19">
        <v>1.228342173349082</v>
      </c>
      <c r="J92" s="21">
        <v>776.70463586087385</v>
      </c>
      <c r="K92" s="21">
        <v>776.70463586087385</v>
      </c>
      <c r="L92" s="19">
        <v>769.75212649585819</v>
      </c>
      <c r="M92" s="21">
        <v>1.8825210605979936</v>
      </c>
      <c r="N92" s="21">
        <v>1.8825210605979936</v>
      </c>
      <c r="O92" s="19">
        <v>1.6069500606599454</v>
      </c>
      <c r="P92" s="19">
        <v>0.15966256248560404</v>
      </c>
      <c r="Q92" s="19">
        <v>0.15966256248560404</v>
      </c>
      <c r="R92" s="19">
        <v>0.15966256248560404</v>
      </c>
    </row>
    <row r="93" spans="1:18" outlineLevel="1" x14ac:dyDescent="0.25">
      <c r="A93" s="67">
        <v>35</v>
      </c>
      <c r="B93" s="69">
        <f t="shared" si="2"/>
        <v>233.77446106330265</v>
      </c>
      <c r="C93" s="21">
        <v>235.09987764509475</v>
      </c>
      <c r="D93" s="21">
        <v>100</v>
      </c>
      <c r="E93" s="21">
        <v>100</v>
      </c>
      <c r="F93" s="19">
        <v>100</v>
      </c>
      <c r="G93" s="21">
        <v>1.2167774573956183</v>
      </c>
      <c r="H93" s="27">
        <v>1.2167774573956183</v>
      </c>
      <c r="I93" s="19">
        <v>1.2272597480802436</v>
      </c>
      <c r="J93" s="21">
        <v>777.06814360596559</v>
      </c>
      <c r="K93" s="21">
        <v>777.06814360596559</v>
      </c>
      <c r="L93" s="19">
        <v>770.43103668888341</v>
      </c>
      <c r="M93" s="21">
        <v>1.9108429647582912</v>
      </c>
      <c r="N93" s="21">
        <v>1.9108429647582912</v>
      </c>
      <c r="O93" s="19">
        <v>1.6219817790460889</v>
      </c>
      <c r="P93" s="19">
        <v>0.15550759946200757</v>
      </c>
      <c r="Q93" s="19">
        <v>0.15550759946200757</v>
      </c>
      <c r="R93" s="19">
        <v>0.15550759946200757</v>
      </c>
    </row>
    <row r="94" spans="1:18" outlineLevel="1" x14ac:dyDescent="0.25">
      <c r="A94" s="67">
        <v>36</v>
      </c>
      <c r="B94" s="69">
        <f t="shared" si="2"/>
        <v>244.81205088608556</v>
      </c>
      <c r="C94" s="21">
        <v>245.91656470424564</v>
      </c>
      <c r="D94" s="21">
        <v>100</v>
      </c>
      <c r="E94" s="21">
        <v>100</v>
      </c>
      <c r="F94" s="19">
        <v>100</v>
      </c>
      <c r="G94" s="21">
        <v>1.2162583184648139</v>
      </c>
      <c r="H94" s="27">
        <v>1.2162583184648139</v>
      </c>
      <c r="I94" s="19">
        <v>1.2262733758653033</v>
      </c>
      <c r="J94" s="21">
        <v>777.39982176932062</v>
      </c>
      <c r="K94" s="21">
        <v>777.39982176932062</v>
      </c>
      <c r="L94" s="19">
        <v>771.05074497177861</v>
      </c>
      <c r="M94" s="21">
        <v>1.9391648689185883</v>
      </c>
      <c r="N94" s="21">
        <v>1.9391648689185883</v>
      </c>
      <c r="O94" s="19">
        <v>1.6370134974322323</v>
      </c>
      <c r="P94" s="19">
        <v>0.15138526248353421</v>
      </c>
      <c r="Q94" s="19">
        <v>0.15138526248353421</v>
      </c>
      <c r="R94" s="19">
        <v>0.15138526248353421</v>
      </c>
    </row>
    <row r="95" spans="1:18" outlineLevel="1" x14ac:dyDescent="0.25">
      <c r="A95" s="67">
        <v>37</v>
      </c>
      <c r="B95" s="69">
        <f t="shared" si="2"/>
        <v>255.84964070886846</v>
      </c>
      <c r="C95" s="21">
        <v>256.73325176339654</v>
      </c>
      <c r="D95" s="21">
        <v>100</v>
      </c>
      <c r="E95" s="21">
        <v>100</v>
      </c>
      <c r="F95" s="19">
        <v>100</v>
      </c>
      <c r="G95" s="21">
        <v>1.2157831185478021</v>
      </c>
      <c r="H95" s="27">
        <v>1.2157831185478021</v>
      </c>
      <c r="I95" s="19">
        <v>1.2253708147256817</v>
      </c>
      <c r="J95" s="21">
        <v>777.7036755777458</v>
      </c>
      <c r="K95" s="21">
        <v>777.7036755777458</v>
      </c>
      <c r="L95" s="19">
        <v>771.61867137472927</v>
      </c>
      <c r="M95" s="21">
        <v>1.9674867730788859</v>
      </c>
      <c r="N95" s="21">
        <v>1.9674867730788859</v>
      </c>
      <c r="O95" s="19">
        <v>1.6520452158183758</v>
      </c>
      <c r="P95" s="19">
        <v>0.14729428492731003</v>
      </c>
      <c r="Q95" s="19">
        <v>0.14729428492731003</v>
      </c>
      <c r="R95" s="19">
        <v>0.14729428492731003</v>
      </c>
    </row>
    <row r="96" spans="1:18" outlineLevel="1" x14ac:dyDescent="0.25">
      <c r="A96" s="67">
        <v>38</v>
      </c>
      <c r="B96" s="69">
        <f t="shared" si="2"/>
        <v>266.88723053165137</v>
      </c>
      <c r="C96" s="21">
        <v>267.5499388225474</v>
      </c>
      <c r="D96" s="21">
        <v>100</v>
      </c>
      <c r="E96" s="21">
        <v>100</v>
      </c>
      <c r="F96" s="19">
        <v>100</v>
      </c>
      <c r="G96" s="21">
        <v>1.215346505781949</v>
      </c>
      <c r="H96" s="27">
        <v>1.215346505781949</v>
      </c>
      <c r="I96" s="19">
        <v>1.2245418181866103</v>
      </c>
      <c r="J96" s="21">
        <v>777.98306532477898</v>
      </c>
      <c r="K96" s="21">
        <v>777.98306532477898</v>
      </c>
      <c r="L96" s="19">
        <v>772.14104570164261</v>
      </c>
      <c r="M96" s="21">
        <v>1.9958086772391832</v>
      </c>
      <c r="N96" s="21">
        <v>1.9958086772391832</v>
      </c>
      <c r="O96" s="19">
        <v>1.6670769342045191</v>
      </c>
      <c r="P96" s="19">
        <v>0.14323347443559648</v>
      </c>
      <c r="Q96" s="19">
        <v>0.14323347443559648</v>
      </c>
      <c r="R96" s="19">
        <v>0.14323347443559648</v>
      </c>
    </row>
    <row r="97" spans="1:18" outlineLevel="1" x14ac:dyDescent="0.25">
      <c r="A97" s="67">
        <v>39</v>
      </c>
      <c r="B97" s="69">
        <f t="shared" si="2"/>
        <v>277.92482035443425</v>
      </c>
      <c r="C97" s="21">
        <v>278.36662588169827</v>
      </c>
      <c r="D97" s="21">
        <v>100</v>
      </c>
      <c r="E97" s="21">
        <v>100</v>
      </c>
      <c r="F97" s="19">
        <v>100</v>
      </c>
      <c r="G97" s="21">
        <v>1.2149439635456947</v>
      </c>
      <c r="H97" s="27">
        <v>1.2149439635456947</v>
      </c>
      <c r="I97" s="19">
        <v>1.2237777446087554</v>
      </c>
      <c r="J97" s="21">
        <v>778.24083115783844</v>
      </c>
      <c r="K97" s="21">
        <v>778.24083115783844</v>
      </c>
      <c r="L97" s="19">
        <v>772.62313697515765</v>
      </c>
      <c r="M97" s="21">
        <v>2.0241305813994801</v>
      </c>
      <c r="N97" s="21">
        <v>2.0241305813994801</v>
      </c>
      <c r="O97" s="19">
        <v>1.6821086525906626</v>
      </c>
      <c r="P97" s="19">
        <v>0.13920170792236849</v>
      </c>
      <c r="Q97" s="19">
        <v>0.13920170792236849</v>
      </c>
      <c r="R97" s="19">
        <v>0.13920170792236849</v>
      </c>
    </row>
    <row r="98" spans="1:18" outlineLevel="1" x14ac:dyDescent="0.25">
      <c r="A98" s="67">
        <v>40</v>
      </c>
      <c r="B98" s="69">
        <f t="shared" si="2"/>
        <v>288.96241017721712</v>
      </c>
      <c r="C98" s="21">
        <v>289.18331294084913</v>
      </c>
      <c r="D98" s="21">
        <v>100</v>
      </c>
      <c r="E98" s="21">
        <v>100</v>
      </c>
      <c r="F98" s="19">
        <v>100</v>
      </c>
      <c r="G98" s="21">
        <v>1.2145716536375799</v>
      </c>
      <c r="H98" s="27">
        <v>1.2145716536375799</v>
      </c>
      <c r="I98" s="19">
        <v>1.22307125483948</v>
      </c>
      <c r="J98" s="21">
        <v>778.47938997112192</v>
      </c>
      <c r="K98" s="21">
        <v>778.47938997112192</v>
      </c>
      <c r="L98" s="19">
        <v>773.06943177574158</v>
      </c>
      <c r="M98" s="21">
        <v>2.0524524855597779</v>
      </c>
      <c r="N98" s="21">
        <v>2.0524524855597779</v>
      </c>
      <c r="O98" s="19">
        <v>1.697140370976806</v>
      </c>
      <c r="P98" s="19">
        <v>0.13519792697157657</v>
      </c>
      <c r="Q98" s="19">
        <v>0.13519792697157657</v>
      </c>
      <c r="R98" s="19">
        <v>0.13519792697157657</v>
      </c>
    </row>
    <row r="99" spans="1:18" outlineLevel="1" x14ac:dyDescent="0.25">
      <c r="A99" s="67">
        <v>41</v>
      </c>
      <c r="B99" s="68">
        <v>300</v>
      </c>
      <c r="C99" s="21">
        <v>300</v>
      </c>
      <c r="D99" s="21">
        <v>100</v>
      </c>
      <c r="E99" s="21">
        <v>100</v>
      </c>
      <c r="F99" s="19">
        <v>100</v>
      </c>
      <c r="G99" s="21">
        <v>1.214226293509121</v>
      </c>
      <c r="H99" s="27">
        <v>1.214226293509121</v>
      </c>
      <c r="I99" s="19">
        <v>1.222416075735463</v>
      </c>
      <c r="J99" s="21">
        <v>778.70081141748676</v>
      </c>
      <c r="K99" s="21">
        <v>778.70081141748676</v>
      </c>
      <c r="L99" s="19">
        <v>773.48377427966273</v>
      </c>
      <c r="M99" s="21">
        <v>2.0807743897200748</v>
      </c>
      <c r="N99" s="21">
        <v>2.0807743897200748</v>
      </c>
      <c r="O99" s="19">
        <v>1.7121720893629493</v>
      </c>
      <c r="P99" s="19">
        <v>0.1312211335917105</v>
      </c>
      <c r="Q99" s="19">
        <v>0.1312211335917105</v>
      </c>
    </row>
    <row r="100" spans="1:18" outlineLevel="1" x14ac:dyDescent="0.25"/>
    <row r="101" spans="1:18" outlineLevel="1" x14ac:dyDescent="0.25"/>
  </sheetData>
  <mergeCells count="3">
    <mergeCell ref="A2:E2"/>
    <mergeCell ref="F3:G3"/>
    <mergeCell ref="N7:Q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9089" r:id="rId4" name="Button 1">
              <controlPr defaultSize="0" print="0" autoFill="0" autoPict="0">
                <anchor moveWithCells="1" sizeWithCells="1">
                  <from>
                    <xdr:col>11</xdr:col>
                    <xdr:colOff>142875</xdr:colOff>
                    <xdr:row>55</xdr:row>
                    <xdr:rowOff>0</xdr:rowOff>
                  </from>
                  <to>
                    <xdr:col>13</xdr:col>
                    <xdr:colOff>647700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0" r:id="rId5" name="Button 2">
              <controlPr defaultSize="0" print="0" autoFill="0" autoPict="0" macro="[1]!Кнопка48_Расчет_диаграммы_рассогласованности">
                <anchor moveWithCells="1" sizeWithCells="1">
                  <from>
                    <xdr:col>18</xdr:col>
                    <xdr:colOff>28575</xdr:colOff>
                    <xdr:row>7</xdr:row>
                    <xdr:rowOff>85725</xdr:rowOff>
                  </from>
                  <to>
                    <xdr:col>20</xdr:col>
                    <xdr:colOff>581025</xdr:colOff>
                    <xdr:row>10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1" r:id="rId6" name="Button 3">
              <controlPr defaultSize="0" print="0" autoFill="0" autoPict="0" macro="[1]!Кнопка48_Расчет_диаграммы_рассогласованности2">
                <anchor moveWithCells="1" sizeWithCells="1">
                  <from>
                    <xdr:col>18</xdr:col>
                    <xdr:colOff>19050</xdr:colOff>
                    <xdr:row>10</xdr:row>
                    <xdr:rowOff>142875</xdr:rowOff>
                  </from>
                  <to>
                    <xdr:col>20</xdr:col>
                    <xdr:colOff>581025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2" r:id="rId7" name="Button 4">
              <controlPr defaultSize="0" print="0" autoFill="0" autoPict="0" macro="[1]!Кнопка51_Сброс_диаграммы_рассогласованности">
                <anchor moveWithCells="1" sizeWithCells="1">
                  <from>
                    <xdr:col>18</xdr:col>
                    <xdr:colOff>19050</xdr:colOff>
                    <xdr:row>14</xdr:row>
                    <xdr:rowOff>28575</xdr:rowOff>
                  </from>
                  <to>
                    <xdr:col>20</xdr:col>
                    <xdr:colOff>581025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3" r:id="rId8" name="Button 5">
              <controlPr defaultSize="0" print="0" autoFill="0" autoPict="0" macro="[1]!Кнопка_Обновить_графики">
                <anchor moveWithCells="1" sizeWithCells="1">
                  <from>
                    <xdr:col>18</xdr:col>
                    <xdr:colOff>171450</xdr:colOff>
                    <xdr:row>55</xdr:row>
                    <xdr:rowOff>104775</xdr:rowOff>
                  </from>
                  <to>
                    <xdr:col>21</xdr:col>
                    <xdr:colOff>276225</xdr:colOff>
                    <xdr:row>58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53</vt:i4>
      </vt:variant>
    </vt:vector>
  </HeadingPairs>
  <TitlesOfParts>
    <vt:vector size="56" baseType="lpstr">
      <vt:lpstr>База насосов</vt:lpstr>
      <vt:lpstr>Упражнение PVT</vt:lpstr>
      <vt:lpstr>Калькулятор PVT</vt:lpstr>
      <vt:lpstr>bo_list1_</vt:lpstr>
      <vt:lpstr>bo_list2_</vt:lpstr>
      <vt:lpstr>bo_list3_</vt:lpstr>
      <vt:lpstr>'Упражнение PVT'!Bob_</vt:lpstr>
      <vt:lpstr>'Калькулятор PVT'!Bob_m3m3_</vt:lpstr>
      <vt:lpstr>'Калькулятор PVT'!gamma_gas_</vt:lpstr>
      <vt:lpstr>'Упражнение PVT'!gamma_gas_</vt:lpstr>
      <vt:lpstr>gamma_gas_diff_total_</vt:lpstr>
      <vt:lpstr>gamma_gas_new_</vt:lpstr>
      <vt:lpstr>'Калькулятор PVT'!gamma_oil_</vt:lpstr>
      <vt:lpstr>'Упражнение PVT'!gamma_oil_</vt:lpstr>
      <vt:lpstr>gamma_oil_new_</vt:lpstr>
      <vt:lpstr>'Калькулятор PVT'!gamma_w_</vt:lpstr>
      <vt:lpstr>gamma_wat_</vt:lpstr>
      <vt:lpstr>gammas</vt:lpstr>
      <vt:lpstr>gasfrac_list1_</vt:lpstr>
      <vt:lpstr>gasfrac_list2_</vt:lpstr>
      <vt:lpstr>gasfrac_list3_</vt:lpstr>
      <vt:lpstr>'Калькулятор PVT'!Ksep_</vt:lpstr>
      <vt:lpstr>'Калькулятор PVT'!mu_cP_</vt:lpstr>
      <vt:lpstr>muo_list1_</vt:lpstr>
      <vt:lpstr>muo_list2_</vt:lpstr>
      <vt:lpstr>muo_list3_</vt:lpstr>
      <vt:lpstr>muob_</vt:lpstr>
      <vt:lpstr>'Калькулятор PVT'!P_atma_</vt:lpstr>
      <vt:lpstr>'Упражнение PVT'!Pb_</vt:lpstr>
      <vt:lpstr>'Калькулятор PVT'!Pb_atma_</vt:lpstr>
      <vt:lpstr>Pb_diff_</vt:lpstr>
      <vt:lpstr>press_list0_</vt:lpstr>
      <vt:lpstr>press_list1_</vt:lpstr>
      <vt:lpstr>'Калькулятор PVT'!Psc_atma_</vt:lpstr>
      <vt:lpstr>'Калькулятор PVT'!Psep_atma_</vt:lpstr>
      <vt:lpstr>'Калькулятор PVT'!PVT_correlation_</vt:lpstr>
      <vt:lpstr>'Калькулятор PVT'!Ql_scm3day_</vt:lpstr>
      <vt:lpstr>'Калькулятор PVT'!Qo_sctday_</vt:lpstr>
      <vt:lpstr>rhoo_list1_</vt:lpstr>
      <vt:lpstr>rhoo_list2_</vt:lpstr>
      <vt:lpstr>rhoo_list3_</vt:lpstr>
      <vt:lpstr>'Упражнение PVT'!Rp_</vt:lpstr>
      <vt:lpstr>'Калькулятор PVT'!Rp_m3m3_</vt:lpstr>
      <vt:lpstr>'Калькулятор PVT'!Rp_tm3_</vt:lpstr>
      <vt:lpstr>rs_list1_</vt:lpstr>
      <vt:lpstr>rs_list2_</vt:lpstr>
      <vt:lpstr>rs_list3_</vt:lpstr>
      <vt:lpstr>'Упражнение PVT'!Rsb_</vt:lpstr>
      <vt:lpstr>'Калькулятор PVT'!Rsb_m3m3_</vt:lpstr>
      <vt:lpstr>'Калькулятор PVT'!T_C_</vt:lpstr>
      <vt:lpstr>T_label_</vt:lpstr>
      <vt:lpstr>'Упражнение PVT'!Tres_</vt:lpstr>
      <vt:lpstr>'Калькулятор PVT'!Tres_C_</vt:lpstr>
      <vt:lpstr>'Калькулятор PVT'!Tsc_C_</vt:lpstr>
      <vt:lpstr>'Калькулятор PVT'!Tsep_C_</vt:lpstr>
      <vt:lpstr>'Калькулятор PVT'!wc_perc_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2018-08-22T11:25:54Z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