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olegk\Documents\unifloc_vba\excercises\excercises\"/>
    </mc:Choice>
  </mc:AlternateContent>
  <xr:revisionPtr revIDLastSave="0" documentId="13_ncr:1_{A13CE51A-6E06-4CF8-9D0C-6075477122B0}" xr6:coauthVersionLast="43" xr6:coauthVersionMax="43" xr10:uidLastSave="{00000000-0000-0000-0000-000000000000}"/>
  <bookViews>
    <workbookView xWindow="-120" yWindow="-120" windowWidth="24240" windowHeight="13140" tabRatio="422" xr2:uid="{00000000-000D-0000-FFFF-FFFF00000000}"/>
  </bookViews>
  <sheets>
    <sheet name="well" sheetId="107" r:id="rId1"/>
  </sheets>
  <externalReferences>
    <externalReference r:id="rId2"/>
  </externalReferences>
  <definedNames>
    <definedName name="Bob_" localSheetId="0">well!$C$14</definedName>
    <definedName name="d_annular_pr">well!$C$35</definedName>
    <definedName name="Dcas_" localSheetId="0">well!$C$21</definedName>
    <definedName name="Dintake_" localSheetId="0">well!$C$25</definedName>
    <definedName name="Dtub_" localSheetId="0">well!$C$24</definedName>
    <definedName name="Dtub_out_" localSheetId="0">well!$C$22</definedName>
    <definedName name="ESPstr">well!$G$45</definedName>
    <definedName name="Freq_" localSheetId="0">well!$C$40</definedName>
    <definedName name="Freq1_" localSheetId="0">well!$D$97</definedName>
    <definedName name="fw_">well!$C$33</definedName>
    <definedName name="gamma_gas_" localSheetId="0">well!$C$9</definedName>
    <definedName name="gamma_oil_" localSheetId="0">well!$C$7</definedName>
    <definedName name="gamma_wat_" localSheetId="0">well!$C$8</definedName>
    <definedName name="Head_ESP_" localSheetId="0">well!$C$39</definedName>
    <definedName name="Hmes_" localSheetId="0">well!$C$18</definedName>
    <definedName name="Hpump_" localSheetId="0">well!$C$20</definedName>
    <definedName name="k_split_liquid">well!$L$63</definedName>
    <definedName name="Kdegr_" localSheetId="0">well!$D$63</definedName>
    <definedName name="KsepGasSep_" localSheetId="0">well!$C$45</definedName>
    <definedName name="mu_">well!$C$15</definedName>
    <definedName name="N_" localSheetId="0">well!$C$55</definedName>
    <definedName name="NumStage_" localSheetId="0">well!$C$44</definedName>
    <definedName name="Pb_" localSheetId="0">well!$C$12</definedName>
    <definedName name="Pbuf_" localSheetId="0">well!$C$26</definedName>
    <definedName name="Pdis_" localSheetId="0">well!$C$29</definedName>
    <definedName name="PI_" localSheetId="0">well!$C$51</definedName>
    <definedName name="Pintake_" localSheetId="0">well!$C$27</definedName>
    <definedName name="PKsep">well!$C$46</definedName>
    <definedName name="Pres_" localSheetId="0">well!$C$50</definedName>
    <definedName name="PumpID_" localSheetId="0">well!$C$41</definedName>
    <definedName name="PVT_str_">well!$G$42</definedName>
    <definedName name="PVT_str_annular_">well!$G$48</definedName>
    <definedName name="Pwf_" localSheetId="0">well!$C$31</definedName>
    <definedName name="Pwf1_" localSheetId="0">well!$D$95</definedName>
    <definedName name="Q_" localSheetId="0">well!$C$32</definedName>
    <definedName name="Q_annular_">well!$C$34</definedName>
    <definedName name="Q_ESP_" localSheetId="0">well!$C$38</definedName>
    <definedName name="Q_total_">well!$C$30</definedName>
    <definedName name="Qmax" localSheetId="0">well!$C$43</definedName>
    <definedName name="Qreal_" localSheetId="0">well!$D$96</definedName>
    <definedName name="Rp_" localSheetId="0">well!$C$11</definedName>
    <definedName name="Rsb_" localSheetId="0">well!$C$10</definedName>
    <definedName name="Tgrad" localSheetId="0">well!$C$52</definedName>
    <definedName name="theta_">well!$C$23</definedName>
    <definedName name="Tintake_" localSheetId="0">well!$C$28</definedName>
    <definedName name="TKsep">well!$C$47</definedName>
    <definedName name="Tres_" localSheetId="0">well!$C$13</definedName>
    <definedName name="Udl_" localSheetId="0">well!$C$19</definedName>
    <definedName name="wc_" localSheetId="0">well!$C$14</definedName>
  </definedNames>
  <calcPr calcId="191029" iterate="1" iterateCount="50" iterateDelta="0.0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4" i="107" l="1"/>
  <c r="C34" i="107"/>
  <c r="C32" i="107"/>
  <c r="C35" i="107"/>
  <c r="C51" i="107"/>
  <c r="G1" i="107"/>
  <c r="C41" i="107"/>
  <c r="G48" i="107"/>
  <c r="C43" i="107"/>
  <c r="C44" i="107"/>
  <c r="C42" i="107"/>
  <c r="G45" i="107"/>
  <c r="D86" i="107" l="1"/>
  <c r="E13" i="107" l="1"/>
  <c r="E12" i="107"/>
  <c r="E11" i="107"/>
  <c r="E10" i="107"/>
  <c r="E9" i="107"/>
  <c r="E8" i="107"/>
  <c r="E7" i="107"/>
  <c r="J66" i="107" l="1"/>
  <c r="F86" i="107" l="1"/>
  <c r="C67" i="107"/>
  <c r="C68" i="107" s="1"/>
  <c r="C69" i="107" s="1"/>
  <c r="C70" i="107" s="1"/>
  <c r="C71" i="107" s="1"/>
  <c r="C72" i="107" s="1"/>
  <c r="C73" i="107" s="1"/>
  <c r="C74" i="107" s="1"/>
  <c r="C75" i="107" s="1"/>
  <c r="C76" i="107" s="1"/>
  <c r="C77" i="107" s="1"/>
  <c r="C78" i="107" s="1"/>
  <c r="C79" i="107" s="1"/>
  <c r="C80" i="107" s="1"/>
  <c r="C81" i="107" s="1"/>
  <c r="C82" i="107" s="1"/>
  <c r="C83" i="107" s="1"/>
  <c r="C84" i="107" s="1"/>
  <c r="C85" i="107" s="1"/>
  <c r="C86" i="107" s="1"/>
  <c r="D85" i="107" s="1"/>
  <c r="D84" i="107" l="1"/>
  <c r="D83" i="107" l="1"/>
  <c r="D82" i="107" l="1"/>
  <c r="D81" i="107" l="1"/>
  <c r="C47" i="107" s="1"/>
  <c r="C28" i="107" s="1"/>
  <c r="D80" i="107" l="1"/>
  <c r="D79" i="107" l="1"/>
  <c r="D78" i="107" l="1"/>
  <c r="D77" i="107" s="1"/>
  <c r="D76" i="107" l="1"/>
  <c r="D75" i="107" l="1"/>
  <c r="D74" i="107" l="1"/>
  <c r="D73" i="107" l="1"/>
  <c r="D72" i="107" l="1"/>
  <c r="D71" i="107" l="1"/>
  <c r="D70" i="107" l="1"/>
  <c r="D69" i="107" l="1"/>
  <c r="D68" i="107" l="1"/>
  <c r="D67" i="107" l="1"/>
  <c r="D66" i="107" l="1"/>
  <c r="C27" i="107"/>
  <c r="G42" i="107"/>
  <c r="G81" i="107"/>
  <c r="H81" i="107" s="1"/>
  <c r="J67" i="107"/>
  <c r="J68" i="107"/>
  <c r="J69" i="107" s="1"/>
  <c r="J70" i="107" s="1"/>
  <c r="F85" i="107"/>
  <c r="J71" i="107"/>
  <c r="J72" i="107" s="1"/>
  <c r="J73" i="107" s="1"/>
  <c r="J74" i="107" s="1"/>
  <c r="J75" i="107" s="1"/>
  <c r="J76" i="107" s="1"/>
  <c r="J77" i="107" s="1"/>
  <c r="J78" i="107" s="1"/>
  <c r="J79" i="107" s="1"/>
  <c r="J80" i="107" s="1"/>
  <c r="J81" i="107" s="1"/>
  <c r="M81" i="107"/>
  <c r="F84" i="107" l="1"/>
  <c r="F83" i="107" l="1"/>
  <c r="F82" i="107" l="1"/>
  <c r="F81" i="107" l="1"/>
  <c r="I81" i="107"/>
  <c r="F80" i="107"/>
  <c r="N81" i="107" l="1"/>
  <c r="K81" i="107"/>
  <c r="O81" i="107"/>
  <c r="F79" i="107"/>
  <c r="K80" i="107"/>
  <c r="O80" i="107"/>
  <c r="O79" i="107" l="1"/>
  <c r="K79" i="107"/>
  <c r="F78" i="107"/>
  <c r="F77" i="107" l="1"/>
  <c r="O78" i="107"/>
  <c r="K78" i="107"/>
  <c r="K77" i="107" l="1"/>
  <c r="F76" i="107"/>
  <c r="O77" i="107"/>
  <c r="O76" i="107" l="1"/>
  <c r="K76" i="107"/>
  <c r="F75" i="107"/>
  <c r="F74" i="107" l="1"/>
  <c r="K75" i="107"/>
  <c r="O75" i="107"/>
  <c r="O74" i="107" l="1"/>
  <c r="K74" i="107"/>
  <c r="F73" i="107"/>
  <c r="F72" i="107" l="1"/>
  <c r="K73" i="107"/>
  <c r="O73" i="107"/>
  <c r="O72" i="107" l="1"/>
  <c r="F71" i="107"/>
  <c r="K72" i="107"/>
  <c r="K71" i="107" l="1"/>
  <c r="F70" i="107"/>
  <c r="O71" i="107"/>
  <c r="O70" i="107" l="1"/>
  <c r="F69" i="107"/>
  <c r="K70" i="107"/>
  <c r="K69" i="107" l="1"/>
  <c r="F68" i="107"/>
  <c r="O69" i="107"/>
  <c r="O68" i="107" l="1"/>
  <c r="F67" i="107"/>
  <c r="K68" i="107"/>
  <c r="K67" i="107" l="1"/>
  <c r="F66" i="107"/>
  <c r="O67" i="107"/>
  <c r="O66" i="107" l="1"/>
  <c r="K66" i="107"/>
</calcChain>
</file>

<file path=xl/sharedStrings.xml><?xml version="1.0" encoding="utf-8"?>
<sst xmlns="http://schemas.openxmlformats.org/spreadsheetml/2006/main" count="216" uniqueCount="86">
  <si>
    <t>атм</t>
  </si>
  <si>
    <t>С</t>
  </si>
  <si>
    <t>%</t>
  </si>
  <si>
    <t>м</t>
  </si>
  <si>
    <t>мм</t>
  </si>
  <si>
    <t>м3/сут</t>
  </si>
  <si>
    <t xml:space="preserve">м </t>
  </si>
  <si>
    <t>Гц</t>
  </si>
  <si>
    <t>шт</t>
  </si>
  <si>
    <t>м3/сут/атм</t>
  </si>
  <si>
    <t>град/100 м</t>
  </si>
  <si>
    <t>N</t>
  </si>
  <si>
    <t>T</t>
  </si>
  <si>
    <t>H</t>
  </si>
  <si>
    <t>,</t>
  </si>
  <si>
    <t>Физико - химические свойства флюида</t>
  </si>
  <si>
    <t>Данные по скважине</t>
  </si>
  <si>
    <t>ЭЦН</t>
  </si>
  <si>
    <t>Ступени</t>
  </si>
  <si>
    <t>Пласт</t>
  </si>
  <si>
    <t>Доля газа</t>
  </si>
  <si>
    <t>Общая сепарация</t>
  </si>
  <si>
    <t>P снизу вверх</t>
  </si>
  <si>
    <t>Построить распределение давления в скважине при постоянном дебите</t>
  </si>
  <si>
    <t>Деградация</t>
  </si>
  <si>
    <t>Давление в НКТ сверху вниз</t>
  </si>
  <si>
    <t>Глубина установки насоса</t>
  </si>
  <si>
    <t>Ксепарации естественной</t>
  </si>
  <si>
    <t>Упражнение 1</t>
  </si>
  <si>
    <t>Упражнения по работе с макросами Unifloc VBA</t>
  </si>
  <si>
    <t>версия</t>
  </si>
  <si>
    <t>Расчет распределения давления в скважине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</si>
  <si>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</si>
  <si>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</si>
  <si>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</si>
  <si>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</si>
  <si>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</si>
  <si>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</si>
  <si>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</si>
  <si>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</si>
  <si>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</si>
  <si>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</si>
  <si>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</si>
  <si>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</si>
  <si>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</si>
  <si>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</si>
  <si>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H</t>
    </r>
    <r>
      <rPr>
        <vertAlign val="subscript"/>
        <sz val="10"/>
        <rFont val="Arial Cyr"/>
        <charset val="204"/>
      </rPr>
      <t>mes</t>
    </r>
  </si>
  <si>
    <r>
      <t>H</t>
    </r>
    <r>
      <rPr>
        <vertAlign val="subscript"/>
        <sz val="10"/>
        <rFont val="Arial Cyr"/>
        <charset val="204"/>
      </rPr>
      <t>mes</t>
    </r>
    <r>
      <rPr>
        <sz val="10"/>
        <rFont val="Arial Cyr"/>
        <charset val="204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</si>
  <si>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pump</t>
    </r>
  </si>
  <si>
    <r>
      <t>ID</t>
    </r>
    <r>
      <rPr>
        <vertAlign val="subscript"/>
        <sz val="10"/>
        <rFont val="Arial Cyr"/>
        <charset val="204"/>
      </rPr>
      <t>cas</t>
    </r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</si>
  <si>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</si>
  <si>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</si>
  <si>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</si>
  <si>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</si>
  <si>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intake</t>
    </r>
  </si>
  <si>
    <r>
      <t>T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</si>
  <si>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dis</t>
    </r>
  </si>
  <si>
    <r>
      <t>P</t>
    </r>
    <r>
      <rPr>
        <vertAlign val="subscript"/>
        <sz val="10"/>
        <rFont val="Arial Cyr"/>
        <charset val="204"/>
      </rPr>
      <t>wf</t>
    </r>
  </si>
  <si>
    <r>
      <t>Q</t>
    </r>
    <r>
      <rPr>
        <vertAlign val="subscript"/>
        <sz val="10"/>
        <rFont val="Arial Cyr"/>
        <charset val="204"/>
      </rPr>
      <t>liq</t>
    </r>
  </si>
  <si>
    <r>
      <t>f</t>
    </r>
    <r>
      <rPr>
        <vertAlign val="subscript"/>
        <sz val="10"/>
        <rFont val="Arial Cyr"/>
        <charset val="204"/>
      </rPr>
      <t>w</t>
    </r>
  </si>
  <si>
    <r>
      <t>ЭЦН Q</t>
    </r>
    <r>
      <rPr>
        <vertAlign val="subscript"/>
        <sz val="10"/>
        <rFont val="Arial Cyr"/>
        <charset val="204"/>
      </rPr>
      <t>nom</t>
    </r>
  </si>
  <si>
    <r>
      <t>ЭЦН H</t>
    </r>
    <r>
      <rPr>
        <vertAlign val="subscript"/>
        <sz val="10"/>
        <rFont val="Arial Cyr"/>
        <charset val="204"/>
      </rPr>
      <t>nom</t>
    </r>
  </si>
  <si>
    <t>F</t>
  </si>
  <si>
    <t>ЭЦН ID</t>
  </si>
  <si>
    <t>PVT строка</t>
  </si>
  <si>
    <t>ЭЦН имя</t>
  </si>
  <si>
    <r>
      <t>ЭЦН Q</t>
    </r>
    <r>
      <rPr>
        <vertAlign val="subscript"/>
        <sz val="10"/>
        <rFont val="Arial Cyr"/>
        <charset val="204"/>
      </rPr>
      <t>max</t>
    </r>
  </si>
  <si>
    <t>ЭЦН строка</t>
  </si>
  <si>
    <r>
      <t>K</t>
    </r>
    <r>
      <rPr>
        <vertAlign val="subscript"/>
        <sz val="10"/>
        <rFont val="Arial Cyr"/>
        <charset val="204"/>
      </rPr>
      <t>sep гс</t>
    </r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</si>
  <si>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</si>
  <si>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</si>
  <si>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r>
      <t>P</t>
    </r>
    <r>
      <rPr>
        <vertAlign val="subscript"/>
        <sz val="10"/>
        <rFont val="Arial Cyr"/>
        <charset val="204"/>
      </rPr>
      <t>res</t>
    </r>
  </si>
  <si>
    <t>PI</t>
  </si>
  <si>
    <t>dT/dL</t>
  </si>
  <si>
    <t>Muob cal</t>
  </si>
  <si>
    <t>сПуаз</t>
  </si>
  <si>
    <t>θ</t>
  </si>
  <si>
    <t>°</t>
  </si>
  <si>
    <r>
      <t>Q</t>
    </r>
    <r>
      <rPr>
        <vertAlign val="subscript"/>
        <sz val="10"/>
        <rFont val="Arial Cyr"/>
        <charset val="204"/>
      </rPr>
      <t>liq annular</t>
    </r>
  </si>
  <si>
    <t>d_annular</t>
  </si>
  <si>
    <t>Давление в затрубе снизу вверх</t>
  </si>
  <si>
    <t>Давление в НКТ снизу вверх</t>
  </si>
  <si>
    <t>dP ESP по потоку</t>
  </si>
  <si>
    <t>dP ESP по напорной характеристике</t>
  </si>
  <si>
    <t>Qtotal</t>
  </si>
  <si>
    <t>Коэффициент деления потока ГЖС - доля в 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</si>
</sst>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rgb="FFFF000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5" fillId="0" borderId="0" xfId="0" applyFont="1"/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3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/>
    <xf numFmtId="2" fontId="0" fillId="3" borderId="2" xfId="0" applyNumberFormat="1" applyFill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8" fillId="4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1" fontId="0" fillId="5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5" borderId="2" xfId="0" applyFill="1" applyBorder="1"/>
    <xf numFmtId="2" fontId="0" fillId="5" borderId="2" xfId="0" applyNumberFormat="1" applyFill="1" applyBorder="1" applyAlignment="1">
      <alignment horizontal="center"/>
    </xf>
    <xf numFmtId="0" fontId="11" fillId="4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2" fontId="0" fillId="5" borderId="3" xfId="0" applyNumberFormat="1" applyFill="1" applyBorder="1" applyAlignment="1">
      <alignment horizontal="center"/>
    </xf>
    <xf numFmtId="0" fontId="5" fillId="8" borderId="4" xfId="0" applyFont="1" applyFill="1" applyBorder="1" applyAlignment="1">
      <alignment horizontal="center" vertical="center" wrapText="1"/>
    </xf>
    <xf numFmtId="9" fontId="0" fillId="5" borderId="4" xfId="5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 vertical="center" wrapText="1"/>
    </xf>
    <xf numFmtId="2" fontId="0" fillId="9" borderId="2" xfId="0" applyNumberFormat="1" applyFont="1" applyFill="1" applyBorder="1" applyAlignment="1">
      <alignment horizontal="center"/>
    </xf>
    <xf numFmtId="2" fontId="0" fillId="9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2" fontId="0" fillId="5" borderId="4" xfId="0" applyNumberFormat="1" applyFill="1" applyBorder="1"/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0" fillId="9" borderId="2" xfId="0" applyFill="1" applyBorder="1"/>
    <xf numFmtId="0" fontId="0" fillId="10" borderId="2" xfId="0" applyFill="1" applyBorder="1"/>
    <xf numFmtId="0" fontId="0" fillId="10" borderId="2" xfId="0" applyFill="1" applyBorder="1" applyAlignment="1">
      <alignment horizontal="center"/>
    </xf>
  </cellXfs>
  <cellStyles count="6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Процентный" xfId="5" builtinId="5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давления в скважине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well!$F$65</c:f>
              <c:strCache>
                <c:ptCount val="1"/>
                <c:pt idx="0">
                  <c:v>P снизу вверх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well!$F$66:$F$86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1.559118634191879</c:v>
                </c:pt>
                <c:pt idx="8">
                  <c:v>3.488927744877127</c:v>
                </c:pt>
                <c:pt idx="9">
                  <c:v>5.9995033143006324</c:v>
                </c:pt>
                <c:pt idx="10">
                  <c:v>9.1562275980625714</c:v>
                </c:pt>
                <c:pt idx="11">
                  <c:v>12.980350073113867</c:v>
                </c:pt>
                <c:pt idx="12">
                  <c:v>17.472182316169523</c:v>
                </c:pt>
                <c:pt idx="13">
                  <c:v>22.616421007014264</c:v>
                </c:pt>
                <c:pt idx="14">
                  <c:v>28.384150575196287</c:v>
                </c:pt>
                <c:pt idx="15">
                  <c:v>34.734061214655505</c:v>
                </c:pt>
                <c:pt idx="16">
                  <c:v>41.822257074525695</c:v>
                </c:pt>
                <c:pt idx="17">
                  <c:v>50.009508975175521</c:v>
                </c:pt>
                <c:pt idx="18">
                  <c:v>58.32796983806567</c:v>
                </c:pt>
                <c:pt idx="19">
                  <c:v>66.659361836840532</c:v>
                </c:pt>
                <c:pt idx="20" formatCode="General">
                  <c:v>75</c:v>
                </c:pt>
              </c:numCache>
            </c:numRef>
          </c:xVal>
          <c:yVal>
            <c:numRef>
              <c:f>well!$C$66:$C$86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3-4480-B619-5B823188098A}"/>
            </c:ext>
          </c:extLst>
        </c:ser>
        <c:ser>
          <c:idx val="0"/>
          <c:order val="1"/>
          <c:tx>
            <c:strRef>
              <c:f>well!$O$65</c:f>
              <c:strCache>
                <c:ptCount val="1"/>
                <c:pt idx="0">
                  <c:v>Давление в затрубе снизу вверх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well!$O$66:$O$86</c:f>
              <c:numCache>
                <c:formatCode>0.00</c:formatCode>
                <c:ptCount val="21"/>
                <c:pt idx="0">
                  <c:v>9.4510445510357393</c:v>
                </c:pt>
                <c:pt idx="1">
                  <c:v>10.688164610093018</c:v>
                </c:pt>
                <c:pt idx="2">
                  <c:v>11.961770493381993</c:v>
                </c:pt>
                <c:pt idx="3">
                  <c:v>13.281024796911447</c:v>
                </c:pt>
                <c:pt idx="4">
                  <c:v>14.653424813529455</c:v>
                </c:pt>
                <c:pt idx="5">
                  <c:v>16.085379400373021</c:v>
                </c:pt>
                <c:pt idx="6">
                  <c:v>17.5825510459714</c:v>
                </c:pt>
                <c:pt idx="7">
                  <c:v>19.15006721971168</c:v>
                </c:pt>
                <c:pt idx="8">
                  <c:v>20.792654519507614</c:v>
                </c:pt>
                <c:pt idx="9">
                  <c:v>22.514724967627604</c:v>
                </c:pt>
                <c:pt idx="10">
                  <c:v>24.320431434753978</c:v>
                </c:pt>
                <c:pt idx="11">
                  <c:v>26.213702477787681</c:v>
                </c:pt>
                <c:pt idx="12">
                  <c:v>28.198263083734599</c:v>
                </c:pt>
                <c:pt idx="13">
                  <c:v>30.277645578963494</c:v>
                </c:pt>
                <c:pt idx="14">
                  <c:v>32.455193605249896</c:v>
                </c:pt>
                <c:pt idx="15">
                  <c:v>34.734061214655505</c:v>
                </c:pt>
              </c:numCache>
            </c:numRef>
          </c:xVal>
          <c:yVal>
            <c:numRef>
              <c:f>well!$C$66:$C$86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B3-4480-B619-5B823188098A}"/>
            </c:ext>
          </c:extLst>
        </c:ser>
        <c:ser>
          <c:idx val="4"/>
          <c:order val="2"/>
          <c:tx>
            <c:strRef>
              <c:f>well!$K$65</c:f>
              <c:strCache>
                <c:ptCount val="1"/>
                <c:pt idx="0">
                  <c:v>Давление в НКТ снизу вверх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well!$K$66:$K$86</c:f>
              <c:numCache>
                <c:formatCode>0.00</c:formatCode>
                <c:ptCount val="21"/>
                <c:pt idx="0">
                  <c:v>8.400014756357173</c:v>
                </c:pt>
                <c:pt idx="1">
                  <c:v>11.906102059732911</c:v>
                </c:pt>
                <c:pt idx="2">
                  <c:v>16.495198559161292</c:v>
                </c:pt>
                <c:pt idx="3">
                  <c:v>22.05973635292721</c:v>
                </c:pt>
                <c:pt idx="4">
                  <c:v>28.627450164839701</c:v>
                </c:pt>
                <c:pt idx="5">
                  <c:v>36.175965345018497</c:v>
                </c:pt>
                <c:pt idx="6">
                  <c:v>44.502865741139232</c:v>
                </c:pt>
                <c:pt idx="7">
                  <c:v>52.916550759989882</c:v>
                </c:pt>
                <c:pt idx="8">
                  <c:v>61.336074092289977</c:v>
                </c:pt>
                <c:pt idx="9">
                  <c:v>69.759268961025313</c:v>
                </c:pt>
                <c:pt idx="10">
                  <c:v>78.184703293048287</c:v>
                </c:pt>
                <c:pt idx="11">
                  <c:v>86.611379153403249</c:v>
                </c:pt>
                <c:pt idx="12">
                  <c:v>95.038571577726231</c:v>
                </c:pt>
                <c:pt idx="13">
                  <c:v>103.4657358054951</c:v>
                </c:pt>
                <c:pt idx="14">
                  <c:v>111.89245080709286</c:v>
                </c:pt>
                <c:pt idx="15">
                  <c:v>120.3183833052079</c:v>
                </c:pt>
              </c:numCache>
            </c:numRef>
          </c:xVal>
          <c:yVal>
            <c:numRef>
              <c:f>well!$C$66:$C$86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76-42C9-8C6E-9835A19AC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04640"/>
        <c:axId val="304305216"/>
      </c:scatterChart>
      <c:valAx>
        <c:axId val="304304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</a:t>
                </a:r>
                <a:r>
                  <a:rPr lang="ru-RU" baseline="0"/>
                  <a:t>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5216"/>
        <c:crosses val="autoZero"/>
        <c:crossBetween val="midCat"/>
      </c:valAx>
      <c:valAx>
        <c:axId val="30430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170089</xdr:colOff>
      <xdr:row>57</xdr:row>
      <xdr:rowOff>54426</xdr:rowOff>
    </xdr:from>
    <xdr:to>
      <xdr:col>29</xdr:col>
      <xdr:colOff>68036</xdr:colOff>
      <xdr:row>94</xdr:row>
      <xdr:rowOff>149677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gk/Documents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ncode_string"/>
      <definedName name="ESP_head_m"/>
      <definedName name="ESP_id_by_rate"/>
      <definedName name="esp_max_rate_m3day"/>
      <definedName name="ESP_name"/>
      <definedName name="getUFVersion"/>
      <definedName name="IPR_PI_sm3dayatm"/>
      <definedName name="MF_gas_fraction_d"/>
      <definedName name="MF_ksep_natural_d"/>
      <definedName name="MF_ksep_total_d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well">
    <outlinePr summaryBelow="0"/>
  </sheetPr>
  <dimension ref="A1:X194"/>
  <sheetViews>
    <sheetView tabSelected="1" zoomScale="70" zoomScaleNormal="70" workbookViewId="0">
      <selection activeCell="G50" sqref="G50"/>
    </sheetView>
  </sheetViews>
  <sheetFormatPr defaultRowHeight="12.75" outlineLevelRow="1" x14ac:dyDescent="0.2"/>
  <cols>
    <col min="2" max="2" width="26.28515625" customWidth="1"/>
    <col min="3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10" max="11" width="11.28515625" customWidth="1"/>
    <col min="12" max="12" width="10.140625" customWidth="1"/>
    <col min="13" max="13" width="11.5703125" bestFit="1" customWidth="1"/>
  </cols>
  <sheetData>
    <row r="1" spans="1:7" x14ac:dyDescent="0.2">
      <c r="A1" s="1" t="s">
        <v>29</v>
      </c>
      <c r="F1" t="s">
        <v>30</v>
      </c>
      <c r="G1" t="str">
        <f>[1]!getUFVersion()</f>
        <v>7.7</v>
      </c>
    </row>
    <row r="2" spans="1:7" x14ac:dyDescent="0.2">
      <c r="A2" t="s">
        <v>31</v>
      </c>
    </row>
    <row r="6" spans="1:7" x14ac:dyDescent="0.2">
      <c r="A6" s="1" t="s">
        <v>15</v>
      </c>
    </row>
    <row r="7" spans="1:7" ht="18.75" outlineLevel="1" x14ac:dyDescent="0.35">
      <c r="B7" s="10" t="s">
        <v>32</v>
      </c>
      <c r="C7" s="2">
        <v>0.87</v>
      </c>
      <c r="D7" s="11"/>
      <c r="E7" s="12">
        <f>gamma_oil_*1000</f>
        <v>870</v>
      </c>
      <c r="F7" s="13" t="s">
        <v>33</v>
      </c>
    </row>
    <row r="8" spans="1:7" ht="18.75" outlineLevel="1" x14ac:dyDescent="0.35">
      <c r="B8" s="13" t="s">
        <v>34</v>
      </c>
      <c r="C8" s="2">
        <v>1</v>
      </c>
      <c r="D8" s="11"/>
      <c r="E8" s="12">
        <f>gamma_wat_*1000</f>
        <v>1000</v>
      </c>
      <c r="F8" s="13" t="s">
        <v>33</v>
      </c>
    </row>
    <row r="9" spans="1:7" ht="18.75" outlineLevel="1" x14ac:dyDescent="0.35">
      <c r="B9" s="13" t="s">
        <v>35</v>
      </c>
      <c r="C9" s="2">
        <v>0.8</v>
      </c>
      <c r="D9" s="11"/>
      <c r="E9" s="12">
        <f>gamma_gas_*1.22</f>
        <v>0.97599999999999998</v>
      </c>
      <c r="F9" s="13" t="s">
        <v>33</v>
      </c>
    </row>
    <row r="10" spans="1:7" ht="18.75" outlineLevel="1" x14ac:dyDescent="0.35">
      <c r="B10" s="14" t="s">
        <v>36</v>
      </c>
      <c r="C10" s="2">
        <v>200</v>
      </c>
      <c r="D10" s="13" t="s">
        <v>37</v>
      </c>
      <c r="E10" s="15">
        <f>Rsb_/gamma_oil_</f>
        <v>229.88505747126436</v>
      </c>
      <c r="F10" s="13" t="s">
        <v>38</v>
      </c>
    </row>
    <row r="11" spans="1:7" ht="18.75" outlineLevel="1" x14ac:dyDescent="0.35">
      <c r="B11" s="14" t="s">
        <v>39</v>
      </c>
      <c r="C11" s="2">
        <v>200</v>
      </c>
      <c r="D11" s="13" t="s">
        <v>37</v>
      </c>
      <c r="E11" s="15">
        <f>Rsb_/gamma_oil_</f>
        <v>229.88505747126436</v>
      </c>
      <c r="F11" s="13" t="s">
        <v>38</v>
      </c>
    </row>
    <row r="12" spans="1:7" ht="18" outlineLevel="1" x14ac:dyDescent="0.35">
      <c r="B12" s="13" t="s">
        <v>40</v>
      </c>
      <c r="C12" s="2">
        <v>130</v>
      </c>
      <c r="D12" s="11" t="s">
        <v>41</v>
      </c>
      <c r="E12" s="15">
        <f>Pb_*1.01325</f>
        <v>131.7225</v>
      </c>
      <c r="F12" s="11" t="s">
        <v>42</v>
      </c>
    </row>
    <row r="13" spans="1:7" ht="18" outlineLevel="1" x14ac:dyDescent="0.35">
      <c r="B13" s="13" t="s">
        <v>43</v>
      </c>
      <c r="C13" s="2">
        <v>100</v>
      </c>
      <c r="D13" s="11" t="s">
        <v>1</v>
      </c>
      <c r="E13" s="15">
        <f>Tres_*9/5+32</f>
        <v>212</v>
      </c>
      <c r="F13" s="11" t="s">
        <v>44</v>
      </c>
    </row>
    <row r="14" spans="1:7" ht="18.75" outlineLevel="1" x14ac:dyDescent="0.35">
      <c r="B14" s="14" t="s">
        <v>45</v>
      </c>
      <c r="C14" s="2">
        <v>1.2</v>
      </c>
      <c r="D14" s="13" t="s">
        <v>37</v>
      </c>
    </row>
    <row r="15" spans="1:7" ht="18" x14ac:dyDescent="0.35">
      <c r="B15" s="21" t="s">
        <v>74</v>
      </c>
      <c r="C15" s="2">
        <v>5</v>
      </c>
      <c r="D15" s="13" t="s">
        <v>75</v>
      </c>
    </row>
    <row r="16" spans="1:7" x14ac:dyDescent="0.2">
      <c r="B16" s="3"/>
      <c r="C16" s="4"/>
    </row>
    <row r="17" spans="1:4" outlineLevel="1" x14ac:dyDescent="0.2">
      <c r="A17" s="1" t="s">
        <v>16</v>
      </c>
      <c r="B17" s="3"/>
      <c r="C17" s="4"/>
    </row>
    <row r="18" spans="1:4" ht="15.75" outlineLevel="1" x14ac:dyDescent="0.3">
      <c r="B18" s="16" t="s">
        <v>46</v>
      </c>
      <c r="C18" s="2">
        <v>2000</v>
      </c>
      <c r="D18" s="17" t="s">
        <v>3</v>
      </c>
    </row>
    <row r="19" spans="1:4" ht="15.75" outlineLevel="1" x14ac:dyDescent="0.3">
      <c r="B19" s="16" t="s">
        <v>47</v>
      </c>
      <c r="C19" s="2">
        <v>0</v>
      </c>
      <c r="D19" s="17" t="s">
        <v>3</v>
      </c>
    </row>
    <row r="20" spans="1:4" ht="15.75" outlineLevel="1" x14ac:dyDescent="0.3">
      <c r="B20" s="16" t="s">
        <v>48</v>
      </c>
      <c r="C20" s="2">
        <v>1500</v>
      </c>
      <c r="D20" s="17" t="s">
        <v>3</v>
      </c>
    </row>
    <row r="21" spans="1:4" ht="15.75" outlineLevel="1" x14ac:dyDescent="0.3">
      <c r="B21" s="16" t="s">
        <v>49</v>
      </c>
      <c r="C21" s="2">
        <v>125</v>
      </c>
      <c r="D21" s="17" t="s">
        <v>4</v>
      </c>
    </row>
    <row r="22" spans="1:4" ht="15.75" outlineLevel="1" x14ac:dyDescent="0.3">
      <c r="B22" s="16" t="s">
        <v>50</v>
      </c>
      <c r="C22" s="2">
        <v>73</v>
      </c>
      <c r="D22" s="17" t="s">
        <v>4</v>
      </c>
    </row>
    <row r="23" spans="1:4" ht="15" outlineLevel="1" x14ac:dyDescent="0.25">
      <c r="B23" s="23" t="s">
        <v>76</v>
      </c>
      <c r="C23" s="2">
        <v>90</v>
      </c>
      <c r="D23" s="13" t="s">
        <v>77</v>
      </c>
    </row>
    <row r="24" spans="1:4" ht="15.75" outlineLevel="1" x14ac:dyDescent="0.3">
      <c r="B24" s="16" t="s">
        <v>51</v>
      </c>
      <c r="C24" s="2">
        <f>Dtub_out_-10</f>
        <v>63</v>
      </c>
      <c r="D24" s="17" t="s">
        <v>4</v>
      </c>
    </row>
    <row r="25" spans="1:4" ht="15.75" outlineLevel="1" x14ac:dyDescent="0.3">
      <c r="B25" s="16" t="s">
        <v>52</v>
      </c>
      <c r="C25" s="2">
        <v>100</v>
      </c>
      <c r="D25" s="17" t="s">
        <v>4</v>
      </c>
    </row>
    <row r="26" spans="1:4" ht="15.75" outlineLevel="1" x14ac:dyDescent="0.3">
      <c r="B26" s="16" t="s">
        <v>53</v>
      </c>
      <c r="C26" s="2">
        <v>20</v>
      </c>
      <c r="D26" s="17" t="s">
        <v>0</v>
      </c>
    </row>
    <row r="27" spans="1:4" ht="15.75" outlineLevel="1" x14ac:dyDescent="0.3">
      <c r="B27" s="16" t="s">
        <v>54</v>
      </c>
      <c r="C27" s="2">
        <f>PKsep</f>
        <v>35.590000000000003</v>
      </c>
      <c r="D27" s="17" t="s">
        <v>0</v>
      </c>
    </row>
    <row r="28" spans="1:4" ht="15.75" outlineLevel="1" x14ac:dyDescent="0.3">
      <c r="B28" s="16" t="s">
        <v>55</v>
      </c>
      <c r="C28" s="2">
        <f>TKsep</f>
        <v>85</v>
      </c>
      <c r="D28" s="17" t="s">
        <v>1</v>
      </c>
    </row>
    <row r="29" spans="1:4" ht="15.75" outlineLevel="1" x14ac:dyDescent="0.3">
      <c r="B29" s="16" t="s">
        <v>56</v>
      </c>
      <c r="C29" s="2">
        <v>150</v>
      </c>
      <c r="D29" s="17" t="s">
        <v>0</v>
      </c>
    </row>
    <row r="30" spans="1:4" outlineLevel="1" x14ac:dyDescent="0.2">
      <c r="B30" s="16" t="s">
        <v>84</v>
      </c>
      <c r="C30" s="2">
        <v>100</v>
      </c>
      <c r="D30" s="17" t="s">
        <v>5</v>
      </c>
    </row>
    <row r="31" spans="1:4" ht="15.75" outlineLevel="1" x14ac:dyDescent="0.3">
      <c r="B31" s="16" t="s">
        <v>57</v>
      </c>
      <c r="C31" s="2">
        <v>75</v>
      </c>
      <c r="D31" s="17" t="s">
        <v>0</v>
      </c>
    </row>
    <row r="32" spans="1:4" ht="15.75" x14ac:dyDescent="0.3">
      <c r="B32" s="16" t="s">
        <v>58</v>
      </c>
      <c r="C32" s="2">
        <f>Q_total_*k_split_liquid</f>
        <v>65</v>
      </c>
      <c r="D32" s="17" t="s">
        <v>5</v>
      </c>
    </row>
    <row r="33" spans="1:7" ht="15.75" x14ac:dyDescent="0.3">
      <c r="B33" s="16" t="s">
        <v>59</v>
      </c>
      <c r="C33" s="2">
        <v>0</v>
      </c>
      <c r="D33" s="17" t="s">
        <v>2</v>
      </c>
    </row>
    <row r="34" spans="1:7" ht="15.75" x14ac:dyDescent="0.3">
      <c r="B34" s="16" t="s">
        <v>78</v>
      </c>
      <c r="C34" s="2">
        <f>Q_total_*(1-k_split_liquid)</f>
        <v>35</v>
      </c>
      <c r="D34" s="17" t="s">
        <v>5</v>
      </c>
    </row>
    <row r="35" spans="1:7" x14ac:dyDescent="0.2">
      <c r="B35" s="16" t="s">
        <v>79</v>
      </c>
      <c r="C35" s="34">
        <f>Dcas_-Dtub_out_</f>
        <v>52</v>
      </c>
      <c r="D35" s="17"/>
    </row>
    <row r="36" spans="1:7" outlineLevel="1" x14ac:dyDescent="0.2"/>
    <row r="37" spans="1:7" outlineLevel="1" x14ac:dyDescent="0.2">
      <c r="A37" s="1" t="s">
        <v>17</v>
      </c>
    </row>
    <row r="38" spans="1:7" ht="15.75" outlineLevel="1" x14ac:dyDescent="0.3">
      <c r="B38" s="17" t="s">
        <v>60</v>
      </c>
      <c r="C38" s="2">
        <v>100</v>
      </c>
      <c r="D38" s="17" t="s">
        <v>5</v>
      </c>
    </row>
    <row r="39" spans="1:7" ht="15.75" outlineLevel="1" x14ac:dyDescent="0.3">
      <c r="B39" s="17" t="s">
        <v>61</v>
      </c>
      <c r="C39" s="2">
        <v>2000</v>
      </c>
      <c r="D39" s="17" t="s">
        <v>6</v>
      </c>
    </row>
    <row r="40" spans="1:7" outlineLevel="1" x14ac:dyDescent="0.2">
      <c r="B40" s="17" t="s">
        <v>62</v>
      </c>
      <c r="C40" s="2">
        <v>50</v>
      </c>
      <c r="D40" s="17" t="s">
        <v>7</v>
      </c>
    </row>
    <row r="41" spans="1:7" outlineLevel="1" x14ac:dyDescent="0.2">
      <c r="B41" s="17" t="s">
        <v>63</v>
      </c>
      <c r="C41" s="12">
        <f>[1]!ESP_id_by_rate(Q_ESP_)</f>
        <v>737</v>
      </c>
      <c r="D41" s="17"/>
      <c r="G41" s="18" t="s">
        <v>64</v>
      </c>
    </row>
    <row r="42" spans="1:7" outlineLevel="1" x14ac:dyDescent="0.2">
      <c r="B42" s="17" t="s">
        <v>65</v>
      </c>
      <c r="C42" s="12" t="str">
        <f>[1]!ESP_name(C41)</f>
        <v>ВНН5-125</v>
      </c>
      <c r="D42" s="17"/>
      <c r="G42" s="19" t="str">
        <f>[1]!PVT_encode_string(gamma_gas_,gamma_oil_,gamma_wat_,Rsb_,Rp_,Pb_,Tres_,Bob_,mu_,,KsepGasSep_,PKsep,TKsep)</f>
        <v>gamma_gas:0,800;gamma_oil:0,870;gamma_wat:1,000;rsb_m3m3:200,000;rp_m3m3:200,000;pb_atma:130,000;tres_C:100,000;bob_m3m3:1,200;muob_cP:5,000;PVTcorr:0;ksep_fr:0,950;pksep_atma:35,590;tksep_C:85,000;</v>
      </c>
    </row>
    <row r="43" spans="1:7" ht="15.75" outlineLevel="1" x14ac:dyDescent="0.3">
      <c r="B43" s="17" t="s">
        <v>66</v>
      </c>
      <c r="C43" s="12">
        <f>[1]!esp_max_rate_m3day(Freq_,PumpID_)*1</f>
        <v>230</v>
      </c>
      <c r="D43" s="17"/>
    </row>
    <row r="44" spans="1:7" x14ac:dyDescent="0.2">
      <c r="B44" s="17" t="s">
        <v>18</v>
      </c>
      <c r="C44" s="12">
        <f>INT(Head_ESP_/[1]!ESP_head_m(Q_ESP_,1,,PumpID_))</f>
        <v>312</v>
      </c>
      <c r="D44" s="17" t="s">
        <v>8</v>
      </c>
      <c r="G44" s="18" t="s">
        <v>67</v>
      </c>
    </row>
    <row r="45" spans="1:7" ht="15.75" x14ac:dyDescent="0.3">
      <c r="B45" s="17" t="s">
        <v>68</v>
      </c>
      <c r="C45" s="5">
        <v>0.95</v>
      </c>
      <c r="D45" s="17"/>
      <c r="G45" s="19" t="str">
        <f>[1]!ESP_Encode_string(PumpID_,Head_ESP_,Freq_)</f>
        <v>ESP_ID:737,00000;HeadNom_m:2000,00000;ESPfreq_Hz:50,00000;ESP_U_V:1000,00000;MotorPowerNom_kW:30,00000;Tintake_C:85,00000;Tdis_C:85,00000;KsepGS_fr:0,00000;ESP_energy_fact_Whday:0,00000;ESP_cable_type:0;ESP_Hmes_m:0,00000;GasDegtType:0;Kdegr:0,00000;PKV_work_min:-1,00000;PKV_stop_min:-1,00000;</v>
      </c>
    </row>
    <row r="46" spans="1:7" ht="15.75" x14ac:dyDescent="0.3">
      <c r="B46" s="17" t="s">
        <v>69</v>
      </c>
      <c r="C46" s="8">
        <v>35.590000000000003</v>
      </c>
      <c r="D46" s="17" t="s">
        <v>0</v>
      </c>
    </row>
    <row r="47" spans="1:7" ht="15.75" x14ac:dyDescent="0.3">
      <c r="B47" s="17" t="s">
        <v>70</v>
      </c>
      <c r="C47" s="8">
        <f>D81</f>
        <v>85</v>
      </c>
      <c r="D47" s="17" t="s">
        <v>1</v>
      </c>
      <c r="G47" s="18" t="s">
        <v>64</v>
      </c>
    </row>
    <row r="48" spans="1:7" x14ac:dyDescent="0.2">
      <c r="G48" s="19" t="str">
        <f>[1]!PVT_encode_string(gamma_gas_,gamma_oil_,gamma_wat_,Rsb_,Rp_,Pb_,Tres_,Bob_,mu_)</f>
        <v>gamma_gas:0,800;gamma_oil:0,870;gamma_wat:1,000;rsb_m3m3:200,000;rp_m3m3:200,000;pb_atma:130,000;tres_C:100,000;bob_m3m3:1,200;muob_cP:5,000;PVTcorr:0;ksep_fr:0,000;pksep_atma:-1,000;tksep_C:-1,000;</v>
      </c>
    </row>
    <row r="49" spans="1:12" x14ac:dyDescent="0.2">
      <c r="A49" s="1" t="s">
        <v>19</v>
      </c>
    </row>
    <row r="50" spans="1:12" ht="15.75" x14ac:dyDescent="0.3">
      <c r="B50" s="17" t="s">
        <v>71</v>
      </c>
      <c r="C50" s="2">
        <v>250</v>
      </c>
      <c r="D50" s="17" t="s">
        <v>0</v>
      </c>
    </row>
    <row r="51" spans="1:12" x14ac:dyDescent="0.2">
      <c r="B51" s="17" t="s">
        <v>72</v>
      </c>
      <c r="C51" s="20">
        <f>[1]!IPR_PI_sm3dayatm(Q_,Pwf_,Pres_,fw_,Pb_)</f>
        <v>0.39475733194913054</v>
      </c>
      <c r="D51" s="17" t="s">
        <v>9</v>
      </c>
    </row>
    <row r="52" spans="1:12" x14ac:dyDescent="0.2">
      <c r="B52" s="17" t="s">
        <v>73</v>
      </c>
      <c r="C52" s="2">
        <v>3</v>
      </c>
      <c r="D52" s="17" t="s">
        <v>10</v>
      </c>
    </row>
    <row r="53" spans="1:12" x14ac:dyDescent="0.2">
      <c r="B53" s="22"/>
      <c r="C53" s="22"/>
      <c r="D53" s="22"/>
    </row>
    <row r="55" spans="1:12" x14ac:dyDescent="0.2">
      <c r="B55" s="11" t="s">
        <v>11</v>
      </c>
      <c r="C55" s="2">
        <v>20</v>
      </c>
      <c r="D55" s="11"/>
    </row>
    <row r="59" spans="1:12" outlineLevel="1" x14ac:dyDescent="0.2"/>
    <row r="60" spans="1:12" x14ac:dyDescent="0.2">
      <c r="A60" t="s">
        <v>28</v>
      </c>
    </row>
    <row r="61" spans="1:12" outlineLevel="1" x14ac:dyDescent="0.2">
      <c r="A61" t="s">
        <v>23</v>
      </c>
    </row>
    <row r="62" spans="1:12" outlineLevel="1" x14ac:dyDescent="0.2"/>
    <row r="63" spans="1:12" outlineLevel="1" x14ac:dyDescent="0.2">
      <c r="C63" s="45" t="s">
        <v>24</v>
      </c>
      <c r="D63" s="2">
        <v>0.5</v>
      </c>
      <c r="G63" s="46" t="s">
        <v>85</v>
      </c>
      <c r="H63" s="46"/>
      <c r="I63" s="46"/>
      <c r="J63" s="46"/>
      <c r="K63" s="46"/>
      <c r="L63" s="44">
        <v>0.65</v>
      </c>
    </row>
    <row r="64" spans="1:12" outlineLevel="1" x14ac:dyDescent="0.2"/>
    <row r="65" spans="3:16" ht="63.75" outlineLevel="1" x14ac:dyDescent="0.2">
      <c r="C65" s="25" t="s">
        <v>13</v>
      </c>
      <c r="D65" s="25" t="s">
        <v>12</v>
      </c>
      <c r="E65" s="9"/>
      <c r="F65" s="24" t="s">
        <v>22</v>
      </c>
      <c r="G65" s="24" t="s">
        <v>27</v>
      </c>
      <c r="H65" s="24" t="s">
        <v>21</v>
      </c>
      <c r="I65" s="29" t="s">
        <v>20</v>
      </c>
      <c r="J65" s="24" t="s">
        <v>25</v>
      </c>
      <c r="K65" s="24" t="s">
        <v>81</v>
      </c>
      <c r="L65" s="31" t="s">
        <v>24</v>
      </c>
      <c r="M65" s="24" t="s">
        <v>83</v>
      </c>
      <c r="N65" s="24" t="s">
        <v>82</v>
      </c>
      <c r="O65" s="24" t="s">
        <v>80</v>
      </c>
      <c r="P65" s="42"/>
    </row>
    <row r="66" spans="3:16" outlineLevel="1" x14ac:dyDescent="0.2">
      <c r="C66" s="26">
        <v>0</v>
      </c>
      <c r="D66" s="26">
        <f t="shared" ref="D66:D85" si="0">D67-Tgrad*(C67-C66)/100</f>
        <v>40</v>
      </c>
      <c r="F66" s="20">
        <f>[1]!MF_p_pipe_atma(Q_,fw_,C67,C66,F67,PVT_str_,theta_,Dtub_,,D67,D66)</f>
        <v>0</v>
      </c>
      <c r="I66" s="6"/>
      <c r="J66" s="32">
        <f>Pbuf_</f>
        <v>20</v>
      </c>
      <c r="K66" s="20">
        <f>[1]!MF_p_pipe_atma(Q_,fw_,C67,C66,K67,PVT_str_,theta_,Dtub_,1,D67,D66)</f>
        <v>8.400014756357173</v>
      </c>
      <c r="O66" s="20">
        <f>[1]!MF_p_pipe_atma(Q_annular_,fw_,C67,C66,O67,PVT_str_annular_,theta_,d_annular_pr,1,D67,D66)</f>
        <v>9.4510445510357393</v>
      </c>
      <c r="P66" s="38"/>
    </row>
    <row r="67" spans="3:16" outlineLevel="1" x14ac:dyDescent="0.2">
      <c r="C67" s="26">
        <f t="shared" ref="C67:C86" si="1">C66+Hmes_/N_</f>
        <v>100</v>
      </c>
      <c r="D67" s="26">
        <f t="shared" si="0"/>
        <v>43</v>
      </c>
      <c r="F67" s="20">
        <f>[1]!MF_p_pipe_atma(Q_,fw_,C68,C67,F68,PVT_str_,theta_,Dtub_,,D68,D67)</f>
        <v>0</v>
      </c>
      <c r="I67" s="6"/>
      <c r="J67" s="20">
        <f>[1]!MF_p_pipe_atma(Q_,fw_,C66,C67,J66,PVT_str_,theta_,Dtub_,1,D66,D67)</f>
        <v>26.355429747824981</v>
      </c>
      <c r="K67" s="20">
        <f>[1]!MF_p_pipe_atma(Q_,fw_,C68,C67,K68,PVT_str_,theta_,Dtub_,1,D68,D67)</f>
        <v>11.906102059732911</v>
      </c>
      <c r="O67" s="20">
        <f>[1]!MF_p_pipe_atma(Q_annular_,fw_,C68,C67,O68,PVT_str_annular_,theta_,d_annular_pr,1,D68,D67)</f>
        <v>10.688164610093018</v>
      </c>
      <c r="P67" s="38"/>
    </row>
    <row r="68" spans="3:16" outlineLevel="1" x14ac:dyDescent="0.2">
      <c r="C68" s="26">
        <f t="shared" si="1"/>
        <v>200</v>
      </c>
      <c r="D68" s="26">
        <f t="shared" si="0"/>
        <v>46</v>
      </c>
      <c r="F68" s="20">
        <f>[1]!MF_p_pipe_atma(Q_,fw_,C69,C68,F69,PVT_str_,theta_,Dtub_,,D69,D68)</f>
        <v>0</v>
      </c>
      <c r="I68" s="6"/>
      <c r="J68" s="20">
        <f>[1]!MF_p_pipe_atma(Q_,fw_,C67,C68,J67,PVT_str_,theta_,Dtub_,1,D67,D68)</f>
        <v>33.750712642375831</v>
      </c>
      <c r="K68" s="20">
        <f>[1]!MF_p_pipe_atma(Q_,fw_,C69,C68,K69,PVT_str_,theta_,Dtub_,1,D69,D68)</f>
        <v>16.495198559161292</v>
      </c>
      <c r="O68" s="20">
        <f>[1]!MF_p_pipe_atma(Q_annular_,fw_,C69,C68,O69,PVT_str_annular_,theta_,d_annular_pr,1,D69,D68)</f>
        <v>11.961770493381993</v>
      </c>
      <c r="P68" s="38"/>
    </row>
    <row r="69" spans="3:16" outlineLevel="1" x14ac:dyDescent="0.2">
      <c r="C69" s="26">
        <f t="shared" si="1"/>
        <v>300</v>
      </c>
      <c r="D69" s="26">
        <f t="shared" si="0"/>
        <v>49</v>
      </c>
      <c r="F69" s="20">
        <f>[1]!MF_p_pipe_atma(Q_,fw_,C70,C69,F70,PVT_str_,theta_,Dtub_,,D70,D69)</f>
        <v>0</v>
      </c>
      <c r="I69" s="6"/>
      <c r="J69" s="20">
        <f>[1]!MF_p_pipe_atma(Q_,fw_,C68,C69,J68,PVT_str_,theta_,Dtub_,1,D68,D69)</f>
        <v>42.030357431659887</v>
      </c>
      <c r="K69" s="20">
        <f>[1]!MF_p_pipe_atma(Q_,fw_,C70,C69,K70,PVT_str_,theta_,Dtub_,1,D70,D69)</f>
        <v>22.05973635292721</v>
      </c>
      <c r="O69" s="20">
        <f>[1]!MF_p_pipe_atma(Q_annular_,fw_,C70,C69,O70,PVT_str_annular_,theta_,d_annular_pr,1,D70,D69)</f>
        <v>13.281024796911447</v>
      </c>
      <c r="P69" s="38"/>
    </row>
    <row r="70" spans="3:16" outlineLevel="1" x14ac:dyDescent="0.2">
      <c r="C70" s="26">
        <f t="shared" si="1"/>
        <v>400</v>
      </c>
      <c r="D70" s="26">
        <f t="shared" si="0"/>
        <v>52</v>
      </c>
      <c r="F70" s="20">
        <f>[1]!MF_p_pipe_atma(Q_,fw_,C71,C70,F71,PVT_str_,theta_,Dtub_,,D71,D70)</f>
        <v>0</v>
      </c>
      <c r="I70" s="6"/>
      <c r="J70" s="20">
        <f>[1]!MF_p_pipe_atma(Q_,fw_,C69,C70,J69,PVT_str_,theta_,Dtub_,1,D69,D70)</f>
        <v>50.468294435791449</v>
      </c>
      <c r="K70" s="20">
        <f>[1]!MF_p_pipe_atma(Q_,fw_,C71,C70,K71,PVT_str_,theta_,Dtub_,1,D71,D70)</f>
        <v>28.627450164839701</v>
      </c>
      <c r="O70" s="20">
        <f>[1]!MF_p_pipe_atma(Q_annular_,fw_,C71,C70,O71,PVT_str_annular_,theta_,d_annular_pr,1,D71,D70)</f>
        <v>14.653424813529455</v>
      </c>
      <c r="P70" s="38"/>
    </row>
    <row r="71" spans="3:16" outlineLevel="1" x14ac:dyDescent="0.2">
      <c r="C71" s="26">
        <f t="shared" si="1"/>
        <v>500</v>
      </c>
      <c r="D71" s="26">
        <f t="shared" si="0"/>
        <v>55</v>
      </c>
      <c r="F71" s="20">
        <f>[1]!MF_p_pipe_atma(Q_,fw_,C72,C71,F72,PVT_str_,theta_,Dtub_,,D72,D71)</f>
        <v>0</v>
      </c>
      <c r="I71" s="6"/>
      <c r="J71" s="20">
        <f>[1]!MF_p_pipe_atma(Q_,fw_,C70,C71,J70,PVT_str_,theta_,Dtub_,1,D70,D71)</f>
        <v>58.910221490484425</v>
      </c>
      <c r="K71" s="20">
        <f>[1]!MF_p_pipe_atma(Q_,fw_,C72,C71,K72,PVT_str_,theta_,Dtub_,1,D72,D71)</f>
        <v>36.175965345018497</v>
      </c>
      <c r="O71" s="20">
        <f>[1]!MF_p_pipe_atma(Q_annular_,fw_,C72,C71,O72,PVT_str_annular_,theta_,d_annular_pr,1,D72,D71)</f>
        <v>16.085379400373021</v>
      </c>
      <c r="P71" s="38"/>
    </row>
    <row r="72" spans="3:16" outlineLevel="1" x14ac:dyDescent="0.2">
      <c r="C72" s="26">
        <f t="shared" si="1"/>
        <v>600</v>
      </c>
      <c r="D72" s="26">
        <f t="shared" si="0"/>
        <v>58</v>
      </c>
      <c r="F72" s="20">
        <f>[1]!MF_p_pipe_atma(Q_,fw_,C73,C72,F73,PVT_str_,theta_,Dtub_,,D73,D72)</f>
        <v>0</v>
      </c>
      <c r="I72" s="6"/>
      <c r="J72" s="20">
        <f>[1]!MF_p_pipe_atma(Q_,fw_,C71,C72,J71,PVT_str_,theta_,Dtub_,1,D71,D72)</f>
        <v>67.354394106571633</v>
      </c>
      <c r="K72" s="20">
        <f>[1]!MF_p_pipe_atma(Q_,fw_,C73,C72,K73,PVT_str_,theta_,Dtub_,1,D73,D72)</f>
        <v>44.502865741139232</v>
      </c>
      <c r="O72" s="20">
        <f>[1]!MF_p_pipe_atma(Q_annular_,fw_,C73,C72,O73,PVT_str_annular_,theta_,d_annular_pr,1,D73,D72)</f>
        <v>17.5825510459714</v>
      </c>
      <c r="P72" s="38"/>
    </row>
    <row r="73" spans="3:16" outlineLevel="1" x14ac:dyDescent="0.2">
      <c r="C73" s="26">
        <f t="shared" si="1"/>
        <v>700</v>
      </c>
      <c r="D73" s="26">
        <f t="shared" si="0"/>
        <v>61</v>
      </c>
      <c r="F73" s="20">
        <f>[1]!MF_p_pipe_atma(Q_,fw_,C74,C73,F74,PVT_str_,theta_,Dtub_,,D74,D73)</f>
        <v>1.559118634191879</v>
      </c>
      <c r="I73" s="6"/>
      <c r="J73" s="20">
        <f>[1]!MF_p_pipe_atma(Q_,fw_,C72,C73,J72,PVT_str_,theta_,Dtub_,1,D72,D73)</f>
        <v>75.799680802821129</v>
      </c>
      <c r="K73" s="20">
        <f>[1]!MF_p_pipe_atma(Q_,fw_,C74,C73,K74,PVT_str_,theta_,Dtub_,1,D74,D73)</f>
        <v>52.916550759989882</v>
      </c>
      <c r="O73" s="20">
        <f>[1]!MF_p_pipe_atma(Q_annular_,fw_,C74,C73,O74,PVT_str_annular_,theta_,d_annular_pr,1,D74,D73)</f>
        <v>19.15006721971168</v>
      </c>
      <c r="P73" s="38"/>
    </row>
    <row r="74" spans="3:16" outlineLevel="1" x14ac:dyDescent="0.2">
      <c r="C74" s="26">
        <f t="shared" si="1"/>
        <v>800</v>
      </c>
      <c r="D74" s="26">
        <f t="shared" si="0"/>
        <v>64</v>
      </c>
      <c r="F74" s="20">
        <f>[1]!MF_p_pipe_atma(Q_,fw_,C75,C74,F75,PVT_str_,theta_,Dtub_,,D75,D74)</f>
        <v>3.488927744877127</v>
      </c>
      <c r="I74" s="6"/>
      <c r="J74" s="20">
        <f>[1]!MF_p_pipe_atma(Q_,fw_,C73,C74,J73,PVT_str_,theta_,Dtub_,1,D73,D74)</f>
        <v>84.245303566030188</v>
      </c>
      <c r="K74" s="20">
        <f>[1]!MF_p_pipe_atma(Q_,fw_,C75,C74,K75,PVT_str_,theta_,Dtub_,1,D75,D74)</f>
        <v>61.336074092289977</v>
      </c>
      <c r="O74" s="20">
        <f>[1]!MF_p_pipe_atma(Q_annular_,fw_,C75,C74,O75,PVT_str_annular_,theta_,d_annular_pr,1,D75,D74)</f>
        <v>20.792654519507614</v>
      </c>
      <c r="P74" s="38"/>
    </row>
    <row r="75" spans="3:16" outlineLevel="1" x14ac:dyDescent="0.2">
      <c r="C75" s="26">
        <f t="shared" si="1"/>
        <v>900</v>
      </c>
      <c r="D75" s="26">
        <f t="shared" si="0"/>
        <v>67</v>
      </c>
      <c r="F75" s="20">
        <f>[1]!MF_p_pipe_atma(Q_,fw_,C76,C75,F76,PVT_str_,theta_,Dtub_,,D76,D75)</f>
        <v>5.9995033143006324</v>
      </c>
      <c r="I75" s="6"/>
      <c r="J75" s="20">
        <f>[1]!MF_p_pipe_atma(Q_,fw_,C74,C75,J74,PVT_str_,theta_,Dtub_,1,D74,D75)</f>
        <v>92.690702493771497</v>
      </c>
      <c r="K75" s="20">
        <f>[1]!MF_p_pipe_atma(Q_,fw_,C76,C75,K76,PVT_str_,theta_,Dtub_,1,D76,D75)</f>
        <v>69.759268961025313</v>
      </c>
      <c r="O75" s="20">
        <f>[1]!MF_p_pipe_atma(Q_annular_,fw_,C76,C75,O76,PVT_str_annular_,theta_,d_annular_pr,1,D76,D75)</f>
        <v>22.514724967627604</v>
      </c>
      <c r="P75" s="38"/>
    </row>
    <row r="76" spans="3:16" outlineLevel="1" x14ac:dyDescent="0.2">
      <c r="C76" s="26">
        <f t="shared" si="1"/>
        <v>1000</v>
      </c>
      <c r="D76" s="26">
        <f t="shared" si="0"/>
        <v>70</v>
      </c>
      <c r="F76" s="20">
        <f>[1]!MF_p_pipe_atma(Q_,fw_,C77,C76,F77,PVT_str_,theta_,Dtub_,,D77,D76)</f>
        <v>9.1562275980625714</v>
      </c>
      <c r="I76" s="6"/>
      <c r="J76" s="20">
        <f>[1]!MF_p_pipe_atma(Q_,fw_,C75,C76,J75,PVT_str_,theta_,Dtub_,1,D75,D76)</f>
        <v>101.13545953833881</v>
      </c>
      <c r="K76" s="20">
        <f>[1]!MF_p_pipe_atma(Q_,fw_,C77,C76,K77,PVT_str_,theta_,Dtub_,1,D77,D76)</f>
        <v>78.184703293048287</v>
      </c>
      <c r="O76" s="20">
        <f>[1]!MF_p_pipe_atma(Q_annular_,fw_,C77,C76,O77,PVT_str_annular_,theta_,d_annular_pr,1,D77,D76)</f>
        <v>24.320431434753978</v>
      </c>
      <c r="P76" s="38"/>
    </row>
    <row r="77" spans="3:16" outlineLevel="1" x14ac:dyDescent="0.2">
      <c r="C77" s="26">
        <f t="shared" si="1"/>
        <v>1100</v>
      </c>
      <c r="D77" s="26">
        <f t="shared" si="0"/>
        <v>73</v>
      </c>
      <c r="F77" s="20">
        <f>[1]!MF_p_pipe_atma(Q_,fw_,C78,C77,F78,PVT_str_,theta_,Dtub_,,D78,D77)</f>
        <v>12.980350073113867</v>
      </c>
      <c r="I77" s="6"/>
      <c r="J77" s="20">
        <f>[1]!MF_p_pipe_atma(Q_,fw_,C76,C77,J76,PVT_str_,theta_,Dtub_,1,D76,D77)</f>
        <v>109.57925287375804</v>
      </c>
      <c r="K77" s="20">
        <f>[1]!MF_p_pipe_atma(Q_,fw_,C78,C77,K78,PVT_str_,theta_,Dtub_,1,D78,D77)</f>
        <v>86.611379153403249</v>
      </c>
      <c r="O77" s="20">
        <f>[1]!MF_p_pipe_atma(Q_annular_,fw_,C78,C77,O78,PVT_str_annular_,theta_,d_annular_pr,1,D78,D77)</f>
        <v>26.213702477787681</v>
      </c>
      <c r="P77" s="38"/>
    </row>
    <row r="78" spans="3:16" outlineLevel="1" x14ac:dyDescent="0.2">
      <c r="C78" s="26">
        <f t="shared" si="1"/>
        <v>1200</v>
      </c>
      <c r="D78" s="26">
        <f t="shared" si="0"/>
        <v>76</v>
      </c>
      <c r="F78" s="20">
        <f>[1]!MF_p_pipe_atma(Q_,fw_,C79,C78,F79,PVT_str_,theta_,Dtub_,,D79,D78)</f>
        <v>17.472182316169523</v>
      </c>
      <c r="I78" s="6"/>
      <c r="J78" s="20">
        <f>[1]!MF_p_pipe_atma(Q_,fw_,C77,C78,J77,PVT_str_,theta_,Dtub_,1,D77,D78)</f>
        <v>118.02182822841964</v>
      </c>
      <c r="K78" s="20">
        <f>[1]!MF_p_pipe_atma(Q_,fw_,C79,C78,K79,PVT_str_,theta_,Dtub_,1,D79,D78)</f>
        <v>95.038571577726231</v>
      </c>
      <c r="O78" s="20">
        <f>[1]!MF_p_pipe_atma(Q_annular_,fw_,C79,C78,O79,PVT_str_annular_,theta_,d_annular_pr,1,D79,D78)</f>
        <v>28.198263083734599</v>
      </c>
      <c r="P78" s="38"/>
    </row>
    <row r="79" spans="3:16" outlineLevel="1" x14ac:dyDescent="0.2">
      <c r="C79" s="26">
        <f t="shared" si="1"/>
        <v>1300</v>
      </c>
      <c r="D79" s="26">
        <f t="shared" si="0"/>
        <v>79</v>
      </c>
      <c r="F79" s="20">
        <f>[1]!MF_p_pipe_atma(Q_,fw_,C80,C79,F80,PVT_str_,theta_,Dtub_,,D80,D79)</f>
        <v>22.616421007014264</v>
      </c>
      <c r="I79" s="6"/>
      <c r="J79" s="20">
        <f>[1]!MF_p_pipe_atma(Q_,fw_,C78,C79,J78,PVT_str_,theta_,Dtub_,1,D78,D79)</f>
        <v>126.4629801404637</v>
      </c>
      <c r="K79" s="20">
        <f>[1]!MF_p_pipe_atma(Q_,fw_,C80,C79,K80,PVT_str_,theta_,Dtub_,1,D80,D79)</f>
        <v>103.4657358054951</v>
      </c>
      <c r="O79" s="20">
        <f>[1]!MF_p_pipe_atma(Q_annular_,fw_,C80,C79,O80,PVT_str_annular_,theta_,d_annular_pr,1,D80,D79)</f>
        <v>30.277645578963494</v>
      </c>
      <c r="P79" s="38"/>
    </row>
    <row r="80" spans="3:16" outlineLevel="1" x14ac:dyDescent="0.2">
      <c r="C80" s="26">
        <f t="shared" si="1"/>
        <v>1400</v>
      </c>
      <c r="D80" s="26">
        <f t="shared" si="0"/>
        <v>82</v>
      </c>
      <c r="F80" s="20">
        <f>[1]!MF_p_pipe_atma(Q_,fw_,C81,C80,F81,PVT_str_,theta_,Dtub_,,D81,D80)</f>
        <v>28.384150575196287</v>
      </c>
      <c r="I80" s="6"/>
      <c r="J80" s="20">
        <f>[1]!MF_p_pipe_atma(Q_,fw_,C79,C80,J79,PVT_str_,theta_,Dtub_,1,D79,D80)</f>
        <v>134.90035853909339</v>
      </c>
      <c r="K80" s="20">
        <f>[1]!MF_p_pipe_atma(Q_,fw_,C81,C80,K81,PVT_str_,theta_,Dtub_,1,D81,D80)</f>
        <v>111.89245080709286</v>
      </c>
      <c r="O80" s="20">
        <f>[1]!MF_p_pipe_atma(Q_annular_,fw_,C81,C80,O81,PVT_str_annular_,theta_,d_annular_pr,1,D81,D80)</f>
        <v>32.455193605249896</v>
      </c>
      <c r="P80" s="38"/>
    </row>
    <row r="81" spans="1:24" outlineLevel="1" x14ac:dyDescent="0.2">
      <c r="B81" s="18" t="s">
        <v>26</v>
      </c>
      <c r="C81" s="26">
        <f t="shared" si="1"/>
        <v>1500</v>
      </c>
      <c r="D81" s="26">
        <f t="shared" si="0"/>
        <v>85</v>
      </c>
      <c r="F81" s="20">
        <f>[1]!MF_p_pipe_atma(Q_,fw_,C82,C81,F82,PVT_str_,theta_,Dtub_,,D82,D81)</f>
        <v>34.734061214655505</v>
      </c>
      <c r="G81" s="19">
        <f>[1]!MF_ksep_natural_d(Q_,wc_,Pintake_,Tintake_,Dintake_,Dcas_,PVT_str_)</f>
        <v>0.62937823051219122</v>
      </c>
      <c r="H81" s="19">
        <f>[1]!MF_ksep_total_d(G81,KsepGasSep_)</f>
        <v>0.98146891152560956</v>
      </c>
      <c r="I81" s="30">
        <f>[1]!MF_gas_fraction_d(F81,D81,fw_,PVT_str_)</f>
        <v>0.23339857723202256</v>
      </c>
      <c r="J81" s="20">
        <f>[1]!MF_p_pipe_atma(Q_,fw_,C80,C81,J80,PVT_str_,theta_,Dtub_,1,D80,D81)</f>
        <v>143.33106609414344</v>
      </c>
      <c r="K81" s="33">
        <f>M81+F81</f>
        <v>120.3183833052079</v>
      </c>
      <c r="L81" s="40"/>
      <c r="M81" s="19">
        <f>[1]!ESP_dP_atm(Q_,fw_,Pintake_,NumStage_,Freq_,PumpID_,PVT_str_,Tintake_,0,1,,D63)</f>
        <v>85.584322090552405</v>
      </c>
      <c r="N81" s="41">
        <f>J81-F81</f>
        <v>108.59700487948794</v>
      </c>
      <c r="O81" s="32">
        <f>F81</f>
        <v>34.734061214655505</v>
      </c>
      <c r="P81" s="43"/>
    </row>
    <row r="82" spans="1:24" outlineLevel="1" x14ac:dyDescent="0.2">
      <c r="C82" s="26">
        <f t="shared" si="1"/>
        <v>1600</v>
      </c>
      <c r="D82" s="26">
        <f t="shared" si="0"/>
        <v>88</v>
      </c>
      <c r="E82" s="6"/>
      <c r="F82" s="28">
        <f>[1]!MF_p_pipe_atma(Q_,fw_,C83,C82,F83,PVT_str_,theta_,Dtub_,,D83,D82)</f>
        <v>41.822257074525695</v>
      </c>
      <c r="I82" s="6"/>
      <c r="J82" s="6"/>
      <c r="K82" s="6"/>
    </row>
    <row r="83" spans="1:24" outlineLevel="1" x14ac:dyDescent="0.2">
      <c r="C83" s="26">
        <f t="shared" si="1"/>
        <v>1700</v>
      </c>
      <c r="D83" s="26">
        <f t="shared" si="0"/>
        <v>91</v>
      </c>
      <c r="E83" s="6"/>
      <c r="F83" s="20">
        <f>[1]!MF_p_pipe_atma(Q_,fw_,C84,C83,F84,PVT_str_,theta_,Dtub_,,D84,D83)</f>
        <v>50.009508975175521</v>
      </c>
      <c r="I83" s="6"/>
      <c r="J83" s="6"/>
      <c r="K83" s="6"/>
    </row>
    <row r="84" spans="1:24" outlineLevel="1" x14ac:dyDescent="0.2">
      <c r="C84" s="26">
        <f t="shared" si="1"/>
        <v>1800</v>
      </c>
      <c r="D84" s="26">
        <f t="shared" si="0"/>
        <v>94</v>
      </c>
      <c r="E84" s="6"/>
      <c r="F84" s="20">
        <f>[1]!MF_p_pipe_atma(Q_,fw_,C85,C84,F85,PVT_str_,theta_,Dtub_,,D85,D84)</f>
        <v>58.32796983806567</v>
      </c>
      <c r="I84" s="6"/>
      <c r="J84" s="6"/>
      <c r="K84" s="6"/>
    </row>
    <row r="85" spans="1:24" outlineLevel="1" x14ac:dyDescent="0.2">
      <c r="C85" s="26">
        <f t="shared" si="1"/>
        <v>1900</v>
      </c>
      <c r="D85" s="26">
        <f t="shared" si="0"/>
        <v>97</v>
      </c>
      <c r="E85" s="6"/>
      <c r="F85" s="20">
        <f>[1]!MF_p_pipe_atma(Q_,fw_,C86,C85,F86,PVT_str_,theta_,Dtub_,,D86,D85)</f>
        <v>66.659361836840532</v>
      </c>
      <c r="I85" s="6"/>
      <c r="J85" s="6"/>
      <c r="K85" s="6"/>
    </row>
    <row r="86" spans="1:24" outlineLevel="1" x14ac:dyDescent="0.2">
      <c r="C86" s="26">
        <f t="shared" si="1"/>
        <v>2000</v>
      </c>
      <c r="D86" s="26">
        <f>Tres_</f>
        <v>100</v>
      </c>
      <c r="E86" s="6"/>
      <c r="F86" s="27">
        <f>Pwf_</f>
        <v>75</v>
      </c>
      <c r="I86" s="6"/>
      <c r="J86" s="6"/>
      <c r="K86" s="6"/>
    </row>
    <row r="87" spans="1:24" outlineLevel="1" x14ac:dyDescent="0.2"/>
    <row r="88" spans="1:24" outlineLevel="1" x14ac:dyDescent="0.2"/>
    <row r="89" spans="1:24" outlineLevel="1" x14ac:dyDescent="0.2"/>
    <row r="90" spans="1:24" outlineLevel="1" x14ac:dyDescent="0.2"/>
    <row r="91" spans="1:24" outlineLevel="1" x14ac:dyDescent="0.2"/>
    <row r="92" spans="1:24" x14ac:dyDescent="0.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</row>
    <row r="93" spans="1:24" outlineLevel="1" x14ac:dyDescent="0.2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</row>
    <row r="94" spans="1:24" outlineLevel="1" x14ac:dyDescent="0.2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</row>
    <row r="95" spans="1:24" outlineLevel="1" x14ac:dyDescent="0.2">
      <c r="A95" s="35"/>
      <c r="B95" s="35"/>
      <c r="C95" s="22"/>
      <c r="D95" s="22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</row>
    <row r="96" spans="1:24" outlineLevel="1" x14ac:dyDescent="0.2">
      <c r="A96" s="35"/>
      <c r="B96" s="35"/>
      <c r="C96" s="22"/>
      <c r="D96" s="22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</row>
    <row r="97" spans="1:24" outlineLevel="1" x14ac:dyDescent="0.2">
      <c r="A97" s="35"/>
      <c r="B97" s="35"/>
      <c r="C97" s="22"/>
      <c r="D97" s="22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</row>
    <row r="98" spans="1:24" outlineLevel="1" x14ac:dyDescent="0.2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</row>
    <row r="99" spans="1:24" outlineLevel="1" x14ac:dyDescent="0.2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</row>
    <row r="100" spans="1:24" outlineLevel="1" x14ac:dyDescent="0.2">
      <c r="A100" s="35"/>
      <c r="B100" s="35"/>
      <c r="C100" s="36"/>
      <c r="D100" s="36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5"/>
      <c r="P100" s="35"/>
      <c r="Q100" s="35"/>
      <c r="R100" s="35"/>
      <c r="S100" s="35"/>
      <c r="T100" s="35"/>
      <c r="U100" s="35"/>
      <c r="V100" s="35"/>
      <c r="W100" s="35"/>
      <c r="X100" s="35"/>
    </row>
    <row r="101" spans="1:24" outlineLevel="1" x14ac:dyDescent="0.2">
      <c r="A101" s="35"/>
      <c r="B101" s="35"/>
      <c r="C101" s="22"/>
      <c r="D101" s="22"/>
      <c r="E101" s="38"/>
      <c r="F101" s="38"/>
      <c r="G101" s="35"/>
      <c r="H101" s="35"/>
      <c r="I101" s="35"/>
      <c r="J101" s="35"/>
      <c r="K101" s="35"/>
      <c r="L101" s="38"/>
      <c r="M101" s="38"/>
      <c r="N101" s="38"/>
      <c r="O101" s="35"/>
      <c r="P101" s="35"/>
      <c r="Q101" s="35"/>
      <c r="R101" s="35"/>
      <c r="S101" s="35"/>
      <c r="T101" s="35"/>
      <c r="U101" s="35"/>
      <c r="V101" s="35"/>
      <c r="W101" s="35"/>
      <c r="X101" s="35"/>
    </row>
    <row r="102" spans="1:24" outlineLevel="1" x14ac:dyDescent="0.2">
      <c r="A102" s="35"/>
      <c r="B102" s="35"/>
      <c r="C102" s="22"/>
      <c r="D102" s="22"/>
      <c r="E102" s="38"/>
      <c r="F102" s="38"/>
      <c r="G102" s="35"/>
      <c r="H102" s="35"/>
      <c r="I102" s="35"/>
      <c r="J102" s="35"/>
      <c r="K102" s="35"/>
      <c r="L102" s="38"/>
      <c r="M102" s="38"/>
      <c r="N102" s="38"/>
      <c r="O102" s="35"/>
      <c r="P102" s="35"/>
      <c r="Q102" s="35"/>
      <c r="R102" s="35"/>
      <c r="S102" s="35"/>
      <c r="T102" s="35"/>
      <c r="U102" s="35"/>
      <c r="V102" s="35"/>
      <c r="W102" s="35"/>
      <c r="X102" s="35"/>
    </row>
    <row r="103" spans="1:24" outlineLevel="1" x14ac:dyDescent="0.2">
      <c r="A103" s="35"/>
      <c r="B103" s="35"/>
      <c r="C103" s="22"/>
      <c r="D103" s="22"/>
      <c r="E103" s="38"/>
      <c r="F103" s="38"/>
      <c r="G103" s="35"/>
      <c r="H103" s="35"/>
      <c r="I103" s="35"/>
      <c r="J103" s="35"/>
      <c r="K103" s="35"/>
      <c r="L103" s="38"/>
      <c r="M103" s="38"/>
      <c r="N103" s="38"/>
      <c r="O103" s="35"/>
      <c r="P103" s="35"/>
      <c r="Q103" s="35"/>
      <c r="R103" s="35"/>
      <c r="S103" s="35"/>
      <c r="T103" s="35"/>
      <c r="U103" s="35"/>
      <c r="V103" s="35"/>
      <c r="W103" s="35"/>
      <c r="X103" s="35"/>
    </row>
    <row r="104" spans="1:24" outlineLevel="1" x14ac:dyDescent="0.2">
      <c r="A104" s="35"/>
      <c r="B104" s="35"/>
      <c r="C104" s="22"/>
      <c r="D104" s="22"/>
      <c r="E104" s="38"/>
      <c r="F104" s="38"/>
      <c r="G104" s="35"/>
      <c r="H104" s="35"/>
      <c r="I104" s="35"/>
      <c r="J104" s="35"/>
      <c r="K104" s="35"/>
      <c r="L104" s="38"/>
      <c r="M104" s="38"/>
      <c r="N104" s="38"/>
      <c r="O104" s="35"/>
      <c r="P104" s="35"/>
      <c r="Q104" s="35"/>
      <c r="R104" s="35"/>
      <c r="S104" s="35"/>
      <c r="T104" s="35"/>
      <c r="U104" s="35"/>
      <c r="V104" s="35"/>
      <c r="W104" s="35"/>
      <c r="X104" s="35"/>
    </row>
    <row r="105" spans="1:24" outlineLevel="1" x14ac:dyDescent="0.2">
      <c r="A105" s="35"/>
      <c r="B105" s="35"/>
      <c r="C105" s="22"/>
      <c r="D105" s="22"/>
      <c r="E105" s="38"/>
      <c r="F105" s="38"/>
      <c r="G105" s="35"/>
      <c r="H105" s="35"/>
      <c r="I105" s="35"/>
      <c r="J105" s="35"/>
      <c r="K105" s="35"/>
      <c r="L105" s="38"/>
      <c r="M105" s="38"/>
      <c r="N105" s="38"/>
      <c r="O105" s="35"/>
      <c r="P105" s="35"/>
      <c r="Q105" s="35"/>
      <c r="R105" s="35"/>
      <c r="S105" s="35"/>
      <c r="T105" s="35"/>
      <c r="U105" s="35"/>
      <c r="V105" s="35"/>
      <c r="W105" s="35"/>
      <c r="X105" s="35"/>
    </row>
    <row r="106" spans="1:24" outlineLevel="1" x14ac:dyDescent="0.2">
      <c r="A106" s="35"/>
      <c r="B106" s="35"/>
      <c r="C106" s="22"/>
      <c r="D106" s="22"/>
      <c r="E106" s="38"/>
      <c r="F106" s="38"/>
      <c r="G106" s="35"/>
      <c r="H106" s="35"/>
      <c r="I106" s="35"/>
      <c r="J106" s="35"/>
      <c r="K106" s="35"/>
      <c r="L106" s="38"/>
      <c r="M106" s="38"/>
      <c r="N106" s="38"/>
      <c r="O106" s="35"/>
      <c r="P106" s="35"/>
      <c r="Q106" s="35"/>
      <c r="R106" s="35"/>
      <c r="S106" s="35"/>
      <c r="T106" s="35"/>
      <c r="U106" s="35"/>
      <c r="V106" s="35"/>
      <c r="W106" s="35"/>
      <c r="X106" s="35"/>
    </row>
    <row r="107" spans="1:24" outlineLevel="1" x14ac:dyDescent="0.2">
      <c r="A107" s="35"/>
      <c r="B107" s="35"/>
      <c r="C107" s="22"/>
      <c r="D107" s="22"/>
      <c r="E107" s="38"/>
      <c r="F107" s="38"/>
      <c r="G107" s="35"/>
      <c r="H107" s="35"/>
      <c r="I107" s="35"/>
      <c r="J107" s="35"/>
      <c r="K107" s="35"/>
      <c r="L107" s="38"/>
      <c r="M107" s="38"/>
      <c r="N107" s="38"/>
      <c r="O107" s="35"/>
      <c r="P107" s="35"/>
      <c r="Q107" s="35"/>
      <c r="R107" s="35"/>
      <c r="S107" s="35"/>
      <c r="T107" s="35"/>
      <c r="U107" s="35"/>
      <c r="V107" s="35"/>
      <c r="W107" s="35"/>
      <c r="X107" s="35"/>
    </row>
    <row r="108" spans="1:24" outlineLevel="1" x14ac:dyDescent="0.2">
      <c r="A108" s="35"/>
      <c r="B108" s="35"/>
      <c r="C108" s="22"/>
      <c r="D108" s="22"/>
      <c r="E108" s="38"/>
      <c r="F108" s="38"/>
      <c r="G108" s="35"/>
      <c r="H108" s="35"/>
      <c r="I108" s="35"/>
      <c r="J108" s="35"/>
      <c r="K108" s="35"/>
      <c r="L108" s="38"/>
      <c r="M108" s="38"/>
      <c r="N108" s="38"/>
      <c r="O108" s="35"/>
      <c r="P108" s="35"/>
      <c r="Q108" s="35"/>
      <c r="R108" s="35"/>
      <c r="S108" s="35"/>
      <c r="T108" s="35"/>
      <c r="U108" s="35"/>
      <c r="V108" s="35"/>
      <c r="W108" s="35"/>
      <c r="X108" s="35"/>
    </row>
    <row r="109" spans="1:24" outlineLevel="1" x14ac:dyDescent="0.2">
      <c r="A109" s="35"/>
      <c r="B109" s="35"/>
      <c r="C109" s="22"/>
      <c r="D109" s="22"/>
      <c r="E109" s="38"/>
      <c r="F109" s="38"/>
      <c r="G109" s="35"/>
      <c r="H109" s="35"/>
      <c r="I109" s="35"/>
      <c r="J109" s="35"/>
      <c r="K109" s="35"/>
      <c r="L109" s="38"/>
      <c r="M109" s="38"/>
      <c r="N109" s="38"/>
      <c r="O109" s="35"/>
      <c r="P109" s="35"/>
      <c r="Q109" s="35"/>
      <c r="R109" s="35"/>
      <c r="S109" s="35"/>
      <c r="T109" s="35"/>
      <c r="U109" s="35"/>
      <c r="V109" s="35"/>
      <c r="W109" s="35"/>
      <c r="X109" s="35"/>
    </row>
    <row r="110" spans="1:24" outlineLevel="1" x14ac:dyDescent="0.2">
      <c r="A110" s="35"/>
      <c r="B110" s="35"/>
      <c r="C110" s="22"/>
      <c r="D110" s="22"/>
      <c r="E110" s="38"/>
      <c r="F110" s="38"/>
      <c r="G110" s="35"/>
      <c r="H110" s="35"/>
      <c r="I110" s="35"/>
      <c r="J110" s="35"/>
      <c r="K110" s="35"/>
      <c r="L110" s="38"/>
      <c r="M110" s="38"/>
      <c r="N110" s="38"/>
      <c r="O110" s="35"/>
      <c r="P110" s="35"/>
      <c r="Q110" s="35"/>
      <c r="R110" s="35"/>
      <c r="S110" s="35"/>
      <c r="T110" s="35"/>
      <c r="U110" s="35"/>
      <c r="V110" s="35"/>
      <c r="W110" s="35"/>
      <c r="X110" s="35"/>
    </row>
    <row r="111" spans="1:24" outlineLevel="1" x14ac:dyDescent="0.2">
      <c r="A111" s="35"/>
      <c r="B111" s="35"/>
      <c r="C111" s="22"/>
      <c r="D111" s="22"/>
      <c r="E111" s="38"/>
      <c r="F111" s="38"/>
      <c r="G111" s="35"/>
      <c r="H111" s="35"/>
      <c r="I111" s="35"/>
      <c r="J111" s="35"/>
      <c r="K111" s="35"/>
      <c r="L111" s="38"/>
      <c r="M111" s="38"/>
      <c r="N111" s="38"/>
      <c r="O111" s="35"/>
      <c r="P111" s="35"/>
      <c r="Q111" s="35"/>
      <c r="R111" s="35"/>
      <c r="S111" s="35"/>
      <c r="T111" s="35"/>
      <c r="U111" s="35"/>
      <c r="V111" s="35"/>
      <c r="W111" s="35"/>
      <c r="X111" s="35"/>
    </row>
    <row r="112" spans="1:24" outlineLevel="1" x14ac:dyDescent="0.2">
      <c r="A112" s="35"/>
      <c r="B112" s="35"/>
      <c r="C112" s="22"/>
      <c r="D112" s="22"/>
      <c r="E112" s="38"/>
      <c r="F112" s="38"/>
      <c r="G112" s="35"/>
      <c r="H112" s="35"/>
      <c r="I112" s="35"/>
      <c r="J112" s="35"/>
      <c r="K112" s="35"/>
      <c r="L112" s="38"/>
      <c r="M112" s="38"/>
      <c r="N112" s="38"/>
      <c r="O112" s="35"/>
      <c r="P112" s="35"/>
      <c r="Q112" s="35"/>
      <c r="R112" s="35"/>
      <c r="S112" s="35"/>
      <c r="T112" s="35"/>
      <c r="U112" s="35"/>
      <c r="V112" s="35"/>
      <c r="W112" s="35"/>
      <c r="X112" s="35"/>
    </row>
    <row r="113" spans="1:24" outlineLevel="1" x14ac:dyDescent="0.2">
      <c r="A113" s="35"/>
      <c r="B113" s="35"/>
      <c r="C113" s="22"/>
      <c r="D113" s="22"/>
      <c r="E113" s="38"/>
      <c r="F113" s="38"/>
      <c r="G113" s="35"/>
      <c r="H113" s="35"/>
      <c r="I113" s="35"/>
      <c r="J113" s="35"/>
      <c r="K113" s="35"/>
      <c r="L113" s="38"/>
      <c r="M113" s="38"/>
      <c r="N113" s="38"/>
      <c r="O113" s="35"/>
      <c r="P113" s="35"/>
      <c r="Q113" s="35"/>
      <c r="R113" s="35"/>
      <c r="S113" s="35"/>
      <c r="T113" s="35"/>
      <c r="U113" s="35"/>
      <c r="V113" s="35"/>
      <c r="W113" s="35"/>
      <c r="X113" s="35"/>
    </row>
    <row r="114" spans="1:24" outlineLevel="1" x14ac:dyDescent="0.2">
      <c r="A114" s="35"/>
      <c r="B114" s="35"/>
      <c r="C114" s="22"/>
      <c r="D114" s="22"/>
      <c r="E114" s="38"/>
      <c r="F114" s="38"/>
      <c r="G114" s="35"/>
      <c r="H114" s="35"/>
      <c r="I114" s="35"/>
      <c r="J114" s="35"/>
      <c r="K114" s="35"/>
      <c r="L114" s="38"/>
      <c r="M114" s="38"/>
      <c r="N114" s="38"/>
      <c r="O114" s="35"/>
      <c r="P114" s="35"/>
      <c r="Q114" s="35"/>
      <c r="R114" s="35"/>
      <c r="S114" s="35"/>
      <c r="T114" s="35"/>
      <c r="U114" s="35"/>
      <c r="V114" s="35"/>
      <c r="W114" s="35"/>
      <c r="X114" s="35"/>
    </row>
    <row r="115" spans="1:24" outlineLevel="1" x14ac:dyDescent="0.2">
      <c r="A115" s="35"/>
      <c r="B115" s="35"/>
      <c r="C115" s="22"/>
      <c r="D115" s="22"/>
      <c r="E115" s="38"/>
      <c r="F115" s="38"/>
      <c r="G115" s="35"/>
      <c r="H115" s="35"/>
      <c r="I115" s="35"/>
      <c r="J115" s="35"/>
      <c r="K115" s="35"/>
      <c r="L115" s="38"/>
      <c r="M115" s="38"/>
      <c r="N115" s="38"/>
      <c r="O115" s="35"/>
      <c r="P115" s="35"/>
      <c r="Q115" s="35"/>
      <c r="R115" s="35"/>
      <c r="S115" s="35"/>
      <c r="T115" s="35"/>
      <c r="U115" s="35"/>
      <c r="V115" s="35"/>
      <c r="W115" s="35"/>
      <c r="X115" s="35"/>
    </row>
    <row r="116" spans="1:24" outlineLevel="1" x14ac:dyDescent="0.2">
      <c r="A116" s="35"/>
      <c r="B116" s="35"/>
      <c r="C116" s="22"/>
      <c r="D116" s="22"/>
      <c r="E116" s="38"/>
      <c r="F116" s="38"/>
      <c r="G116" s="38"/>
      <c r="H116" s="35"/>
      <c r="I116" s="35"/>
      <c r="J116" s="35"/>
      <c r="K116" s="35"/>
      <c r="L116" s="39"/>
      <c r="M116" s="38"/>
      <c r="N116" s="38"/>
      <c r="O116" s="35"/>
      <c r="P116" s="35"/>
      <c r="Q116" s="35"/>
      <c r="R116" s="35"/>
      <c r="S116" s="35"/>
      <c r="T116" s="35"/>
      <c r="U116" s="35"/>
      <c r="V116" s="35"/>
      <c r="W116" s="35"/>
      <c r="X116" s="35"/>
    </row>
    <row r="117" spans="1:24" outlineLevel="1" x14ac:dyDescent="0.2">
      <c r="A117" s="35"/>
      <c r="B117" s="35"/>
      <c r="C117" s="22"/>
      <c r="D117" s="22"/>
      <c r="E117" s="38"/>
      <c r="F117" s="38"/>
      <c r="G117" s="38"/>
      <c r="H117" s="35"/>
      <c r="I117" s="35"/>
      <c r="J117" s="35"/>
      <c r="K117" s="35"/>
      <c r="L117" s="35"/>
      <c r="M117" s="38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</row>
    <row r="118" spans="1:24" outlineLevel="1" x14ac:dyDescent="0.2">
      <c r="A118" s="35"/>
      <c r="B118" s="35"/>
      <c r="C118" s="22"/>
      <c r="D118" s="22"/>
      <c r="E118" s="38"/>
      <c r="F118" s="38"/>
      <c r="G118" s="35"/>
      <c r="H118" s="35"/>
      <c r="I118" s="35"/>
      <c r="J118" s="35"/>
      <c r="K118" s="35"/>
      <c r="L118" s="35"/>
      <c r="M118" s="38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</row>
    <row r="119" spans="1:24" outlineLevel="1" x14ac:dyDescent="0.2">
      <c r="A119" s="35"/>
      <c r="B119" s="35"/>
      <c r="C119" s="22"/>
      <c r="D119" s="22"/>
      <c r="E119" s="38"/>
      <c r="F119" s="38"/>
      <c r="G119" s="35"/>
      <c r="H119" s="35"/>
      <c r="I119" s="35"/>
      <c r="J119" s="35"/>
      <c r="K119" s="35"/>
      <c r="L119" s="35"/>
      <c r="M119" s="38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</row>
    <row r="120" spans="1:24" outlineLevel="1" x14ac:dyDescent="0.2">
      <c r="A120" s="35"/>
      <c r="B120" s="35"/>
      <c r="C120" s="22"/>
      <c r="D120" s="22"/>
      <c r="E120" s="38"/>
      <c r="F120" s="38"/>
      <c r="G120" s="35"/>
      <c r="H120" s="35"/>
      <c r="I120" s="35"/>
      <c r="J120" s="35"/>
      <c r="K120" s="35"/>
      <c r="L120" s="35"/>
      <c r="M120" s="38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</row>
    <row r="121" spans="1:24" outlineLevel="1" x14ac:dyDescent="0.2">
      <c r="A121" s="35"/>
      <c r="B121" s="35"/>
      <c r="C121" s="22"/>
      <c r="D121" s="22"/>
      <c r="E121" s="38"/>
      <c r="F121" s="22"/>
      <c r="G121" s="35"/>
      <c r="H121" s="35"/>
      <c r="I121" s="35"/>
      <c r="J121" s="35"/>
      <c r="K121" s="35"/>
      <c r="L121" s="35"/>
      <c r="M121" s="38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</row>
    <row r="122" spans="1:24" outlineLevel="1" x14ac:dyDescent="0.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</row>
    <row r="123" spans="1:24" outlineLevel="1" x14ac:dyDescent="0.2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</row>
    <row r="124" spans="1:24" x14ac:dyDescent="0.2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</row>
    <row r="125" spans="1:24" x14ac:dyDescent="0.2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</row>
    <row r="183" spans="12:12" x14ac:dyDescent="0.2">
      <c r="L183" t="s">
        <v>14</v>
      </c>
    </row>
    <row r="194" spans="12:12" x14ac:dyDescent="0.2">
      <c r="L194" s="7"/>
    </row>
  </sheetData>
  <mergeCells count="1">
    <mergeCell ref="G63:K6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49</vt:i4>
      </vt:variant>
    </vt:vector>
  </HeadingPairs>
  <TitlesOfParts>
    <vt:vector size="50" baseType="lpstr">
      <vt:lpstr>well</vt:lpstr>
      <vt:lpstr>well!Bob_</vt:lpstr>
      <vt:lpstr>d_annular_pr</vt:lpstr>
      <vt:lpstr>well!Dcas_</vt:lpstr>
      <vt:lpstr>well!Dintake_</vt:lpstr>
      <vt:lpstr>well!Dtub_</vt:lpstr>
      <vt:lpstr>well!Dtub_out_</vt:lpstr>
      <vt:lpstr>ESPstr</vt:lpstr>
      <vt:lpstr>well!Freq_</vt:lpstr>
      <vt:lpstr>well!Freq1_</vt:lpstr>
      <vt:lpstr>fw_</vt:lpstr>
      <vt:lpstr>well!gamma_gas_</vt:lpstr>
      <vt:lpstr>well!gamma_oil_</vt:lpstr>
      <vt:lpstr>well!gamma_wat_</vt:lpstr>
      <vt:lpstr>well!Head_ESP_</vt:lpstr>
      <vt:lpstr>well!Hmes_</vt:lpstr>
      <vt:lpstr>well!Hpump_</vt:lpstr>
      <vt:lpstr>k_split_liquid</vt:lpstr>
      <vt:lpstr>well!Kdegr_</vt:lpstr>
      <vt:lpstr>well!KsepGasSep_</vt:lpstr>
      <vt:lpstr>mu_</vt:lpstr>
      <vt:lpstr>well!N_</vt:lpstr>
      <vt:lpstr>well!NumStage_</vt:lpstr>
      <vt:lpstr>well!Pb_</vt:lpstr>
      <vt:lpstr>well!Pbuf_</vt:lpstr>
      <vt:lpstr>well!Pdis_</vt:lpstr>
      <vt:lpstr>well!PI_</vt:lpstr>
      <vt:lpstr>well!Pintake_</vt:lpstr>
      <vt:lpstr>PKsep</vt:lpstr>
      <vt:lpstr>well!Pres_</vt:lpstr>
      <vt:lpstr>well!PumpID_</vt:lpstr>
      <vt:lpstr>PVT_str_</vt:lpstr>
      <vt:lpstr>PVT_str_annular_</vt:lpstr>
      <vt:lpstr>well!Pwf_</vt:lpstr>
      <vt:lpstr>well!Pwf1_</vt:lpstr>
      <vt:lpstr>well!Q_</vt:lpstr>
      <vt:lpstr>Q_annular_</vt:lpstr>
      <vt:lpstr>well!Q_ESP_</vt:lpstr>
      <vt:lpstr>Q_total_</vt:lpstr>
      <vt:lpstr>well!Qmax</vt:lpstr>
      <vt:lpstr>well!Qreal_</vt:lpstr>
      <vt:lpstr>well!Rp_</vt:lpstr>
      <vt:lpstr>well!Rsb_</vt:lpstr>
      <vt:lpstr>well!Tgrad</vt:lpstr>
      <vt:lpstr>theta_</vt:lpstr>
      <vt:lpstr>well!Tintake_</vt:lpstr>
      <vt:lpstr>TKsep</vt:lpstr>
      <vt:lpstr>well!Tres_</vt:lpstr>
      <vt:lpstr>well!Udl_</vt:lpstr>
      <vt:lpstr>well!wc_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Олег Кобзарь</cp:lastModifiedBy>
  <cp:lastPrinted>2007-08-27T05:31:44Z</cp:lastPrinted>
  <dcterms:created xsi:type="dcterms:W3CDTF">2005-04-11T05:46:28Z</dcterms:created>
  <dcterms:modified xsi:type="dcterms:W3CDTF">2019-07-12T09:55:42Z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