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Users\olegk\Documents\unifloc_vba\excercises\excercises\"/>
    </mc:Choice>
  </mc:AlternateContent>
  <xr:revisionPtr revIDLastSave="0" documentId="13_ncr:1_{F36A26C3-D7AA-463A-91D4-C620A4195825}" xr6:coauthVersionLast="43" xr6:coauthVersionMax="43" xr10:uidLastSave="{00000000-0000-0000-0000-000000000000}"/>
  <bookViews>
    <workbookView xWindow="-120" yWindow="-120" windowWidth="24240" windowHeight="13140" tabRatio="422" xr2:uid="{00000000-000D-0000-FFFF-FFFF00000000}"/>
  </bookViews>
  <sheets>
    <sheet name="well" sheetId="107" r:id="rId1"/>
  </sheets>
  <externalReferences>
    <externalReference r:id="rId2"/>
  </externalReferences>
  <definedNames>
    <definedName name="Bob_" localSheetId="0">well!$C$14</definedName>
    <definedName name="Dcas_" localSheetId="0">well!$C$21</definedName>
    <definedName name="Dintake_" localSheetId="0">well!$C$25</definedName>
    <definedName name="Dtub_" localSheetId="0">well!$C$24</definedName>
    <definedName name="Dtub_out_" localSheetId="0">well!$C$22</definedName>
    <definedName name="ESPstr">well!$G$42</definedName>
    <definedName name="Freq_" localSheetId="0">well!$C$37</definedName>
    <definedName name="Freq1_" localSheetId="0">well!$D$94</definedName>
    <definedName name="fw_">well!$C$32</definedName>
    <definedName name="gamma_gas_" localSheetId="0">well!$C$9</definedName>
    <definedName name="gamma_oil_" localSheetId="0">well!$C$7</definedName>
    <definedName name="gamma_wat_" localSheetId="0">well!$C$8</definedName>
    <definedName name="Head_ESP_" localSheetId="0">well!$C$36</definedName>
    <definedName name="Hmes_" localSheetId="0">well!$C$18</definedName>
    <definedName name="Hpump_" localSheetId="0">well!$C$20</definedName>
    <definedName name="Kdegr_" localSheetId="0">well!$D$60</definedName>
    <definedName name="KsepGasSep_" localSheetId="0">well!$C$42</definedName>
    <definedName name="mu_">well!$C$15</definedName>
    <definedName name="N_" localSheetId="0">well!$C$52</definedName>
    <definedName name="NumStage_" localSheetId="0">well!$C$41</definedName>
    <definedName name="Pb_" localSheetId="0">well!$C$12</definedName>
    <definedName name="Pbuf_" localSheetId="0">well!$C$26</definedName>
    <definedName name="Pdis_" localSheetId="0">well!$C$29</definedName>
    <definedName name="PI_" localSheetId="0">well!$C$48</definedName>
    <definedName name="Pintake_" localSheetId="0">well!$C$27</definedName>
    <definedName name="PKsep">well!$C$43</definedName>
    <definedName name="Pres_" localSheetId="0">well!$C$47</definedName>
    <definedName name="PumpID_" localSheetId="0">well!$C$38</definedName>
    <definedName name="PVT_str_">well!$G$39</definedName>
    <definedName name="Pwf_" localSheetId="0">well!$C$30</definedName>
    <definedName name="Pwf1_" localSheetId="0">well!$D$92</definedName>
    <definedName name="Q_" localSheetId="0">well!$C$31</definedName>
    <definedName name="Q_ESP_" localSheetId="0">well!$C$35</definedName>
    <definedName name="Qmax" localSheetId="0">well!$C$40</definedName>
    <definedName name="Qreal_" localSheetId="0">well!$D$93</definedName>
    <definedName name="Rp_" localSheetId="0">well!$C$11</definedName>
    <definedName name="Rsb_" localSheetId="0">well!$C$10</definedName>
    <definedName name="Tgrad" localSheetId="0">well!$C$49</definedName>
    <definedName name="theta_">well!$C$23</definedName>
    <definedName name="Tintake_" localSheetId="0">well!$C$28</definedName>
    <definedName name="TKsep">well!$C$44</definedName>
    <definedName name="Tres_" localSheetId="0">well!$C$13</definedName>
    <definedName name="Udl_" localSheetId="0">well!$C$19</definedName>
    <definedName name="wc_" localSheetId="0">well!$C$14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3" i="107" l="1"/>
  <c r="L78" i="107"/>
  <c r="I78" i="107"/>
  <c r="H78" i="107"/>
  <c r="G78" i="107"/>
  <c r="C69" i="107" l="1"/>
  <c r="C70" i="107" s="1"/>
  <c r="C71" i="107" s="1"/>
  <c r="C72" i="107" s="1"/>
  <c r="C73" i="107" s="1"/>
  <c r="C74" i="107" s="1"/>
  <c r="C75" i="107" s="1"/>
  <c r="C76" i="107" s="1"/>
  <c r="C77" i="107" s="1"/>
  <c r="C78" i="107" s="1"/>
  <c r="C79" i="107" s="1"/>
  <c r="C80" i="107" s="1"/>
  <c r="C81" i="107" s="1"/>
  <c r="C82" i="107" s="1"/>
  <c r="C83" i="107" s="1"/>
  <c r="D83" i="107"/>
  <c r="D82" i="107" l="1"/>
  <c r="D81" i="107" s="1"/>
  <c r="D80" i="107" s="1"/>
  <c r="D79" i="107" s="1"/>
  <c r="D78" i="107" s="1"/>
  <c r="D77" i="107" s="1"/>
  <c r="D76" i="107" s="1"/>
  <c r="D75" i="107" s="1"/>
  <c r="D74" i="107" s="1"/>
  <c r="D73" i="107" s="1"/>
  <c r="D72" i="107" s="1"/>
  <c r="D71" i="107" s="1"/>
  <c r="D70" i="107" s="1"/>
  <c r="D69" i="107" s="1"/>
  <c r="D68" i="107" s="1"/>
  <c r="D67" i="107" s="1"/>
  <c r="D66" i="107" s="1"/>
  <c r="D65" i="107" s="1"/>
  <c r="D64" i="107" s="1"/>
  <c r="G39" i="107"/>
  <c r="C48" i="107"/>
  <c r="C38" i="107"/>
  <c r="G42" i="107" s="1"/>
  <c r="C40" i="107"/>
  <c r="C41" i="107"/>
  <c r="C39" i="107"/>
  <c r="E13" i="107" l="1"/>
  <c r="E12" i="107"/>
  <c r="E11" i="107"/>
  <c r="E10" i="107"/>
  <c r="E9" i="107"/>
  <c r="E8" i="107"/>
  <c r="E7" i="107"/>
  <c r="J63" i="107" l="1"/>
  <c r="G1" i="107"/>
  <c r="F118" i="107" l="1"/>
  <c r="D118" i="107"/>
  <c r="C99" i="107"/>
  <c r="C100" i="107" s="1"/>
  <c r="C101" i="107" s="1"/>
  <c r="C102" i="107" s="1"/>
  <c r="C103" i="107" s="1"/>
  <c r="C104" i="107" s="1"/>
  <c r="C105" i="107" s="1"/>
  <c r="C106" i="107" s="1"/>
  <c r="C107" i="107" s="1"/>
  <c r="C108" i="107" s="1"/>
  <c r="C109" i="107" s="1"/>
  <c r="C110" i="107" s="1"/>
  <c r="C111" i="107" s="1"/>
  <c r="C112" i="107" s="1"/>
  <c r="C113" i="107" s="1"/>
  <c r="C114" i="107" s="1"/>
  <c r="C115" i="107" s="1"/>
  <c r="C116" i="107" s="1"/>
  <c r="C117" i="107" s="1"/>
  <c r="C118" i="107" s="1"/>
  <c r="F83" i="107"/>
  <c r="C64" i="107"/>
  <c r="C65" i="107" s="1"/>
  <c r="C66" i="107" s="1"/>
  <c r="C67" i="107" s="1"/>
  <c r="C68" i="107" s="1"/>
  <c r="F82" i="107"/>
  <c r="D117" i="107" l="1"/>
  <c r="F81" i="107"/>
  <c r="D116" i="107" l="1"/>
  <c r="F80" i="107"/>
  <c r="D115" i="107" l="1"/>
  <c r="F79" i="107"/>
  <c r="D114" i="107" l="1"/>
  <c r="F78" i="107"/>
  <c r="D113" i="107" l="1"/>
  <c r="D112" i="107" l="1"/>
  <c r="D111" i="107" s="1"/>
  <c r="D110" i="107" s="1"/>
  <c r="D109" i="107" s="1"/>
  <c r="D108" i="107" s="1"/>
  <c r="D107" i="107" s="1"/>
  <c r="D106" i="107" s="1"/>
  <c r="D105" i="107" s="1"/>
  <c r="D104" i="107" s="1"/>
  <c r="D103" i="107" s="1"/>
  <c r="D102" i="107" s="1"/>
  <c r="D101" i="107" s="1"/>
  <c r="D100" i="107" s="1"/>
  <c r="D99" i="107" s="1"/>
  <c r="D98" i="107" s="1"/>
  <c r="D63" i="107" l="1"/>
  <c r="J64" i="107"/>
  <c r="J65" i="107" s="1"/>
  <c r="J66" i="107" s="1"/>
  <c r="J67" i="107" s="1"/>
  <c r="J68" i="107" s="1"/>
  <c r="J69" i="107" s="1"/>
  <c r="J70" i="107" s="1"/>
  <c r="J71" i="107" s="1"/>
  <c r="J72" i="107" s="1"/>
  <c r="J73" i="107" s="1"/>
  <c r="J74" i="107" s="1"/>
  <c r="J75" i="107" s="1"/>
  <c r="J76" i="107" s="1"/>
  <c r="J77" i="107" s="1"/>
  <c r="J78" i="107" s="1"/>
  <c r="M78" i="107" l="1"/>
</calcChain>
</file>

<file path=xl/sharedStrings.xml><?xml version="1.0" encoding="utf-8"?>
<sst xmlns="http://schemas.openxmlformats.org/spreadsheetml/2006/main" count="116" uniqueCount="86">
  <si>
    <t>Q</t>
  </si>
  <si>
    <t>Частота</t>
  </si>
  <si>
    <t>атм</t>
  </si>
  <si>
    <t>С</t>
  </si>
  <si>
    <t>%</t>
  </si>
  <si>
    <t>м</t>
  </si>
  <si>
    <t>мм</t>
  </si>
  <si>
    <t>м3/сут</t>
  </si>
  <si>
    <t xml:space="preserve">м </t>
  </si>
  <si>
    <t>Гц</t>
  </si>
  <si>
    <t>шт</t>
  </si>
  <si>
    <t>м3/сут/атм</t>
  </si>
  <si>
    <t>град/100 м</t>
  </si>
  <si>
    <t>N</t>
  </si>
  <si>
    <t>T</t>
  </si>
  <si>
    <t>H</t>
  </si>
  <si>
    <t>,</t>
  </si>
  <si>
    <t>Физико - химические свойства флюида</t>
  </si>
  <si>
    <t>Данные по скважине</t>
  </si>
  <si>
    <t>ЭЦН</t>
  </si>
  <si>
    <t>Ступени</t>
  </si>
  <si>
    <t>Пласт</t>
  </si>
  <si>
    <t>Доля газа</t>
  </si>
  <si>
    <t>Общая сепарация</t>
  </si>
  <si>
    <t>P снизу вверх</t>
  </si>
  <si>
    <t>Построить распределение давления в скважине при постоянном дебите</t>
  </si>
  <si>
    <t>Деградация</t>
  </si>
  <si>
    <t>Давление в НКТ сверху вниз</t>
  </si>
  <si>
    <t>Перепад давления в насосе</t>
  </si>
  <si>
    <t>Давление в НКТ</t>
  </si>
  <si>
    <t>Давление затруб</t>
  </si>
  <si>
    <t>Глубина установки насоса</t>
  </si>
  <si>
    <t>Построить распределение давления для скважины с постоянной продуктивностью</t>
  </si>
  <si>
    <t>Pзаб</t>
  </si>
  <si>
    <t>Ксепарации естественной</t>
  </si>
  <si>
    <t>Упражнение 2</t>
  </si>
  <si>
    <t>Упражнение 1</t>
  </si>
  <si>
    <t>Упражнения по работе с макросами Unifloc VBA</t>
  </si>
  <si>
    <t>версия</t>
  </si>
  <si>
    <t>Расчет распределения давления в скважине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</si>
  <si>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</si>
  <si>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</si>
  <si>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</si>
  <si>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</si>
  <si>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</si>
  <si>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</si>
  <si>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</si>
  <si>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</si>
  <si>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</si>
  <si>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</si>
  <si>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</si>
  <si>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</si>
  <si>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</si>
  <si>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</si>
  <si>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H</t>
    </r>
    <r>
      <rPr>
        <vertAlign val="subscript"/>
        <sz val="10"/>
        <rFont val="Arial Cyr"/>
        <charset val="204"/>
      </rPr>
      <t>mes</t>
    </r>
  </si>
  <si>
    <r>
      <t>H</t>
    </r>
    <r>
      <rPr>
        <vertAlign val="subscript"/>
        <sz val="10"/>
        <rFont val="Arial Cyr"/>
        <charset val="204"/>
      </rPr>
      <t>mes</t>
    </r>
    <r>
      <rPr>
        <sz val="10"/>
        <rFont val="Arial Cyr"/>
        <charset val="204"/>
      </rPr>
      <t>-H</t>
    </r>
    <r>
      <rPr>
        <vertAlign val="subscript"/>
        <sz val="10"/>
        <rFont val="Arial Cyr"/>
        <charset val="204"/>
      </rPr>
      <t>vert</t>
    </r>
  </si>
  <si>
    <r>
      <t>H</t>
    </r>
    <r>
      <rPr>
        <vertAlign val="subscript"/>
        <sz val="10"/>
        <rFont val="Arial Cyr"/>
        <charset val="204"/>
      </rPr>
      <t>pump</t>
    </r>
  </si>
  <si>
    <r>
      <t>ID</t>
    </r>
    <r>
      <rPr>
        <vertAlign val="subscript"/>
        <sz val="10"/>
        <rFont val="Arial Cyr"/>
        <charset val="204"/>
      </rPr>
      <t>cas</t>
    </r>
  </si>
  <si>
    <r>
      <t>OD</t>
    </r>
    <r>
      <rPr>
        <vertAlign val="subscript"/>
        <sz val="10"/>
        <rFont val="Arial Cyr"/>
        <charset val="204"/>
      </rPr>
      <t>tub</t>
    </r>
  </si>
  <si>
    <r>
      <t>ID</t>
    </r>
    <r>
      <rPr>
        <vertAlign val="subscript"/>
        <sz val="10"/>
        <rFont val="Arial Cyr"/>
        <charset val="204"/>
      </rPr>
      <t>tub</t>
    </r>
  </si>
  <si>
    <r>
      <t>D</t>
    </r>
    <r>
      <rPr>
        <vertAlign val="subscript"/>
        <sz val="10"/>
        <rFont val="Arial Cyr"/>
        <charset val="204"/>
      </rPr>
      <t>intake</t>
    </r>
  </si>
  <si>
    <r>
      <t>P</t>
    </r>
    <r>
      <rPr>
        <vertAlign val="subscript"/>
        <sz val="10"/>
        <rFont val="Arial Cyr"/>
        <charset val="204"/>
      </rPr>
      <t>buf</t>
    </r>
  </si>
  <si>
    <r>
      <t>P</t>
    </r>
    <r>
      <rPr>
        <vertAlign val="subscript"/>
        <sz val="10"/>
        <rFont val="Arial Cyr"/>
        <charset val="204"/>
      </rPr>
      <t>intake</t>
    </r>
  </si>
  <si>
    <r>
      <t>T</t>
    </r>
    <r>
      <rPr>
        <vertAlign val="subscript"/>
        <sz val="10"/>
        <rFont val="Arial Cyr"/>
        <charset val="204"/>
      </rPr>
      <t>intake</t>
    </r>
  </si>
  <si>
    <r>
      <t>P</t>
    </r>
    <r>
      <rPr>
        <vertAlign val="subscript"/>
        <sz val="10"/>
        <rFont val="Arial Cyr"/>
        <charset val="204"/>
      </rPr>
      <t>dis</t>
    </r>
  </si>
  <si>
    <r>
      <t>P</t>
    </r>
    <r>
      <rPr>
        <vertAlign val="subscript"/>
        <sz val="10"/>
        <rFont val="Arial Cyr"/>
        <charset val="204"/>
      </rPr>
      <t>wf</t>
    </r>
  </si>
  <si>
    <r>
      <t>Q</t>
    </r>
    <r>
      <rPr>
        <vertAlign val="subscript"/>
        <sz val="10"/>
        <rFont val="Arial Cyr"/>
        <charset val="204"/>
      </rPr>
      <t>liq</t>
    </r>
  </si>
  <si>
    <r>
      <t>f</t>
    </r>
    <r>
      <rPr>
        <vertAlign val="subscript"/>
        <sz val="10"/>
        <rFont val="Arial Cyr"/>
        <charset val="204"/>
      </rPr>
      <t>w</t>
    </r>
  </si>
  <si>
    <r>
      <t>ЭЦН Q</t>
    </r>
    <r>
      <rPr>
        <vertAlign val="subscript"/>
        <sz val="10"/>
        <rFont val="Arial Cyr"/>
        <charset val="204"/>
      </rPr>
      <t>nom</t>
    </r>
  </si>
  <si>
    <r>
      <t>ЭЦН H</t>
    </r>
    <r>
      <rPr>
        <vertAlign val="subscript"/>
        <sz val="10"/>
        <rFont val="Arial Cyr"/>
        <charset val="204"/>
      </rPr>
      <t>nom</t>
    </r>
  </si>
  <si>
    <t>F</t>
  </si>
  <si>
    <t>ЭЦН ID</t>
  </si>
  <si>
    <t>PVT строка</t>
  </si>
  <si>
    <t>ЭЦН имя</t>
  </si>
  <si>
    <r>
      <t>ЭЦН Q</t>
    </r>
    <r>
      <rPr>
        <vertAlign val="subscript"/>
        <sz val="10"/>
        <rFont val="Arial Cyr"/>
        <charset val="204"/>
      </rPr>
      <t>max</t>
    </r>
  </si>
  <si>
    <t>ЭЦН строка</t>
  </si>
  <si>
    <r>
      <t>K</t>
    </r>
    <r>
      <rPr>
        <vertAlign val="subscript"/>
        <sz val="10"/>
        <rFont val="Arial Cyr"/>
        <charset val="204"/>
      </rPr>
      <t>sep гс</t>
    </r>
  </si>
  <si>
    <r>
      <t>P</t>
    </r>
    <r>
      <rPr>
        <vertAlign val="subscript"/>
        <sz val="10"/>
        <rFont val="Arial Cyr"/>
        <charset val="204"/>
      </rPr>
      <t>sep</t>
    </r>
  </si>
  <si>
    <r>
      <t>T</t>
    </r>
    <r>
      <rPr>
        <vertAlign val="subscript"/>
        <sz val="10"/>
        <rFont val="Arial Cyr"/>
        <charset val="204"/>
      </rPr>
      <t>sep</t>
    </r>
  </si>
  <si>
    <r>
      <t>P</t>
    </r>
    <r>
      <rPr>
        <vertAlign val="subscript"/>
        <sz val="10"/>
        <rFont val="Arial Cyr"/>
        <charset val="204"/>
      </rPr>
      <t>res</t>
    </r>
  </si>
  <si>
    <t>PI</t>
  </si>
  <si>
    <t>dT/dL</t>
  </si>
  <si>
    <t>Muob cal</t>
  </si>
  <si>
    <t>сПуаз</t>
  </si>
  <si>
    <t>θ</t>
  </si>
  <si>
    <t>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</si>
</sst>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rgb="FFFF000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  <xf numFmtId="9" fontId="6" fillId="0" borderId="0" applyFont="0" applyFill="0" applyBorder="0" applyAlignment="0" applyProtection="0"/>
  </cellStyleXfs>
  <cellXfs count="45">
    <xf numFmtId="0" fontId="0" fillId="0" borderId="0" xfId="0"/>
    <xf numFmtId="0" fontId="5" fillId="0" borderId="0" xfId="0" applyFont="1"/>
    <xf numFmtId="0" fontId="0" fillId="4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4" borderId="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/>
    <xf numFmtId="2" fontId="0" fillId="4" borderId="2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6" borderId="0" xfId="0" applyFill="1"/>
    <xf numFmtId="2" fontId="0" fillId="6" borderId="0" xfId="0" applyNumberFormat="1" applyFill="1" applyAlignment="1">
      <alignment horizontal="center" vertical="center"/>
    </xf>
    <xf numFmtId="0" fontId="8" fillId="5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 wrapText="1"/>
    </xf>
    <xf numFmtId="1" fontId="0" fillId="6" borderId="2" xfId="0" applyNumberFormat="1" applyFill="1" applyBorder="1" applyAlignment="1">
      <alignment horizontal="center"/>
    </xf>
    <xf numFmtId="0" fontId="0" fillId="8" borderId="2" xfId="0" applyFill="1" applyBorder="1" applyAlignment="1">
      <alignment horizontal="center" wrapText="1"/>
    </xf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0" fontId="0" fillId="6" borderId="2" xfId="0" applyFill="1" applyBorder="1"/>
    <xf numFmtId="2" fontId="0" fillId="6" borderId="2" xfId="0" applyNumberFormat="1" applyFill="1" applyBorder="1" applyAlignment="1">
      <alignment horizontal="center"/>
    </xf>
    <xf numFmtId="0" fontId="11" fillId="5" borderId="2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8" fillId="5" borderId="2" xfId="0" applyFont="1" applyFill="1" applyBorder="1" applyAlignment="1">
      <alignment horizont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0" fontId="5" fillId="9" borderId="5" xfId="0" applyFont="1" applyFill="1" applyBorder="1" applyAlignment="1">
      <alignment horizontal="center" vertical="center" wrapText="1"/>
    </xf>
    <xf numFmtId="9" fontId="0" fillId="6" borderId="5" xfId="5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 vertical="center" wrapText="1"/>
    </xf>
    <xf numFmtId="2" fontId="0" fillId="10" borderId="2" xfId="0" applyNumberFormat="1" applyFon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2" fontId="0" fillId="0" borderId="2" xfId="0" applyNumberFormat="1" applyBorder="1"/>
    <xf numFmtId="2" fontId="7" fillId="2" borderId="2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6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Процентный" xfId="5" builtin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давления в скважине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Давление в НКТ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well!$F$63:$F$83</c:f>
              <c:numCache>
                <c:formatCode>0.00</c:formatCode>
                <c:ptCount val="21"/>
                <c:pt idx="15">
                  <c:v>39.332429868729321</c:v>
                </c:pt>
                <c:pt idx="16">
                  <c:v>45.135802461135086</c:v>
                </c:pt>
                <c:pt idx="17">
                  <c:v>51.145042461781934</c:v>
                </c:pt>
                <c:pt idx="18">
                  <c:v>57.309563800082991</c:v>
                </c:pt>
                <c:pt idx="19">
                  <c:v>63.590284390530542</c:v>
                </c:pt>
                <c:pt idx="20" formatCode="General">
                  <c:v>70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3-4480-B619-5B823188098A}"/>
            </c:ext>
          </c:extLst>
        </c:ser>
        <c:ser>
          <c:idx val="0"/>
          <c:order val="1"/>
          <c:tx>
            <c:v>P снизу вверх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well!$N$63:$N$83</c:f>
              <c:numCache>
                <c:formatCode>0.00</c:formatCode>
                <c:ptCount val="21"/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3-4480-B619-5B823188098A}"/>
            </c:ext>
          </c:extLst>
        </c:ser>
        <c:ser>
          <c:idx val="2"/>
          <c:order val="2"/>
          <c:tx>
            <c:v>Давление в НКТ сверху вниз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well!$J$63:$J$83</c:f>
              <c:numCache>
                <c:formatCode>0.00</c:formatCode>
                <c:ptCount val="21"/>
                <c:pt idx="0">
                  <c:v>20</c:v>
                </c:pt>
                <c:pt idx="1">
                  <c:v>27.959407722812312</c:v>
                </c:pt>
                <c:pt idx="2">
                  <c:v>35.902177441525836</c:v>
                </c:pt>
                <c:pt idx="3">
                  <c:v>43.807347588078372</c:v>
                </c:pt>
                <c:pt idx="4">
                  <c:v>51.663449289141646</c:v>
                </c:pt>
                <c:pt idx="5">
                  <c:v>59.463893259102854</c:v>
                </c:pt>
                <c:pt idx="6">
                  <c:v>67.205330438383683</c:v>
                </c:pt>
                <c:pt idx="7">
                  <c:v>74.896422212568496</c:v>
                </c:pt>
                <c:pt idx="8">
                  <c:v>82.539525833011339</c:v>
                </c:pt>
                <c:pt idx="9">
                  <c:v>90.143649082228606</c:v>
                </c:pt>
                <c:pt idx="10">
                  <c:v>97.731353997494693</c:v>
                </c:pt>
                <c:pt idx="11">
                  <c:v>105.30284466692166</c:v>
                </c:pt>
                <c:pt idx="12">
                  <c:v>112.85777361185316</c:v>
                </c:pt>
                <c:pt idx="13">
                  <c:v>120.39587128188307</c:v>
                </c:pt>
                <c:pt idx="14">
                  <c:v>127.91692706100578</c:v>
                </c:pt>
                <c:pt idx="15">
                  <c:v>135.42077575770162</c:v>
                </c:pt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B3-4480-B619-5B823188098A}"/>
            </c:ext>
          </c:extLst>
        </c:ser>
        <c:ser>
          <c:idx val="3"/>
          <c:order val="3"/>
          <c:tx>
            <c:v>Давление затруб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well!$O$63:$O$83</c:f>
              <c:numCache>
                <c:formatCode>0.00</c:formatCode>
                <c:ptCount val="21"/>
              </c:numCache>
            </c:numRef>
          </c:xVal>
          <c:yVal>
            <c:numRef>
              <c:f>well!$C$63:$C$83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B3-4480-B619-5B8231880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4640"/>
        <c:axId val="304305216"/>
      </c:scatterChart>
      <c:valAx>
        <c:axId val="3043046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5216"/>
        <c:crosses val="autoZero"/>
        <c:crossBetween val="midCat"/>
      </c:valAx>
      <c:valAx>
        <c:axId val="304305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давления в скважине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снизу вверх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well!$F$98:$F$118</c:f>
              <c:numCache>
                <c:formatCode>0.00</c:formatCode>
                <c:ptCount val="21"/>
                <c:pt idx="20" formatCode="General">
                  <c:v>30</c:v>
                </c:pt>
              </c:numCache>
            </c:numRef>
          </c:xVal>
          <c:yVal>
            <c:numRef>
              <c:f>well!$C$98:$C$118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30-4962-9B53-F3495E0C2214}"/>
            </c:ext>
          </c:extLst>
        </c:ser>
        <c:ser>
          <c:idx val="1"/>
          <c:order val="1"/>
          <c:tx>
            <c:v>Давление в НКТ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well!$K$98:$K$118</c:f>
              <c:numCache>
                <c:formatCode>0.00</c:formatCode>
                <c:ptCount val="21"/>
              </c:numCache>
            </c:numRef>
          </c:xVal>
          <c:yVal>
            <c:numRef>
              <c:f>well!$C$98:$C$118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30-4962-9B53-F3495E0C2214}"/>
            </c:ext>
          </c:extLst>
        </c:ser>
        <c:ser>
          <c:idx val="3"/>
          <c:order val="2"/>
          <c:tx>
            <c:v>Давление затруб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well!$M$98:$M$118</c:f>
              <c:numCache>
                <c:formatCode>0.00</c:formatCode>
                <c:ptCount val="21"/>
              </c:numCache>
            </c:numRef>
          </c:xVal>
          <c:yVal>
            <c:numRef>
              <c:f>well!$C$98:$C$118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30-4962-9B53-F3495E0C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07520"/>
        <c:axId val="304005120"/>
      </c:scatterChart>
      <c:valAx>
        <c:axId val="3043075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005120"/>
        <c:crosses val="autoZero"/>
        <c:crossBetween val="midCat"/>
      </c:valAx>
      <c:valAx>
        <c:axId val="3040051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430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455839</xdr:colOff>
      <xdr:row>61</xdr:row>
      <xdr:rowOff>27215</xdr:rowOff>
    </xdr:from>
    <xdr:to>
      <xdr:col>23</xdr:col>
      <xdr:colOff>210911</xdr:colOff>
      <xdr:row>83</xdr:row>
      <xdr:rowOff>61232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176893</xdr:colOff>
      <xdr:row>95</xdr:row>
      <xdr:rowOff>136071</xdr:rowOff>
    </xdr:from>
    <xdr:to>
      <xdr:col>20</xdr:col>
      <xdr:colOff>639535</xdr:colOff>
      <xdr:row>119</xdr:row>
      <xdr:rowOff>47624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gk/Documents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ESP_dP_atm"/>
      <definedName name="ESP_Encode_string"/>
      <definedName name="ESP_head_m"/>
      <definedName name="ESP_id_by_rate"/>
      <definedName name="esp_max_rate_m3day"/>
      <definedName name="ESP_name"/>
      <definedName name="getUFVersion"/>
      <definedName name="IPR_PI_sm3dayatm"/>
      <definedName name="IPR_Qliq_sm3Day"/>
      <definedName name="MF_gas_fraction_d"/>
      <definedName name="MF_ksep_natural_d"/>
      <definedName name="MF_ksep_total_d"/>
      <definedName name="MF_p_pipe_atma"/>
      <definedName name="PVT_encode_string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well">
    <outlinePr summaryBelow="0"/>
  </sheetPr>
  <dimension ref="A1:O191"/>
  <sheetViews>
    <sheetView tabSelected="1" topLeftCell="A88" zoomScale="85" zoomScaleNormal="85" workbookViewId="0">
      <selection activeCell="D92" sqref="D92"/>
    </sheetView>
  </sheetViews>
  <sheetFormatPr defaultRowHeight="12.75" outlineLevelRow="1" x14ac:dyDescent="0.2"/>
  <cols>
    <col min="2" max="2" width="26.28515625" customWidth="1"/>
    <col min="3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</cols>
  <sheetData>
    <row r="1" spans="1:7" x14ac:dyDescent="0.2">
      <c r="A1" s="1" t="s">
        <v>37</v>
      </c>
      <c r="F1" t="s">
        <v>38</v>
      </c>
      <c r="G1" t="str">
        <f>[1]!getUFVersion()</f>
        <v>7.7</v>
      </c>
    </row>
    <row r="2" spans="1:7" x14ac:dyDescent="0.2">
      <c r="A2" t="s">
        <v>39</v>
      </c>
    </row>
    <row r="6" spans="1:7" x14ac:dyDescent="0.2">
      <c r="A6" s="1" t="s">
        <v>17</v>
      </c>
    </row>
    <row r="7" spans="1:7" ht="18.75" outlineLevel="1" x14ac:dyDescent="0.35">
      <c r="B7" s="17" t="s">
        <v>40</v>
      </c>
      <c r="C7" s="2">
        <v>0.87</v>
      </c>
      <c r="D7" s="18"/>
      <c r="E7" s="19">
        <f>gamma_oil_*1000</f>
        <v>870</v>
      </c>
      <c r="F7" s="20" t="s">
        <v>41</v>
      </c>
    </row>
    <row r="8" spans="1:7" ht="18.75" outlineLevel="1" x14ac:dyDescent="0.35">
      <c r="B8" s="20" t="s">
        <v>42</v>
      </c>
      <c r="C8" s="2">
        <v>1</v>
      </c>
      <c r="D8" s="18"/>
      <c r="E8" s="19">
        <f>gamma_wat_*1000</f>
        <v>1000</v>
      </c>
      <c r="F8" s="20" t="s">
        <v>41</v>
      </c>
    </row>
    <row r="9" spans="1:7" ht="18.75" outlineLevel="1" x14ac:dyDescent="0.35">
      <c r="B9" s="20" t="s">
        <v>43</v>
      </c>
      <c r="C9" s="2">
        <v>0.8</v>
      </c>
      <c r="D9" s="18"/>
      <c r="E9" s="19">
        <f>gamma_gas_*1.22</f>
        <v>0.97599999999999998</v>
      </c>
      <c r="F9" s="20" t="s">
        <v>41</v>
      </c>
    </row>
    <row r="10" spans="1:7" ht="18.75" outlineLevel="1" x14ac:dyDescent="0.35">
      <c r="B10" s="21" t="s">
        <v>44</v>
      </c>
      <c r="C10" s="2">
        <v>80</v>
      </c>
      <c r="D10" s="20" t="s">
        <v>45</v>
      </c>
      <c r="E10" s="22">
        <f>Rsb_/gamma_oil_</f>
        <v>91.954022988505741</v>
      </c>
      <c r="F10" s="20" t="s">
        <v>46</v>
      </c>
    </row>
    <row r="11" spans="1:7" ht="18.75" outlineLevel="1" x14ac:dyDescent="0.35">
      <c r="B11" s="21" t="s">
        <v>47</v>
      </c>
      <c r="C11" s="2">
        <v>80</v>
      </c>
      <c r="D11" s="20" t="s">
        <v>45</v>
      </c>
      <c r="E11" s="22">
        <f>Rsb_/gamma_oil_</f>
        <v>91.954022988505741</v>
      </c>
      <c r="F11" s="20" t="s">
        <v>46</v>
      </c>
    </row>
    <row r="12" spans="1:7" ht="18" outlineLevel="1" x14ac:dyDescent="0.35">
      <c r="B12" s="20" t="s">
        <v>48</v>
      </c>
      <c r="C12" s="2">
        <v>120</v>
      </c>
      <c r="D12" s="18" t="s">
        <v>49</v>
      </c>
      <c r="E12" s="22">
        <f>Pb_*1.01325</f>
        <v>121.59</v>
      </c>
      <c r="F12" s="18" t="s">
        <v>50</v>
      </c>
    </row>
    <row r="13" spans="1:7" ht="18" outlineLevel="1" x14ac:dyDescent="0.35">
      <c r="B13" s="20" t="s">
        <v>51</v>
      </c>
      <c r="C13" s="2">
        <v>100</v>
      </c>
      <c r="D13" s="18" t="s">
        <v>3</v>
      </c>
      <c r="E13" s="22">
        <f>Tres_*9/5+32</f>
        <v>212</v>
      </c>
      <c r="F13" s="18" t="s">
        <v>52</v>
      </c>
    </row>
    <row r="14" spans="1:7" ht="18.75" outlineLevel="1" x14ac:dyDescent="0.35">
      <c r="B14" s="21" t="s">
        <v>53</v>
      </c>
      <c r="C14" s="2">
        <v>1.2</v>
      </c>
      <c r="D14" s="20" t="s">
        <v>45</v>
      </c>
    </row>
    <row r="15" spans="1:7" ht="18.75" x14ac:dyDescent="0.35">
      <c r="B15" s="28" t="s">
        <v>82</v>
      </c>
      <c r="C15" s="2">
        <v>5</v>
      </c>
      <c r="D15" s="20" t="s">
        <v>83</v>
      </c>
    </row>
    <row r="16" spans="1:7" x14ac:dyDescent="0.2">
      <c r="B16" s="3"/>
      <c r="C16" s="4"/>
    </row>
    <row r="17" spans="1:4" outlineLevel="1" x14ac:dyDescent="0.2">
      <c r="A17" s="1" t="s">
        <v>18</v>
      </c>
      <c r="B17" s="3"/>
      <c r="C17" s="4"/>
    </row>
    <row r="18" spans="1:4" ht="15.75" outlineLevel="1" x14ac:dyDescent="0.3">
      <c r="B18" s="23" t="s">
        <v>54</v>
      </c>
      <c r="C18" s="2">
        <v>2000</v>
      </c>
      <c r="D18" s="24" t="s">
        <v>5</v>
      </c>
    </row>
    <row r="19" spans="1:4" ht="15.75" outlineLevel="1" x14ac:dyDescent="0.3">
      <c r="B19" s="23" t="s">
        <v>55</v>
      </c>
      <c r="C19" s="2">
        <v>0</v>
      </c>
      <c r="D19" s="24" t="s">
        <v>5</v>
      </c>
    </row>
    <row r="20" spans="1:4" ht="15.75" outlineLevel="1" x14ac:dyDescent="0.3">
      <c r="B20" s="23" t="s">
        <v>56</v>
      </c>
      <c r="C20" s="2">
        <v>1500</v>
      </c>
      <c r="D20" s="24" t="s">
        <v>5</v>
      </c>
    </row>
    <row r="21" spans="1:4" ht="15.75" outlineLevel="1" x14ac:dyDescent="0.3">
      <c r="B21" s="23" t="s">
        <v>57</v>
      </c>
      <c r="C21" s="2">
        <v>125</v>
      </c>
      <c r="D21" s="24" t="s">
        <v>6</v>
      </c>
    </row>
    <row r="22" spans="1:4" ht="15.75" outlineLevel="1" x14ac:dyDescent="0.3">
      <c r="B22" s="23" t="s">
        <v>58</v>
      </c>
      <c r="C22" s="2">
        <v>73</v>
      </c>
      <c r="D22" s="24" t="s">
        <v>6</v>
      </c>
    </row>
    <row r="23" spans="1:4" ht="15" outlineLevel="1" x14ac:dyDescent="0.25">
      <c r="B23" s="30" t="s">
        <v>84</v>
      </c>
      <c r="C23" s="2">
        <v>90</v>
      </c>
      <c r="D23" s="20" t="s">
        <v>85</v>
      </c>
    </row>
    <row r="24" spans="1:4" ht="15.75" outlineLevel="1" x14ac:dyDescent="0.3">
      <c r="B24" s="23" t="s">
        <v>59</v>
      </c>
      <c r="C24" s="2">
        <v>62</v>
      </c>
      <c r="D24" s="24" t="s">
        <v>6</v>
      </c>
    </row>
    <row r="25" spans="1:4" ht="15.75" outlineLevel="1" x14ac:dyDescent="0.3">
      <c r="B25" s="23" t="s">
        <v>60</v>
      </c>
      <c r="C25" s="2">
        <v>100</v>
      </c>
      <c r="D25" s="24" t="s">
        <v>6</v>
      </c>
    </row>
    <row r="26" spans="1:4" ht="15.75" outlineLevel="1" x14ac:dyDescent="0.3">
      <c r="B26" s="23" t="s">
        <v>61</v>
      </c>
      <c r="C26" s="2">
        <v>20</v>
      </c>
      <c r="D26" s="24" t="s">
        <v>2</v>
      </c>
    </row>
    <row r="27" spans="1:4" ht="15.75" outlineLevel="1" x14ac:dyDescent="0.3">
      <c r="B27" s="23" t="s">
        <v>62</v>
      </c>
      <c r="C27" s="2">
        <v>34</v>
      </c>
      <c r="D27" s="24" t="s">
        <v>2</v>
      </c>
    </row>
    <row r="28" spans="1:4" ht="15.75" outlineLevel="1" x14ac:dyDescent="0.3">
      <c r="B28" s="23" t="s">
        <v>63</v>
      </c>
      <c r="C28" s="2">
        <v>80</v>
      </c>
      <c r="D28" s="24" t="s">
        <v>3</v>
      </c>
    </row>
    <row r="29" spans="1:4" ht="15.75" outlineLevel="1" x14ac:dyDescent="0.3">
      <c r="B29" s="23" t="s">
        <v>64</v>
      </c>
      <c r="C29" s="2">
        <v>150</v>
      </c>
      <c r="D29" s="24" t="s">
        <v>2</v>
      </c>
    </row>
    <row r="30" spans="1:4" ht="15.75" outlineLevel="1" x14ac:dyDescent="0.3">
      <c r="B30" s="23" t="s">
        <v>65</v>
      </c>
      <c r="C30" s="2">
        <v>70</v>
      </c>
      <c r="D30" s="24" t="s">
        <v>2</v>
      </c>
    </row>
    <row r="31" spans="1:4" ht="15.75" x14ac:dyDescent="0.3">
      <c r="B31" s="23" t="s">
        <v>66</v>
      </c>
      <c r="C31" s="2">
        <v>50</v>
      </c>
      <c r="D31" s="24" t="s">
        <v>7</v>
      </c>
    </row>
    <row r="32" spans="1:4" ht="15.75" x14ac:dyDescent="0.3">
      <c r="B32" s="23" t="s">
        <v>67</v>
      </c>
      <c r="C32" s="2">
        <v>0</v>
      </c>
      <c r="D32" s="24" t="s">
        <v>4</v>
      </c>
    </row>
    <row r="33" spans="1:7" outlineLevel="1" x14ac:dyDescent="0.2"/>
    <row r="34" spans="1:7" outlineLevel="1" x14ac:dyDescent="0.2">
      <c r="A34" s="1" t="s">
        <v>19</v>
      </c>
    </row>
    <row r="35" spans="1:7" ht="15.75" outlineLevel="1" x14ac:dyDescent="0.3">
      <c r="B35" s="24" t="s">
        <v>68</v>
      </c>
      <c r="C35" s="2">
        <v>110</v>
      </c>
      <c r="D35" s="24" t="s">
        <v>7</v>
      </c>
    </row>
    <row r="36" spans="1:7" ht="15.75" outlineLevel="1" x14ac:dyDescent="0.3">
      <c r="B36" s="24" t="s">
        <v>69</v>
      </c>
      <c r="C36" s="2">
        <v>2000</v>
      </c>
      <c r="D36" s="24" t="s">
        <v>8</v>
      </c>
    </row>
    <row r="37" spans="1:7" outlineLevel="1" x14ac:dyDescent="0.2">
      <c r="B37" s="24" t="s">
        <v>70</v>
      </c>
      <c r="C37" s="2">
        <v>50</v>
      </c>
      <c r="D37" s="24" t="s">
        <v>9</v>
      </c>
    </row>
    <row r="38" spans="1:7" outlineLevel="1" x14ac:dyDescent="0.2">
      <c r="B38" s="24" t="s">
        <v>71</v>
      </c>
      <c r="C38" s="19">
        <f>[1]!ESP_id_by_rate(Q_ESP_)</f>
        <v>737</v>
      </c>
      <c r="D38" s="24"/>
      <c r="G38" s="25" t="s">
        <v>72</v>
      </c>
    </row>
    <row r="39" spans="1:7" outlineLevel="1" x14ac:dyDescent="0.2">
      <c r="B39" s="24" t="s">
        <v>73</v>
      </c>
      <c r="C39" s="19" t="str">
        <f>[1]!ESP_name(C38)</f>
        <v>ВНН5-125</v>
      </c>
      <c r="D39" s="24"/>
      <c r="G39" s="26" t="str">
        <f>[1]!PVT_encode_string(gamma_gas_,gamma_oil_,,Rsb_,Rp_,Pb_,Tres_,Bob_,mu_,,KsepGasSep_,PKsep,TKsep)</f>
        <v>gamma_gas:0,800;gamma_oil:0,870;gamma_wat:1,000;rsb_m3m3:80,000;rp_m3m3:80,000;pb_atma:120,000;tres_C:100,000;bob_m3m3:1,200;muob_cP:5,000;PVTcorr:0;ksep_fr:0,900;pksep_atma:80,000;tksep_C:80,000;</v>
      </c>
    </row>
    <row r="40" spans="1:7" ht="15.75" outlineLevel="1" x14ac:dyDescent="0.3">
      <c r="B40" s="24" t="s">
        <v>74</v>
      </c>
      <c r="C40" s="19">
        <f>[1]!esp_max_rate_m3day(Freq_,PumpID_)*1</f>
        <v>230</v>
      </c>
      <c r="D40" s="24"/>
    </row>
    <row r="41" spans="1:7" x14ac:dyDescent="0.2">
      <c r="B41" s="24" t="s">
        <v>20</v>
      </c>
      <c r="C41" s="19">
        <f>INT(Head_ESP_/[1]!ESP_head_m(Q_ESP_,1,,PumpID_))</f>
        <v>324</v>
      </c>
      <c r="D41" s="24" t="s">
        <v>10</v>
      </c>
      <c r="G41" s="25" t="s">
        <v>75</v>
      </c>
    </row>
    <row r="42" spans="1:7" ht="15.75" x14ac:dyDescent="0.3">
      <c r="B42" s="24" t="s">
        <v>76</v>
      </c>
      <c r="C42" s="5">
        <v>0.9</v>
      </c>
      <c r="D42" s="24"/>
      <c r="G42" s="26" t="str">
        <f>[1]!ESP_Encode_string(PumpID_,Head_ESP_,Freq_)</f>
        <v>ESP_ID:737,00000;HeadNom_m:2000,00000;ESPfreq_Hz:50,00000;ESP_U_V:1000,00000;MotorPowerNom_kW:30,00000;Tintake_C:85,00000;Tdis_C:85,00000;KsepGS_fr:0,00000;ESP_energy_fact_Whday:0,00000;ESP_cable_type:0;ESP_Hmes_m:0,00000;GasDegtType:0;Kdegr:0,00000;PKV_work_min:-1,00000;PKV_stop_min:-1,00000;</v>
      </c>
    </row>
    <row r="43" spans="1:7" ht="15.75" x14ac:dyDescent="0.3">
      <c r="B43" s="24" t="s">
        <v>77</v>
      </c>
      <c r="C43" s="8">
        <v>80</v>
      </c>
      <c r="D43" s="24" t="s">
        <v>2</v>
      </c>
    </row>
    <row r="44" spans="1:7" ht="15.75" x14ac:dyDescent="0.3">
      <c r="B44" s="24" t="s">
        <v>78</v>
      </c>
      <c r="C44" s="8">
        <v>80</v>
      </c>
      <c r="D44" s="24" t="s">
        <v>3</v>
      </c>
    </row>
    <row r="46" spans="1:7" x14ac:dyDescent="0.2">
      <c r="A46" s="1" t="s">
        <v>21</v>
      </c>
    </row>
    <row r="47" spans="1:7" ht="15.75" x14ac:dyDescent="0.3">
      <c r="B47" s="24" t="s">
        <v>79</v>
      </c>
      <c r="C47" s="2">
        <v>250</v>
      </c>
      <c r="D47" s="24" t="s">
        <v>2</v>
      </c>
    </row>
    <row r="48" spans="1:7" x14ac:dyDescent="0.2">
      <c r="B48" s="24" t="s">
        <v>80</v>
      </c>
      <c r="C48" s="27">
        <f>[1]!IPR_PI_sm3dayatm(Q_,Pwf_,Pres_,fw_,Pb_)</f>
        <v>0.29284164859002171</v>
      </c>
      <c r="D48" s="24" t="s">
        <v>11</v>
      </c>
    </row>
    <row r="49" spans="1:15" x14ac:dyDescent="0.2">
      <c r="B49" s="24" t="s">
        <v>81</v>
      </c>
      <c r="C49" s="2">
        <v>3</v>
      </c>
      <c r="D49" s="24" t="s">
        <v>12</v>
      </c>
    </row>
    <row r="50" spans="1:15" x14ac:dyDescent="0.2">
      <c r="B50" s="29"/>
      <c r="C50" s="29"/>
      <c r="D50" s="29"/>
    </row>
    <row r="52" spans="1:15" x14ac:dyDescent="0.2">
      <c r="B52" s="18" t="s">
        <v>13</v>
      </c>
      <c r="C52" s="2">
        <v>20</v>
      </c>
      <c r="D52" s="18"/>
    </row>
    <row r="56" spans="1:15" outlineLevel="1" x14ac:dyDescent="0.2"/>
    <row r="57" spans="1:15" x14ac:dyDescent="0.2">
      <c r="A57" t="s">
        <v>36</v>
      </c>
    </row>
    <row r="58" spans="1:15" outlineLevel="1" x14ac:dyDescent="0.2">
      <c r="A58" t="s">
        <v>25</v>
      </c>
    </row>
    <row r="59" spans="1:15" outlineLevel="1" x14ac:dyDescent="0.2"/>
    <row r="60" spans="1:15" outlineLevel="1" x14ac:dyDescent="0.2">
      <c r="C60" t="s">
        <v>26</v>
      </c>
      <c r="D60" s="9">
        <v>0</v>
      </c>
    </row>
    <row r="61" spans="1:15" outlineLevel="1" x14ac:dyDescent="0.2"/>
    <row r="62" spans="1:15" ht="51" outlineLevel="1" x14ac:dyDescent="0.2">
      <c r="C62" s="32" t="s">
        <v>15</v>
      </c>
      <c r="D62" s="32" t="s">
        <v>14</v>
      </c>
      <c r="E62" s="11"/>
      <c r="F62" s="31" t="s">
        <v>24</v>
      </c>
      <c r="G62" s="31" t="s">
        <v>34</v>
      </c>
      <c r="H62" s="31" t="s">
        <v>23</v>
      </c>
      <c r="I62" s="36" t="s">
        <v>22</v>
      </c>
      <c r="J62" s="31" t="s">
        <v>27</v>
      </c>
      <c r="K62" s="38" t="s">
        <v>26</v>
      </c>
      <c r="L62" s="31" t="s">
        <v>28</v>
      </c>
      <c r="M62" s="31" t="s">
        <v>28</v>
      </c>
      <c r="N62" s="31" t="s">
        <v>29</v>
      </c>
      <c r="O62" s="31" t="s">
        <v>30</v>
      </c>
    </row>
    <row r="63" spans="1:15" outlineLevel="1" x14ac:dyDescent="0.2">
      <c r="C63" s="33">
        <v>0</v>
      </c>
      <c r="D63" s="33">
        <f t="shared" ref="D63:D83" si="0">D64-Tgrad*(C64-C63)/100</f>
        <v>40</v>
      </c>
      <c r="F63" s="6"/>
      <c r="I63" s="6"/>
      <c r="J63" s="39">
        <f>Pbuf_</f>
        <v>20</v>
      </c>
      <c r="N63" s="6"/>
      <c r="O63" s="6"/>
    </row>
    <row r="64" spans="1:15" outlineLevel="1" x14ac:dyDescent="0.2">
      <c r="C64" s="33">
        <f t="shared" ref="C64:C83" si="1">C63+Hmes_/N_</f>
        <v>100</v>
      </c>
      <c r="D64" s="33">
        <f t="shared" si="0"/>
        <v>43</v>
      </c>
      <c r="F64" s="6"/>
      <c r="I64" s="6"/>
      <c r="J64" s="27">
        <f>[1]!MF_p_pipe_atma(Q_,fw_,C63,C64,J63,PVT_str_,theta_,Dintake_,,D63,D64)</f>
        <v>27.959407722812312</v>
      </c>
      <c r="N64" s="6"/>
      <c r="O64" s="6"/>
    </row>
    <row r="65" spans="2:15" outlineLevel="1" x14ac:dyDescent="0.2">
      <c r="C65" s="33">
        <f t="shared" si="1"/>
        <v>200</v>
      </c>
      <c r="D65" s="33">
        <f t="shared" si="0"/>
        <v>46</v>
      </c>
      <c r="F65" s="6"/>
      <c r="I65" s="6"/>
      <c r="J65" s="27">
        <f>[1]!MF_p_pipe_atma(Q_,fw_,C64,C65,J64,PVT_str_,theta_,Dintake_,,D64,D65)</f>
        <v>35.902177441525836</v>
      </c>
      <c r="N65" s="6"/>
      <c r="O65" s="6"/>
    </row>
    <row r="66" spans="2:15" outlineLevel="1" x14ac:dyDescent="0.2">
      <c r="C66" s="33">
        <f t="shared" si="1"/>
        <v>300</v>
      </c>
      <c r="D66" s="33">
        <f t="shared" si="0"/>
        <v>49</v>
      </c>
      <c r="F66" s="6"/>
      <c r="I66" s="6"/>
      <c r="J66" s="27">
        <f>[1]!MF_p_pipe_atma(Q_,fw_,C65,C66,J65,PVT_str_,theta_,Dintake_,,D65,D66)</f>
        <v>43.807347588078372</v>
      </c>
      <c r="N66" s="6"/>
      <c r="O66" s="6"/>
    </row>
    <row r="67" spans="2:15" outlineLevel="1" x14ac:dyDescent="0.2">
      <c r="C67" s="33">
        <f t="shared" si="1"/>
        <v>400</v>
      </c>
      <c r="D67" s="33">
        <f t="shared" si="0"/>
        <v>52</v>
      </c>
      <c r="F67" s="6"/>
      <c r="I67" s="6"/>
      <c r="J67" s="27">
        <f>[1]!MF_p_pipe_atma(Q_,fw_,C66,C67,J66,PVT_str_,theta_,Dintake_,,D66,D67)</f>
        <v>51.663449289141646</v>
      </c>
      <c r="N67" s="6"/>
      <c r="O67" s="6"/>
    </row>
    <row r="68" spans="2:15" outlineLevel="1" x14ac:dyDescent="0.2">
      <c r="C68" s="33">
        <f t="shared" si="1"/>
        <v>500</v>
      </c>
      <c r="D68" s="33">
        <f t="shared" si="0"/>
        <v>55</v>
      </c>
      <c r="F68" s="6"/>
      <c r="I68" s="6"/>
      <c r="J68" s="27">
        <f>[1]!MF_p_pipe_atma(Q_,fw_,C67,C68,J67,PVT_str_,theta_,Dintake_,,D67,D68)</f>
        <v>59.463893259102854</v>
      </c>
      <c r="N68" s="6"/>
      <c r="O68" s="6"/>
    </row>
    <row r="69" spans="2:15" outlineLevel="1" x14ac:dyDescent="0.2">
      <c r="C69" s="33">
        <f t="shared" si="1"/>
        <v>600</v>
      </c>
      <c r="D69" s="33">
        <f t="shared" si="0"/>
        <v>58</v>
      </c>
      <c r="F69" s="6"/>
      <c r="I69" s="6"/>
      <c r="J69" s="27">
        <f>[1]!MF_p_pipe_atma(Q_,fw_,C68,C69,J68,PVT_str_,theta_,Dintake_,,D68,D69)</f>
        <v>67.205330438383683</v>
      </c>
      <c r="N69" s="6"/>
      <c r="O69" s="6"/>
    </row>
    <row r="70" spans="2:15" outlineLevel="1" x14ac:dyDescent="0.2">
      <c r="C70" s="33">
        <f t="shared" si="1"/>
        <v>700</v>
      </c>
      <c r="D70" s="33">
        <f t="shared" si="0"/>
        <v>61</v>
      </c>
      <c r="F70" s="6"/>
      <c r="I70" s="6"/>
      <c r="J70" s="27">
        <f>[1]!MF_p_pipe_atma(Q_,fw_,C69,C70,J69,PVT_str_,theta_,Dintake_,,D69,D70)</f>
        <v>74.896422212568496</v>
      </c>
      <c r="N70" s="6"/>
      <c r="O70" s="6"/>
    </row>
    <row r="71" spans="2:15" outlineLevel="1" x14ac:dyDescent="0.2">
      <c r="C71" s="33">
        <f t="shared" si="1"/>
        <v>800</v>
      </c>
      <c r="D71" s="33">
        <f t="shared" si="0"/>
        <v>64</v>
      </c>
      <c r="F71" s="6"/>
      <c r="I71" s="6"/>
      <c r="J71" s="27">
        <f>[1]!MF_p_pipe_atma(Q_,fw_,C70,C71,J70,PVT_str_,theta_,Dintake_,,D70,D71)</f>
        <v>82.539525833011339</v>
      </c>
      <c r="N71" s="6"/>
      <c r="O71" s="6"/>
    </row>
    <row r="72" spans="2:15" outlineLevel="1" x14ac:dyDescent="0.2">
      <c r="C72" s="33">
        <f t="shared" si="1"/>
        <v>900</v>
      </c>
      <c r="D72" s="33">
        <f t="shared" si="0"/>
        <v>67</v>
      </c>
      <c r="F72" s="6"/>
      <c r="I72" s="6"/>
      <c r="J72" s="27">
        <f>[1]!MF_p_pipe_atma(Q_,fw_,C71,C72,J71,PVT_str_,theta_,Dintake_,,D71,D72)</f>
        <v>90.143649082228606</v>
      </c>
      <c r="N72" s="6"/>
      <c r="O72" s="6"/>
    </row>
    <row r="73" spans="2:15" outlineLevel="1" x14ac:dyDescent="0.2">
      <c r="C73" s="33">
        <f t="shared" si="1"/>
        <v>1000</v>
      </c>
      <c r="D73" s="33">
        <f t="shared" si="0"/>
        <v>70</v>
      </c>
      <c r="F73" s="6"/>
      <c r="I73" s="6"/>
      <c r="J73" s="27">
        <f>[1]!MF_p_pipe_atma(Q_,fw_,C72,C73,J72,PVT_str_,theta_,Dintake_,,D72,D73)</f>
        <v>97.731353997494693</v>
      </c>
      <c r="N73" s="6"/>
      <c r="O73" s="6"/>
    </row>
    <row r="74" spans="2:15" outlineLevel="1" x14ac:dyDescent="0.2">
      <c r="C74" s="33">
        <f t="shared" si="1"/>
        <v>1100</v>
      </c>
      <c r="D74" s="33">
        <f t="shared" si="0"/>
        <v>73</v>
      </c>
      <c r="F74" s="6"/>
      <c r="I74" s="6"/>
      <c r="J74" s="27">
        <f>[1]!MF_p_pipe_atma(Q_,fw_,C73,C74,J73,PVT_str_,theta_,Dintake_,,D73,D74)</f>
        <v>105.30284466692166</v>
      </c>
      <c r="N74" s="6"/>
      <c r="O74" s="6"/>
    </row>
    <row r="75" spans="2:15" outlineLevel="1" x14ac:dyDescent="0.2">
      <c r="C75" s="33">
        <f t="shared" si="1"/>
        <v>1200</v>
      </c>
      <c r="D75" s="33">
        <f t="shared" si="0"/>
        <v>76</v>
      </c>
      <c r="F75" s="6"/>
      <c r="I75" s="6"/>
      <c r="J75" s="27">
        <f>[1]!MF_p_pipe_atma(Q_,fw_,C74,C75,J74,PVT_str_,theta_,Dintake_,,D74,D75)</f>
        <v>112.85777361185316</v>
      </c>
      <c r="N75" s="6"/>
      <c r="O75" s="6"/>
    </row>
    <row r="76" spans="2:15" outlineLevel="1" x14ac:dyDescent="0.2">
      <c r="C76" s="33">
        <f t="shared" si="1"/>
        <v>1300</v>
      </c>
      <c r="D76" s="33">
        <f t="shared" si="0"/>
        <v>79</v>
      </c>
      <c r="F76" s="6"/>
      <c r="I76" s="6"/>
      <c r="J76" s="27">
        <f>[1]!MF_p_pipe_atma(Q_,fw_,C75,C76,J75,PVT_str_,theta_,Dintake_,,D75,D76)</f>
        <v>120.39587128188307</v>
      </c>
      <c r="N76" s="6"/>
      <c r="O76" s="6"/>
    </row>
    <row r="77" spans="2:15" outlineLevel="1" x14ac:dyDescent="0.2">
      <c r="C77" s="33">
        <f t="shared" si="1"/>
        <v>1400</v>
      </c>
      <c r="D77" s="33">
        <f t="shared" si="0"/>
        <v>82</v>
      </c>
      <c r="F77" s="6"/>
      <c r="I77" s="6"/>
      <c r="J77" s="40">
        <f>[1]!MF_p_pipe_atma(Q_,fw_,C76,C77,J76,PVT_str_,theta_,Dintake_,,D76,D77)</f>
        <v>127.91692706100578</v>
      </c>
      <c r="N77" s="6"/>
      <c r="O77" s="6"/>
    </row>
    <row r="78" spans="2:15" outlineLevel="1" x14ac:dyDescent="0.2">
      <c r="B78" s="25" t="s">
        <v>31</v>
      </c>
      <c r="C78" s="33">
        <f t="shared" si="1"/>
        <v>1500</v>
      </c>
      <c r="D78" s="33">
        <f t="shared" si="0"/>
        <v>85</v>
      </c>
      <c r="F78" s="27">
        <f>[1]!MF_p_pipe_atma(Q_,fw_,C79,C78,F79,PVT_str_,theta_,Dtub_,,D79,D78)</f>
        <v>39.332429868729321</v>
      </c>
      <c r="G78" s="26">
        <f>[1]!MF_ksep_natural_d(Q_,wc_,Pintake_,Tintake_,Dintake_,Dcas_,PVT_str_)</f>
        <v>0.68144681647193794</v>
      </c>
      <c r="H78" s="26">
        <f>[1]!MF_ksep_total_d(G78,KsepGasSep_)</f>
        <v>0.96814468164719381</v>
      </c>
      <c r="I78" s="37">
        <f>[1]!MF_gas_fraction_d(F78,D78,fw_,PVT_str_)</f>
        <v>0.39721717992391242</v>
      </c>
      <c r="J78" s="27">
        <f>[1]!MF_p_pipe_atma(Q_,fw_,C77,C78,J77,PVT_str_,theta_,Dintake_,,D77,D78)</f>
        <v>135.42077575770162</v>
      </c>
      <c r="K78" s="41"/>
      <c r="L78" s="26">
        <f>[1]!ESP_dP_atm(Q_,fw_,Pintake_,NumStage_,Freq_,PumpID_,PVT_str_,Tintake_,0,1,,D60)</f>
        <v>147.09039876709824</v>
      </c>
      <c r="M78" s="42">
        <f>J78-F78</f>
        <v>96.088345888972299</v>
      </c>
      <c r="N78" s="43"/>
      <c r="O78" s="41"/>
    </row>
    <row r="79" spans="2:15" outlineLevel="1" x14ac:dyDescent="0.2">
      <c r="C79" s="33">
        <f t="shared" si="1"/>
        <v>1600</v>
      </c>
      <c r="D79" s="33">
        <f t="shared" si="0"/>
        <v>88</v>
      </c>
      <c r="E79" s="6"/>
      <c r="F79" s="35">
        <f>[1]!MF_p_pipe_atma(Q_,fw_,C80,C79,F80,PVT_str_,theta_,Dtub_,,D80,D79)</f>
        <v>45.135802461135086</v>
      </c>
      <c r="I79" s="6"/>
      <c r="J79" s="6"/>
    </row>
    <row r="80" spans="2:15" outlineLevel="1" x14ac:dyDescent="0.2">
      <c r="C80" s="33">
        <f t="shared" si="1"/>
        <v>1700</v>
      </c>
      <c r="D80" s="33">
        <f t="shared" si="0"/>
        <v>91</v>
      </c>
      <c r="E80" s="6"/>
      <c r="F80" s="27">
        <f>[1]!MF_p_pipe_atma(Q_,fw_,C81,C80,F81,PVT_str_,theta_,Dtub_,,D81,D80)</f>
        <v>51.145042461781934</v>
      </c>
      <c r="I80" s="6"/>
      <c r="J80" s="6"/>
    </row>
    <row r="81" spans="1:10" outlineLevel="1" x14ac:dyDescent="0.2">
      <c r="C81" s="33">
        <f t="shared" si="1"/>
        <v>1800</v>
      </c>
      <c r="D81" s="33">
        <f t="shared" si="0"/>
        <v>94</v>
      </c>
      <c r="E81" s="6"/>
      <c r="F81" s="27">
        <f>[1]!MF_p_pipe_atma(Q_,fw_,C82,C81,F82,PVT_str_,theta_,Dtub_,,D82,D81)</f>
        <v>57.309563800082991</v>
      </c>
      <c r="I81" s="6"/>
      <c r="J81" s="6"/>
    </row>
    <row r="82" spans="1:10" outlineLevel="1" x14ac:dyDescent="0.2">
      <c r="C82" s="33">
        <f t="shared" si="1"/>
        <v>1900</v>
      </c>
      <c r="D82" s="33">
        <f t="shared" si="0"/>
        <v>97</v>
      </c>
      <c r="E82" s="6"/>
      <c r="F82" s="27">
        <f>[1]!MF_p_pipe_atma(Q_,fw_,C83,C82,F83,PVT_str_,theta_,Dtub_,,D83,D82)</f>
        <v>63.590284390530542</v>
      </c>
      <c r="I82" s="6"/>
      <c r="J82" s="6"/>
    </row>
    <row r="83" spans="1:10" outlineLevel="1" x14ac:dyDescent="0.2">
      <c r="C83" s="33">
        <f t="shared" si="1"/>
        <v>2000</v>
      </c>
      <c r="D83" s="33">
        <f>Tres_</f>
        <v>100</v>
      </c>
      <c r="E83" s="6"/>
      <c r="F83" s="34">
        <f>Pwf_</f>
        <v>70</v>
      </c>
      <c r="I83" s="6"/>
      <c r="J83" s="6"/>
    </row>
    <row r="84" spans="1:10" outlineLevel="1" x14ac:dyDescent="0.2"/>
    <row r="85" spans="1:10" outlineLevel="1" x14ac:dyDescent="0.2"/>
    <row r="86" spans="1:10" outlineLevel="1" x14ac:dyDescent="0.2"/>
    <row r="87" spans="1:10" outlineLevel="1" x14ac:dyDescent="0.2"/>
    <row r="88" spans="1:10" outlineLevel="1" x14ac:dyDescent="0.2"/>
    <row r="89" spans="1:10" x14ac:dyDescent="0.2">
      <c r="A89" t="s">
        <v>35</v>
      </c>
    </row>
    <row r="90" spans="1:10" outlineLevel="1" x14ac:dyDescent="0.2">
      <c r="A90" t="s">
        <v>32</v>
      </c>
    </row>
    <row r="91" spans="1:10" outlineLevel="1" x14ac:dyDescent="0.2"/>
    <row r="92" spans="1:10" outlineLevel="1" x14ac:dyDescent="0.2">
      <c r="C92" s="24" t="s">
        <v>33</v>
      </c>
      <c r="D92" s="2">
        <v>30</v>
      </c>
    </row>
    <row r="93" spans="1:10" outlineLevel="1" x14ac:dyDescent="0.2">
      <c r="C93" s="24" t="s">
        <v>0</v>
      </c>
      <c r="D93" s="44">
        <f>[1]!IPR_Qliq_sm3Day(PI_,Pres_,Pwf1_,fw_,Pb_)</f>
        <v>55.639913232104121</v>
      </c>
    </row>
    <row r="94" spans="1:10" outlineLevel="1" x14ac:dyDescent="0.2">
      <c r="C94" s="24" t="s">
        <v>1</v>
      </c>
      <c r="D94" s="2">
        <v>55</v>
      </c>
    </row>
    <row r="95" spans="1:10" outlineLevel="1" x14ac:dyDescent="0.2"/>
    <row r="96" spans="1:10" outlineLevel="1" x14ac:dyDescent="0.2"/>
    <row r="97" spans="3:13" ht="51" outlineLevel="1" x14ac:dyDescent="0.2">
      <c r="C97" s="10" t="s">
        <v>15</v>
      </c>
      <c r="D97" s="10" t="s">
        <v>14</v>
      </c>
      <c r="E97" s="11"/>
      <c r="F97" s="11" t="s">
        <v>24</v>
      </c>
      <c r="G97" s="11" t="s">
        <v>34</v>
      </c>
      <c r="H97" s="11" t="s">
        <v>23</v>
      </c>
      <c r="I97" s="11" t="s">
        <v>28</v>
      </c>
      <c r="J97" s="11" t="s">
        <v>22</v>
      </c>
      <c r="K97" s="11" t="s">
        <v>29</v>
      </c>
      <c r="L97" s="11"/>
      <c r="M97" s="11" t="s">
        <v>30</v>
      </c>
    </row>
    <row r="98" spans="3:13" outlineLevel="1" x14ac:dyDescent="0.2">
      <c r="C98" s="12">
        <v>0</v>
      </c>
      <c r="D98" s="12">
        <f t="shared" ref="D98:D117" si="2">D99-Tgrad*(C99-C98)/100</f>
        <v>40</v>
      </c>
      <c r="E98" s="6"/>
      <c r="F98" s="6"/>
      <c r="K98" s="14"/>
      <c r="L98" s="6"/>
      <c r="M98" s="6"/>
    </row>
    <row r="99" spans="3:13" outlineLevel="1" x14ac:dyDescent="0.2">
      <c r="C99" s="12">
        <f t="shared" ref="C99:C118" si="3">C98+Hmes_/N_</f>
        <v>100</v>
      </c>
      <c r="D99" s="12">
        <f t="shared" si="2"/>
        <v>43</v>
      </c>
      <c r="E99" s="6"/>
      <c r="F99" s="6"/>
      <c r="K99" s="14"/>
      <c r="L99" s="6"/>
      <c r="M99" s="6"/>
    </row>
    <row r="100" spans="3:13" outlineLevel="1" x14ac:dyDescent="0.2">
      <c r="C100" s="12">
        <f t="shared" si="3"/>
        <v>200</v>
      </c>
      <c r="D100" s="12">
        <f t="shared" si="2"/>
        <v>46</v>
      </c>
      <c r="E100" s="6"/>
      <c r="F100" s="6"/>
      <c r="K100" s="14"/>
      <c r="L100" s="6"/>
      <c r="M100" s="6"/>
    </row>
    <row r="101" spans="3:13" outlineLevel="1" x14ac:dyDescent="0.2">
      <c r="C101" s="12">
        <f t="shared" si="3"/>
        <v>300</v>
      </c>
      <c r="D101" s="12">
        <f t="shared" si="2"/>
        <v>49</v>
      </c>
      <c r="E101" s="6"/>
      <c r="F101" s="6"/>
      <c r="K101" s="14"/>
      <c r="L101" s="6"/>
      <c r="M101" s="6"/>
    </row>
    <row r="102" spans="3:13" outlineLevel="1" x14ac:dyDescent="0.2">
      <c r="C102" s="12">
        <f t="shared" si="3"/>
        <v>400</v>
      </c>
      <c r="D102" s="12">
        <f t="shared" si="2"/>
        <v>52</v>
      </c>
      <c r="E102" s="6"/>
      <c r="F102" s="6"/>
      <c r="K102" s="14"/>
      <c r="L102" s="6"/>
      <c r="M102" s="6"/>
    </row>
    <row r="103" spans="3:13" outlineLevel="1" x14ac:dyDescent="0.2">
      <c r="C103" s="12">
        <f t="shared" si="3"/>
        <v>500</v>
      </c>
      <c r="D103" s="12">
        <f t="shared" si="2"/>
        <v>55</v>
      </c>
      <c r="E103" s="6"/>
      <c r="F103" s="6"/>
      <c r="K103" s="14"/>
      <c r="L103" s="6"/>
      <c r="M103" s="6"/>
    </row>
    <row r="104" spans="3:13" outlineLevel="1" x14ac:dyDescent="0.2">
      <c r="C104" s="12">
        <f t="shared" si="3"/>
        <v>600</v>
      </c>
      <c r="D104" s="12">
        <f t="shared" si="2"/>
        <v>58</v>
      </c>
      <c r="E104" s="6"/>
      <c r="F104" s="6"/>
      <c r="K104" s="14"/>
      <c r="L104" s="6"/>
      <c r="M104" s="6"/>
    </row>
    <row r="105" spans="3:13" outlineLevel="1" x14ac:dyDescent="0.2">
      <c r="C105" s="12">
        <f t="shared" si="3"/>
        <v>700</v>
      </c>
      <c r="D105" s="12">
        <f t="shared" si="2"/>
        <v>61</v>
      </c>
      <c r="E105" s="6"/>
      <c r="F105" s="6"/>
      <c r="K105" s="14"/>
      <c r="L105" s="6"/>
      <c r="M105" s="6"/>
    </row>
    <row r="106" spans="3:13" outlineLevel="1" x14ac:dyDescent="0.2">
      <c r="C106" s="12">
        <f t="shared" si="3"/>
        <v>800</v>
      </c>
      <c r="D106" s="12">
        <f t="shared" si="2"/>
        <v>64</v>
      </c>
      <c r="E106" s="6"/>
      <c r="F106" s="6"/>
      <c r="K106" s="14"/>
      <c r="L106" s="6"/>
      <c r="M106" s="6"/>
    </row>
    <row r="107" spans="3:13" outlineLevel="1" x14ac:dyDescent="0.2">
      <c r="C107" s="12">
        <f t="shared" si="3"/>
        <v>900</v>
      </c>
      <c r="D107" s="12">
        <f t="shared" si="2"/>
        <v>67</v>
      </c>
      <c r="E107" s="6"/>
      <c r="F107" s="6"/>
      <c r="K107" s="14"/>
      <c r="L107" s="6"/>
      <c r="M107" s="6"/>
    </row>
    <row r="108" spans="3:13" outlineLevel="1" x14ac:dyDescent="0.2">
      <c r="C108" s="12">
        <f t="shared" si="3"/>
        <v>1000</v>
      </c>
      <c r="D108" s="12">
        <f t="shared" si="2"/>
        <v>70</v>
      </c>
      <c r="E108" s="6"/>
      <c r="F108" s="6"/>
      <c r="K108" s="14"/>
      <c r="L108" s="6"/>
      <c r="M108" s="6"/>
    </row>
    <row r="109" spans="3:13" outlineLevel="1" x14ac:dyDescent="0.2">
      <c r="C109" s="12">
        <f t="shared" si="3"/>
        <v>1100</v>
      </c>
      <c r="D109" s="12">
        <f t="shared" si="2"/>
        <v>73</v>
      </c>
      <c r="E109" s="6"/>
      <c r="F109" s="6"/>
      <c r="K109" s="14"/>
      <c r="L109" s="6"/>
      <c r="M109" s="6"/>
    </row>
    <row r="110" spans="3:13" outlineLevel="1" x14ac:dyDescent="0.2">
      <c r="C110" s="12">
        <f t="shared" si="3"/>
        <v>1200</v>
      </c>
      <c r="D110" s="12">
        <f t="shared" si="2"/>
        <v>76</v>
      </c>
      <c r="E110" s="6"/>
      <c r="F110" s="6"/>
      <c r="K110" s="14"/>
      <c r="L110" s="6"/>
      <c r="M110" s="6"/>
    </row>
    <row r="111" spans="3:13" outlineLevel="1" x14ac:dyDescent="0.2">
      <c r="C111" s="12">
        <f t="shared" si="3"/>
        <v>1300</v>
      </c>
      <c r="D111" s="12">
        <f t="shared" si="2"/>
        <v>79</v>
      </c>
      <c r="E111" s="6"/>
      <c r="F111" s="6"/>
      <c r="K111" s="14"/>
      <c r="L111" s="6"/>
      <c r="M111" s="6"/>
    </row>
    <row r="112" spans="3:13" outlineLevel="1" x14ac:dyDescent="0.2">
      <c r="C112" s="12">
        <f t="shared" si="3"/>
        <v>1400</v>
      </c>
      <c r="D112" s="12">
        <f t="shared" si="2"/>
        <v>82</v>
      </c>
      <c r="E112" s="6"/>
      <c r="F112" s="6"/>
      <c r="K112" s="14"/>
      <c r="L112" s="6"/>
      <c r="M112" s="6"/>
    </row>
    <row r="113" spans="2:13" outlineLevel="1" x14ac:dyDescent="0.2">
      <c r="B113" t="s">
        <v>31</v>
      </c>
      <c r="C113" s="12">
        <f t="shared" si="3"/>
        <v>1500</v>
      </c>
      <c r="D113" s="12">
        <f t="shared" si="2"/>
        <v>85</v>
      </c>
      <c r="E113" s="6"/>
      <c r="F113" s="14"/>
      <c r="G113" s="14"/>
      <c r="H113" s="15"/>
      <c r="I113" s="15"/>
      <c r="J113" s="15"/>
      <c r="K113" s="16"/>
      <c r="L113" s="6"/>
      <c r="M113" s="14"/>
    </row>
    <row r="114" spans="2:13" outlineLevel="1" x14ac:dyDescent="0.2">
      <c r="C114" s="12">
        <f t="shared" si="3"/>
        <v>1600</v>
      </c>
      <c r="D114" s="12">
        <f t="shared" si="2"/>
        <v>88</v>
      </c>
      <c r="E114" s="6"/>
      <c r="F114" s="14"/>
      <c r="G114" s="6"/>
      <c r="L114" s="6"/>
    </row>
    <row r="115" spans="2:13" outlineLevel="1" x14ac:dyDescent="0.2">
      <c r="C115" s="12">
        <f t="shared" si="3"/>
        <v>1700</v>
      </c>
      <c r="D115" s="12">
        <f t="shared" si="2"/>
        <v>91</v>
      </c>
      <c r="E115" s="6"/>
      <c r="F115" s="14"/>
      <c r="L115" s="6"/>
    </row>
    <row r="116" spans="2:13" outlineLevel="1" x14ac:dyDescent="0.2">
      <c r="C116" s="12">
        <f t="shared" si="3"/>
        <v>1800</v>
      </c>
      <c r="D116" s="12">
        <f t="shared" si="2"/>
        <v>94</v>
      </c>
      <c r="E116" s="6"/>
      <c r="F116" s="14"/>
      <c r="L116" s="6"/>
    </row>
    <row r="117" spans="2:13" outlineLevel="1" x14ac:dyDescent="0.2">
      <c r="C117" s="12">
        <f t="shared" si="3"/>
        <v>1900</v>
      </c>
      <c r="D117" s="12">
        <f t="shared" si="2"/>
        <v>97</v>
      </c>
      <c r="E117" s="6"/>
      <c r="F117" s="14"/>
      <c r="L117" s="6"/>
    </row>
    <row r="118" spans="2:13" outlineLevel="1" x14ac:dyDescent="0.2">
      <c r="C118" s="12">
        <f t="shared" si="3"/>
        <v>2000</v>
      </c>
      <c r="D118" s="12">
        <f>Tres_</f>
        <v>100</v>
      </c>
      <c r="E118" s="6"/>
      <c r="F118" s="13">
        <f>Pwf1_</f>
        <v>30</v>
      </c>
      <c r="L118" s="6"/>
    </row>
    <row r="119" spans="2:13" outlineLevel="1" x14ac:dyDescent="0.2"/>
    <row r="120" spans="2:13" outlineLevel="1" x14ac:dyDescent="0.2"/>
    <row r="180" spans="11:11" x14ac:dyDescent="0.2">
      <c r="K180" t="s">
        <v>16</v>
      </c>
    </row>
    <row r="191" spans="11:11" x14ac:dyDescent="0.2">
      <c r="K191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44</vt:i4>
      </vt:variant>
    </vt:vector>
  </HeadingPairs>
  <TitlesOfParts>
    <vt:vector size="45" baseType="lpstr">
      <vt:lpstr>well</vt:lpstr>
      <vt:lpstr>well!Bob_</vt:lpstr>
      <vt:lpstr>well!Dcas_</vt:lpstr>
      <vt:lpstr>well!Dintake_</vt:lpstr>
      <vt:lpstr>well!Dtub_</vt:lpstr>
      <vt:lpstr>well!Dtub_out_</vt:lpstr>
      <vt:lpstr>ESPstr</vt:lpstr>
      <vt:lpstr>well!Freq_</vt:lpstr>
      <vt:lpstr>well!Freq1_</vt:lpstr>
      <vt:lpstr>fw_</vt:lpstr>
      <vt:lpstr>well!gamma_gas_</vt:lpstr>
      <vt:lpstr>well!gamma_oil_</vt:lpstr>
      <vt:lpstr>well!gamma_wat_</vt:lpstr>
      <vt:lpstr>well!Head_ESP_</vt:lpstr>
      <vt:lpstr>well!Hmes_</vt:lpstr>
      <vt:lpstr>well!Hpump_</vt:lpstr>
      <vt:lpstr>well!Kdegr_</vt:lpstr>
      <vt:lpstr>well!KsepGasSep_</vt:lpstr>
      <vt:lpstr>mu_</vt:lpstr>
      <vt:lpstr>well!N_</vt:lpstr>
      <vt:lpstr>well!NumStage_</vt:lpstr>
      <vt:lpstr>well!Pb_</vt:lpstr>
      <vt:lpstr>well!Pbuf_</vt:lpstr>
      <vt:lpstr>well!Pdis_</vt:lpstr>
      <vt:lpstr>well!PI_</vt:lpstr>
      <vt:lpstr>well!Pintake_</vt:lpstr>
      <vt:lpstr>PKsep</vt:lpstr>
      <vt:lpstr>well!Pres_</vt:lpstr>
      <vt:lpstr>well!PumpID_</vt:lpstr>
      <vt:lpstr>PVT_str_</vt:lpstr>
      <vt:lpstr>well!Pwf_</vt:lpstr>
      <vt:lpstr>well!Pwf1_</vt:lpstr>
      <vt:lpstr>well!Q_</vt:lpstr>
      <vt:lpstr>well!Q_ESP_</vt:lpstr>
      <vt:lpstr>well!Qmax</vt:lpstr>
      <vt:lpstr>well!Qreal_</vt:lpstr>
      <vt:lpstr>well!Rp_</vt:lpstr>
      <vt:lpstr>well!Rsb_</vt:lpstr>
      <vt:lpstr>well!Tgrad</vt:lpstr>
      <vt:lpstr>theta_</vt:lpstr>
      <vt:lpstr>well!Tintake_</vt:lpstr>
      <vt:lpstr>TKsep</vt:lpstr>
      <vt:lpstr>well!Tres_</vt:lpstr>
      <vt:lpstr>well!Udl_</vt:lpstr>
      <vt:lpstr>well!wc_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Олег Кобзарь</cp:lastModifiedBy>
  <cp:lastPrinted>2007-08-27T05:31:44Z</cp:lastPrinted>
  <dcterms:created xsi:type="dcterms:W3CDTF">2005-04-11T05:46:28Z</dcterms:created>
  <dcterms:modified xsi:type="dcterms:W3CDTF">2019-07-05T13:18:46Z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