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ASSIGNMENT\SFRI\"/>
    </mc:Choice>
  </mc:AlternateContent>
  <xr:revisionPtr revIDLastSave="0" documentId="13_ncr:1_{F19F6A3E-9806-4D4C-9BDC-0FC0D42CD32E}" xr6:coauthVersionLast="47" xr6:coauthVersionMax="47" xr10:uidLastSave="{00000000-0000-0000-0000-000000000000}"/>
  <bookViews>
    <workbookView xWindow="-98" yWindow="-98" windowWidth="21795" windowHeight="12975" xr2:uid="{BC806548-38F1-443B-B2BE-8559ED0C8CC2}"/>
  </bookViews>
  <sheets>
    <sheet name="ASSIGNMENT DETAILS" sheetId="13" r:id="rId1"/>
    <sheet name="1. INPUTS" sheetId="1" r:id="rId2"/>
    <sheet name="1A. MARKET RETURNS CALCULATION" sheetId="11" r:id="rId3"/>
    <sheet name="1B. SNIPS OF INPUTS FROM SOURCE" sheetId="12" r:id="rId4"/>
    <sheet name="2. RAW FINANCIALS (CASE)" sheetId="2" r:id="rId5"/>
    <sheet name="3. KEY ASSUMPTIONS &amp; DRIVERS" sheetId="3" r:id="rId6"/>
    <sheet name="4. FCFF BUILD-UP &amp; SENSITIVITY" sheetId="5" r:id="rId7"/>
    <sheet name="4A. CAPEX &amp; WC WORKINGS" sheetId="14" r:id="rId8"/>
    <sheet name="5A. MILD ESG SCENARIO" sheetId="6" r:id="rId9"/>
    <sheet name="5B. MODERATE ESG SCENARIO" sheetId="7" r:id="rId10"/>
    <sheet name="5C. SEVERE ESG SCENARIO" sheetId="8" r:id="rId11"/>
    <sheet name="6. EXECUTIVE SUMMARY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H30" i="5" l="1"/>
  <c r="H29" i="5"/>
  <c r="H28" i="5"/>
  <c r="H27" i="5"/>
  <c r="H26" i="5"/>
  <c r="B3" i="8"/>
  <c r="C3" i="8" s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B3" i="7"/>
  <c r="C3" i="7" s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B16" i="6"/>
  <c r="B3" i="6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B22" i="5"/>
  <c r="B16" i="8" s="1"/>
  <c r="C6" i="5"/>
  <c r="D6" i="5" s="1" a="1"/>
  <c r="D6" i="5" s="1"/>
  <c r="E7" i="14"/>
  <c r="D7" i="14"/>
  <c r="C7" i="14"/>
  <c r="B7" i="14"/>
  <c r="B4" i="14"/>
  <c r="C4" i="14"/>
  <c r="C18" i="14" s="1"/>
  <c r="D4" i="14"/>
  <c r="D18" i="14" s="1"/>
  <c r="E4" i="14"/>
  <c r="E18" i="14" s="1"/>
  <c r="B7" i="5" s="1"/>
  <c r="C7" i="5" s="1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B8" i="14"/>
  <c r="C8" i="14"/>
  <c r="D8" i="14"/>
  <c r="E8" i="14"/>
  <c r="B9" i="14"/>
  <c r="C9" i="14"/>
  <c r="D9" i="14"/>
  <c r="E9" i="14"/>
  <c r="A9" i="14"/>
  <c r="A8" i="14"/>
  <c r="A7" i="14"/>
  <c r="A6" i="14"/>
  <c r="A5" i="14"/>
  <c r="A4" i="14"/>
  <c r="B16" i="7" l="1"/>
  <c r="E6" i="5" a="1"/>
  <c r="E6" i="5" s="1"/>
  <c r="B6" i="5" l="1"/>
  <c r="B4" i="5"/>
  <c r="C4" i="5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B20" i="1"/>
  <c r="B10" i="1"/>
  <c r="B12" i="1" s="1"/>
  <c r="B18" i="5" l="1"/>
  <c r="B12" i="6"/>
  <c r="B12" i="7"/>
  <c r="B12" i="8"/>
  <c r="D4" i="5"/>
  <c r="F6" i="5"/>
  <c r="E4" i="5" l="1"/>
  <c r="G6" i="5"/>
  <c r="F4" i="5" l="1"/>
  <c r="H6" i="5"/>
  <c r="I6" i="5" s="1"/>
  <c r="G4" i="5" l="1"/>
  <c r="J6" i="5"/>
  <c r="C66" i="2"/>
  <c r="C68" i="2" s="1"/>
  <c r="D66" i="2"/>
  <c r="D68" i="2" s="1"/>
  <c r="E66" i="2"/>
  <c r="E68" i="2" s="1"/>
  <c r="B66" i="2"/>
  <c r="B68" i="2" s="1"/>
  <c r="C61" i="2"/>
  <c r="D61" i="2"/>
  <c r="E61" i="2"/>
  <c r="B61" i="2"/>
  <c r="C57" i="2"/>
  <c r="C6" i="14" s="1"/>
  <c r="D57" i="2"/>
  <c r="D6" i="14" s="1"/>
  <c r="E57" i="2"/>
  <c r="E6" i="14" s="1"/>
  <c r="B57" i="2"/>
  <c r="B6" i="14" s="1"/>
  <c r="C50" i="2"/>
  <c r="D50" i="2"/>
  <c r="E50" i="2"/>
  <c r="B50" i="2"/>
  <c r="C44" i="2"/>
  <c r="C5" i="14" s="1"/>
  <c r="D44" i="2"/>
  <c r="D5" i="14" s="1"/>
  <c r="E44" i="2"/>
  <c r="E5" i="14" s="1"/>
  <c r="B44" i="2"/>
  <c r="B5" i="14" s="1"/>
  <c r="C17" i="2"/>
  <c r="D17" i="2"/>
  <c r="E17" i="2"/>
  <c r="B17" i="2"/>
  <c r="C7" i="2"/>
  <c r="C12" i="2" s="1"/>
  <c r="C14" i="2" s="1"/>
  <c r="C21" i="3" s="1"/>
  <c r="D7" i="2"/>
  <c r="D12" i="2" s="1"/>
  <c r="D14" i="2" s="1"/>
  <c r="D21" i="3" s="1"/>
  <c r="E7" i="2"/>
  <c r="E12" i="2" s="1"/>
  <c r="E14" i="2" s="1"/>
  <c r="B7" i="2"/>
  <c r="B12" i="2" s="1"/>
  <c r="B14" i="2" s="1"/>
  <c r="B62" i="2" l="1"/>
  <c r="B69" i="2" s="1"/>
  <c r="D62" i="2"/>
  <c r="C62" i="2"/>
  <c r="C69" i="2" s="1"/>
  <c r="E62" i="2"/>
  <c r="B51" i="2"/>
  <c r="E51" i="2"/>
  <c r="D51" i="2"/>
  <c r="C51" i="2"/>
  <c r="D13" i="14"/>
  <c r="B13" i="14"/>
  <c r="B14" i="14" s="1"/>
  <c r="E13" i="14"/>
  <c r="E14" i="14" s="1"/>
  <c r="B8" i="5" s="1"/>
  <c r="C8" i="5" s="1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C13" i="14"/>
  <c r="C14" i="14" s="1"/>
  <c r="B14" i="1"/>
  <c r="B15" i="1" s="1"/>
  <c r="E69" i="2"/>
  <c r="D69" i="2"/>
  <c r="B22" i="2"/>
  <c r="B24" i="2" s="1"/>
  <c r="B26" i="2" s="1"/>
  <c r="B28" i="2" s="1"/>
  <c r="B30" i="2" s="1"/>
  <c r="B32" i="2" s="1"/>
  <c r="B21" i="3"/>
  <c r="E22" i="2"/>
  <c r="E24" i="2" s="1"/>
  <c r="E21" i="3"/>
  <c r="B5" i="5"/>
  <c r="H4" i="5"/>
  <c r="K6" i="5"/>
  <c r="D22" i="2"/>
  <c r="D24" i="2" s="1"/>
  <c r="D26" i="2" s="1"/>
  <c r="D28" i="2" s="1"/>
  <c r="D30" i="2" s="1"/>
  <c r="D33" i="2" s="1"/>
  <c r="C22" i="2"/>
  <c r="C24" i="2" s="1"/>
  <c r="C26" i="2" s="1"/>
  <c r="C28" i="2" s="1"/>
  <c r="C30" i="2" s="1"/>
  <c r="C32" i="2" s="1"/>
  <c r="B33" i="2" l="1"/>
  <c r="D32" i="2"/>
  <c r="C33" i="2"/>
  <c r="D14" i="14"/>
  <c r="E26" i="2"/>
  <c r="E28" i="2" s="1"/>
  <c r="E30" i="2" s="1"/>
  <c r="B9" i="5"/>
  <c r="B10" i="5" s="1"/>
  <c r="D23" i="3"/>
  <c r="H5" i="5" s="1"/>
  <c r="H9" i="5" s="1"/>
  <c r="H10" i="5" s="1"/>
  <c r="I4" i="5"/>
  <c r="L6" i="5"/>
  <c r="C5" i="11"/>
  <c r="C4" i="11"/>
  <c r="C16" i="11" s="1"/>
  <c r="B5" i="1" s="1"/>
  <c r="B6" i="1" s="1"/>
  <c r="B8" i="1" s="1"/>
  <c r="C6" i="11"/>
  <c r="C7" i="11"/>
  <c r="C8" i="11"/>
  <c r="C9" i="11"/>
  <c r="C10" i="11"/>
  <c r="C11" i="11"/>
  <c r="C12" i="11"/>
  <c r="C13" i="11"/>
  <c r="C5" i="5" l="1"/>
  <c r="C9" i="5" s="1"/>
  <c r="C10" i="5" s="1"/>
  <c r="D5" i="5"/>
  <c r="D9" i="5" s="1"/>
  <c r="D10" i="5" s="1"/>
  <c r="E5" i="5"/>
  <c r="E9" i="5" s="1"/>
  <c r="E10" i="5" s="1"/>
  <c r="F5" i="5"/>
  <c r="F9" i="5" s="1"/>
  <c r="F10" i="5" s="1"/>
  <c r="G5" i="5"/>
  <c r="G9" i="5" s="1"/>
  <c r="G10" i="5" s="1"/>
  <c r="E33" i="2"/>
  <c r="E32" i="2"/>
  <c r="G4" i="8"/>
  <c r="G5" i="8" s="1"/>
  <c r="G4" i="7"/>
  <c r="G5" i="7" s="1"/>
  <c r="B21" i="5"/>
  <c r="B17" i="1"/>
  <c r="G4" i="6"/>
  <c r="G5" i="6" s="1"/>
  <c r="J4" i="5"/>
  <c r="I5" i="5"/>
  <c r="I9" i="5" s="1"/>
  <c r="I10" i="5" s="1"/>
  <c r="M6" i="5"/>
  <c r="N6" i="5" s="1"/>
  <c r="F4" i="8" l="1"/>
  <c r="F5" i="8" s="1"/>
  <c r="F4" i="7"/>
  <c r="F5" i="7" s="1"/>
  <c r="F4" i="6"/>
  <c r="F5" i="6" s="1"/>
  <c r="T6" i="8"/>
  <c r="H6" i="8"/>
  <c r="W6" i="7"/>
  <c r="K6" i="7"/>
  <c r="N6" i="6"/>
  <c r="Z6" i="6"/>
  <c r="G6" i="6"/>
  <c r="G7" i="6" s="1"/>
  <c r="S6" i="8"/>
  <c r="G6" i="8"/>
  <c r="G7" i="8" s="1"/>
  <c r="V6" i="7"/>
  <c r="J6" i="7"/>
  <c r="C6" i="6"/>
  <c r="O6" i="6"/>
  <c r="B6" i="6"/>
  <c r="O6" i="8"/>
  <c r="B6" i="8"/>
  <c r="M6" i="8"/>
  <c r="L6" i="8"/>
  <c r="V6" i="6"/>
  <c r="K6" i="8"/>
  <c r="B6" i="7"/>
  <c r="M6" i="7"/>
  <c r="L6" i="6"/>
  <c r="L6" i="7"/>
  <c r="R6" i="8"/>
  <c r="F6" i="8"/>
  <c r="U6" i="7"/>
  <c r="I6" i="7"/>
  <c r="D6" i="6"/>
  <c r="P6" i="6"/>
  <c r="C6" i="8"/>
  <c r="N6" i="8"/>
  <c r="Y6" i="8"/>
  <c r="U6" i="6"/>
  <c r="C6" i="7"/>
  <c r="N6" i="7"/>
  <c r="Y6" i="7"/>
  <c r="I6" i="8"/>
  <c r="M6" i="6"/>
  <c r="Q6" i="8"/>
  <c r="E6" i="8"/>
  <c r="T6" i="7"/>
  <c r="H6" i="7"/>
  <c r="E6" i="6"/>
  <c r="Q6" i="6"/>
  <c r="F6" i="7"/>
  <c r="Z6" i="8"/>
  <c r="E6" i="7"/>
  <c r="P6" i="7"/>
  <c r="I6" i="6"/>
  <c r="W6" i="8"/>
  <c r="K6" i="6"/>
  <c r="V6" i="8"/>
  <c r="U6" i="8"/>
  <c r="P6" i="8"/>
  <c r="D6" i="8"/>
  <c r="S6" i="7"/>
  <c r="G6" i="7"/>
  <c r="F6" i="6"/>
  <c r="R6" i="6"/>
  <c r="R6" i="7"/>
  <c r="S6" i="6"/>
  <c r="Q6" i="7"/>
  <c r="H6" i="6"/>
  <c r="T6" i="6"/>
  <c r="D6" i="7"/>
  <c r="X6" i="8"/>
  <c r="O6" i="7"/>
  <c r="J6" i="6"/>
  <c r="Z6" i="7"/>
  <c r="W6" i="6"/>
  <c r="J6" i="8"/>
  <c r="X6" i="6"/>
  <c r="X6" i="7"/>
  <c r="Y6" i="6"/>
  <c r="G7" i="7"/>
  <c r="E4" i="7"/>
  <c r="E5" i="7" s="1"/>
  <c r="E7" i="7" s="1"/>
  <c r="E4" i="8"/>
  <c r="E5" i="8" s="1"/>
  <c r="E7" i="8" s="1"/>
  <c r="E4" i="6"/>
  <c r="E5" i="6" s="1"/>
  <c r="D4" i="8"/>
  <c r="D5" i="8" s="1"/>
  <c r="D7" i="8" s="1"/>
  <c r="D4" i="7"/>
  <c r="D5" i="7" s="1"/>
  <c r="D4" i="6"/>
  <c r="D5" i="6" s="1"/>
  <c r="C4" i="8"/>
  <c r="C5" i="8" s="1"/>
  <c r="C4" i="7"/>
  <c r="C5" i="7" s="1"/>
  <c r="C4" i="6"/>
  <c r="C5" i="6" s="1"/>
  <c r="C7" i="6" s="1"/>
  <c r="B4" i="8"/>
  <c r="B5" i="8" s="1"/>
  <c r="B4" i="7"/>
  <c r="B5" i="7" s="1"/>
  <c r="B4" i="6"/>
  <c r="B5" i="6" s="1"/>
  <c r="B7" i="6" s="1"/>
  <c r="H4" i="8"/>
  <c r="H5" i="8" s="1"/>
  <c r="H7" i="8" s="1"/>
  <c r="H4" i="7"/>
  <c r="H5" i="7" s="1"/>
  <c r="B15" i="6"/>
  <c r="B15" i="8"/>
  <c r="B15" i="7"/>
  <c r="H4" i="6"/>
  <c r="H5" i="6" s="1"/>
  <c r="K4" i="5"/>
  <c r="J5" i="5"/>
  <c r="J9" i="5" s="1"/>
  <c r="J10" i="5" s="1"/>
  <c r="I18" i="5"/>
  <c r="C12" i="5"/>
  <c r="D12" i="5"/>
  <c r="B11" i="5"/>
  <c r="B12" i="5" s="1"/>
  <c r="E12" i="5"/>
  <c r="F12" i="5"/>
  <c r="G12" i="5"/>
  <c r="H12" i="5"/>
  <c r="I12" i="5"/>
  <c r="O6" i="5"/>
  <c r="C7" i="7" l="1"/>
  <c r="E7" i="6"/>
  <c r="B7" i="7"/>
  <c r="F7" i="6"/>
  <c r="F7" i="7"/>
  <c r="C7" i="8"/>
  <c r="D7" i="6"/>
  <c r="F7" i="8"/>
  <c r="H7" i="6"/>
  <c r="D7" i="7"/>
  <c r="H7" i="7"/>
  <c r="B7" i="8"/>
  <c r="I4" i="8"/>
  <c r="I5" i="8" s="1"/>
  <c r="I7" i="8" s="1"/>
  <c r="I4" i="7"/>
  <c r="I5" i="7" s="1"/>
  <c r="I7" i="7" s="1"/>
  <c r="J12" i="5"/>
  <c r="I4" i="6"/>
  <c r="I5" i="6" s="1"/>
  <c r="I7" i="6" s="1"/>
  <c r="L4" i="5"/>
  <c r="K5" i="5"/>
  <c r="K9" i="5" s="1"/>
  <c r="K10" i="5" s="1"/>
  <c r="P6" i="5"/>
  <c r="Q6" i="5" s="1"/>
  <c r="J4" i="8" l="1"/>
  <c r="J5" i="8" s="1"/>
  <c r="J7" i="8" s="1"/>
  <c r="J4" i="7"/>
  <c r="J5" i="7" s="1"/>
  <c r="J7" i="7" s="1"/>
  <c r="K12" i="5"/>
  <c r="J4" i="6"/>
  <c r="J5" i="6" s="1"/>
  <c r="J7" i="6" s="1"/>
  <c r="M4" i="5"/>
  <c r="L5" i="5"/>
  <c r="L9" i="5" s="1"/>
  <c r="L10" i="5" s="1"/>
  <c r="R6" i="5"/>
  <c r="S6" i="5" s="1"/>
  <c r="K4" i="8" l="1"/>
  <c r="K5" i="8" s="1"/>
  <c r="K7" i="8" s="1"/>
  <c r="K4" i="7"/>
  <c r="K5" i="7" s="1"/>
  <c r="K7" i="7" s="1"/>
  <c r="L12" i="5"/>
  <c r="K4" i="6"/>
  <c r="K5" i="6" s="1"/>
  <c r="K7" i="6" s="1"/>
  <c r="N4" i="5"/>
  <c r="M5" i="5"/>
  <c r="M9" i="5" s="1"/>
  <c r="M10" i="5" s="1"/>
  <c r="T6" i="5"/>
  <c r="L4" i="8" l="1"/>
  <c r="L5" i="8" s="1"/>
  <c r="L7" i="8" s="1"/>
  <c r="L4" i="7"/>
  <c r="L5" i="7" s="1"/>
  <c r="L7" i="7" s="1"/>
  <c r="O4" i="5"/>
  <c r="N5" i="5"/>
  <c r="N9" i="5" s="1"/>
  <c r="N10" i="5" s="1"/>
  <c r="M12" i="5"/>
  <c r="L4" i="6"/>
  <c r="L5" i="6" s="1"/>
  <c r="L7" i="6" s="1"/>
  <c r="U6" i="5"/>
  <c r="M4" i="8" l="1"/>
  <c r="M5" i="8" s="1"/>
  <c r="M7" i="8" s="1"/>
  <c r="M4" i="7"/>
  <c r="M5" i="7" s="1"/>
  <c r="M7" i="7" s="1"/>
  <c r="N12" i="5"/>
  <c r="M4" i="6"/>
  <c r="M5" i="6" s="1"/>
  <c r="M7" i="6" s="1"/>
  <c r="P4" i="5"/>
  <c r="O5" i="5"/>
  <c r="O9" i="5" s="1"/>
  <c r="O10" i="5" s="1"/>
  <c r="V6" i="5"/>
  <c r="N4" i="8" l="1"/>
  <c r="N5" i="8" s="1"/>
  <c r="N7" i="8" s="1"/>
  <c r="N4" i="7"/>
  <c r="N5" i="7" s="1"/>
  <c r="N7" i="7" s="1"/>
  <c r="O12" i="5"/>
  <c r="N4" i="6"/>
  <c r="N5" i="6" s="1"/>
  <c r="N7" i="6" s="1"/>
  <c r="Q4" i="5"/>
  <c r="P5" i="5"/>
  <c r="P9" i="5" s="1"/>
  <c r="P10" i="5" s="1"/>
  <c r="W6" i="5"/>
  <c r="X6" i="5" s="1"/>
  <c r="O4" i="8" l="1"/>
  <c r="O5" i="8" s="1"/>
  <c r="O7" i="8" s="1"/>
  <c r="O4" i="7"/>
  <c r="O5" i="7" s="1"/>
  <c r="O7" i="7" s="1"/>
  <c r="P12" i="5"/>
  <c r="O4" i="6"/>
  <c r="O5" i="6" s="1"/>
  <c r="O7" i="6" s="1"/>
  <c r="R4" i="5"/>
  <c r="Q5" i="5"/>
  <c r="Q9" i="5" s="1"/>
  <c r="Q10" i="5" s="1"/>
  <c r="Y6" i="5"/>
  <c r="P4" i="8" l="1"/>
  <c r="P5" i="8" s="1"/>
  <c r="P7" i="8" s="1"/>
  <c r="P4" i="7"/>
  <c r="P5" i="7" s="1"/>
  <c r="P7" i="7" s="1"/>
  <c r="S4" i="5"/>
  <c r="R5" i="5"/>
  <c r="R9" i="5" s="1"/>
  <c r="R10" i="5" s="1"/>
  <c r="Q12" i="5"/>
  <c r="P4" i="6"/>
  <c r="P5" i="6" s="1"/>
  <c r="P7" i="6" s="1"/>
  <c r="Z6" i="5"/>
  <c r="AA6" i="5" s="1"/>
  <c r="Q4" i="8" l="1"/>
  <c r="Q5" i="8" s="1"/>
  <c r="Q7" i="8" s="1"/>
  <c r="Q4" i="7"/>
  <c r="Q5" i="7" s="1"/>
  <c r="Q7" i="7" s="1"/>
  <c r="R12" i="5"/>
  <c r="Q4" i="6"/>
  <c r="Q5" i="6" s="1"/>
  <c r="Q7" i="6" s="1"/>
  <c r="T4" i="5"/>
  <c r="S5" i="5"/>
  <c r="S9" i="5" s="1"/>
  <c r="S10" i="5" s="1"/>
  <c r="R4" i="8" l="1"/>
  <c r="R5" i="8" s="1"/>
  <c r="R7" i="8" s="1"/>
  <c r="R4" i="7"/>
  <c r="R5" i="7" s="1"/>
  <c r="R7" i="7" s="1"/>
  <c r="S12" i="5"/>
  <c r="R4" i="6"/>
  <c r="R5" i="6" s="1"/>
  <c r="R7" i="6" s="1"/>
  <c r="U4" i="5"/>
  <c r="T5" i="5"/>
  <c r="T9" i="5" s="1"/>
  <c r="T10" i="5" s="1"/>
  <c r="S4" i="8" l="1"/>
  <c r="S5" i="8" s="1"/>
  <c r="S7" i="8" s="1"/>
  <c r="S4" i="7"/>
  <c r="S5" i="7" s="1"/>
  <c r="S7" i="7" s="1"/>
  <c r="V4" i="5"/>
  <c r="U5" i="5"/>
  <c r="U9" i="5" s="1"/>
  <c r="U10" i="5" s="1"/>
  <c r="T12" i="5"/>
  <c r="S4" i="6"/>
  <c r="S5" i="6" s="1"/>
  <c r="S7" i="6" s="1"/>
  <c r="T4" i="8" l="1"/>
  <c r="T5" i="8" s="1"/>
  <c r="T7" i="8" s="1"/>
  <c r="T4" i="7"/>
  <c r="T5" i="7" s="1"/>
  <c r="T7" i="7" s="1"/>
  <c r="U12" i="5"/>
  <c r="T4" i="6"/>
  <c r="T5" i="6" s="1"/>
  <c r="T7" i="6" s="1"/>
  <c r="W4" i="5"/>
  <c r="V5" i="5"/>
  <c r="V9" i="5" s="1"/>
  <c r="V10" i="5" s="1"/>
  <c r="U4" i="8" l="1"/>
  <c r="U5" i="8" s="1"/>
  <c r="U7" i="8" s="1"/>
  <c r="U4" i="7"/>
  <c r="U5" i="7" s="1"/>
  <c r="U7" i="7" s="1"/>
  <c r="V12" i="5"/>
  <c r="U4" i="6"/>
  <c r="U5" i="6" s="1"/>
  <c r="U7" i="6" s="1"/>
  <c r="X4" i="5"/>
  <c r="W5" i="5"/>
  <c r="W9" i="5" s="1"/>
  <c r="W10" i="5" s="1"/>
  <c r="V4" i="8" l="1"/>
  <c r="V5" i="8" s="1"/>
  <c r="V7" i="8" s="1"/>
  <c r="V4" i="7"/>
  <c r="V5" i="7" s="1"/>
  <c r="V7" i="7" s="1"/>
  <c r="Y4" i="5"/>
  <c r="X5" i="5"/>
  <c r="X9" i="5" s="1"/>
  <c r="X10" i="5" s="1"/>
  <c r="W12" i="5"/>
  <c r="V4" i="6"/>
  <c r="V5" i="6" s="1"/>
  <c r="V7" i="6" s="1"/>
  <c r="W4" i="8" l="1"/>
  <c r="W5" i="8" s="1"/>
  <c r="W7" i="8" s="1"/>
  <c r="W4" i="7"/>
  <c r="W5" i="7" s="1"/>
  <c r="W7" i="7" s="1"/>
  <c r="X12" i="5"/>
  <c r="W4" i="6"/>
  <c r="W5" i="6" s="1"/>
  <c r="W7" i="6" s="1"/>
  <c r="Z4" i="5"/>
  <c r="Y5" i="5"/>
  <c r="Y9" i="5" s="1"/>
  <c r="Y10" i="5" s="1"/>
  <c r="X4" i="8" l="1"/>
  <c r="X5" i="8" s="1"/>
  <c r="X7" i="8" s="1"/>
  <c r="X4" i="7"/>
  <c r="X5" i="7" s="1"/>
  <c r="X7" i="7" s="1"/>
  <c r="Y12" i="5"/>
  <c r="X4" i="6"/>
  <c r="X5" i="6" s="1"/>
  <c r="X7" i="6" s="1"/>
  <c r="AA4" i="5"/>
  <c r="AA5" i="5" s="1"/>
  <c r="AA9" i="5" s="1"/>
  <c r="AA10" i="5" s="1"/>
  <c r="Z5" i="5"/>
  <c r="Z9" i="5" s="1"/>
  <c r="Z10" i="5" s="1"/>
  <c r="Z4" i="8" l="1"/>
  <c r="Z5" i="8" s="1"/>
  <c r="Z4" i="7"/>
  <c r="Z5" i="7" s="1"/>
  <c r="Y4" i="8"/>
  <c r="Y5" i="8" s="1"/>
  <c r="Y7" i="8" s="1"/>
  <c r="Y4" i="7"/>
  <c r="Y5" i="7" s="1"/>
  <c r="Y7" i="7" s="1"/>
  <c r="Z12" i="5"/>
  <c r="Y4" i="6"/>
  <c r="Y5" i="6" s="1"/>
  <c r="Y7" i="6" s="1"/>
  <c r="AA12" i="5"/>
  <c r="B15" i="5"/>
  <c r="B16" i="5" s="1"/>
  <c r="B17" i="5" s="1"/>
  <c r="Z4" i="6"/>
  <c r="Z5" i="6" s="1"/>
  <c r="G18" i="5" l="1"/>
  <c r="B9" i="7"/>
  <c r="B10" i="7" s="1"/>
  <c r="Z7" i="7"/>
  <c r="B9" i="8"/>
  <c r="B10" i="8" s="1"/>
  <c r="Z7" i="8"/>
  <c r="B9" i="6"/>
  <c r="B10" i="6" s="1"/>
  <c r="Z7" i="6"/>
  <c r="B19" i="5" l="1"/>
  <c r="B11" i="7"/>
  <c r="B13" i="7" s="1"/>
  <c r="B11" i="6"/>
  <c r="B13" i="6" s="1"/>
  <c r="B11" i="8"/>
  <c r="B1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<sst xmlns="http://schemas.openxmlformats.org/spreadsheetml/2006/main" count="438" uniqueCount="251">
  <si>
    <t>Input Name</t>
  </si>
  <si>
    <t>Value</t>
  </si>
  <si>
    <t>Risk-Free Rate</t>
  </si>
  <si>
    <t>Market Risk Premium</t>
  </si>
  <si>
    <t>Beta (Levered)</t>
  </si>
  <si>
    <t>Cost of Equity</t>
  </si>
  <si>
    <t>Cost of Debt (Pre-Tax)</t>
  </si>
  <si>
    <t>Tax Rate</t>
  </si>
  <si>
    <t>Current Corporate Tax Rate</t>
  </si>
  <si>
    <t>Cost of Debt (After Tax)</t>
  </si>
  <si>
    <t>Calculated using CAPM; Ke = Rf + B(Rm-Rf)</t>
  </si>
  <si>
    <t>Tax is reduced; Kd*(1-Tax Rate)</t>
  </si>
  <si>
    <t>Capital Market Inputs</t>
  </si>
  <si>
    <t>Debt &amp; Tax Inputs</t>
  </si>
  <si>
    <t>Capital Structure</t>
  </si>
  <si>
    <t>Equity Weight</t>
  </si>
  <si>
    <t>Debt Weight</t>
  </si>
  <si>
    <t>WACC</t>
  </si>
  <si>
    <t>Weighted Average Cost of Capital; (Ke × Equity weight) + (Kd(after tax) × Debt weight)</t>
  </si>
  <si>
    <t>Terminal &amp; Valuation Inputs</t>
  </si>
  <si>
    <t>Terminal Growth Rate</t>
  </si>
  <si>
    <t>Shares Outstanding</t>
  </si>
  <si>
    <t>Modelling Constraints</t>
  </si>
  <si>
    <t>Capex Growth Rate</t>
  </si>
  <si>
    <t>WC Change Growth Rate</t>
  </si>
  <si>
    <t>Depreciation Method</t>
  </si>
  <si>
    <t>No PPE Schedule.</t>
  </si>
  <si>
    <t>As per the assignment guidelines.</t>
  </si>
  <si>
    <t>Market Return</t>
  </si>
  <si>
    <t>As per the CAPM formula component; Market Return - Risk-Free Rate.</t>
  </si>
  <si>
    <t>Notes</t>
  </si>
  <si>
    <t>Source</t>
  </si>
  <si>
    <t>India 10-Year Government Bond Yield obtained from Trading Economics as on 02/01/2026.</t>
  </si>
  <si>
    <t>https://tradingeconomics.com/india/government-bond-yield</t>
  </si>
  <si>
    <t>1A. MARKET RETURNS CALCULATION</t>
  </si>
  <si>
    <t>Date</t>
  </si>
  <si>
    <t>NIFTY 50 Closing Price</t>
  </si>
  <si>
    <t>https://www.nseindia.com/reports-indices-historical-index-data</t>
  </si>
  <si>
    <t>NA</t>
  </si>
  <si>
    <t>NIFTY50 Annual Returns 
(P1-P0/P0)</t>
  </si>
  <si>
    <t>10 Year Average Market Return</t>
  </si>
  <si>
    <t>Source Link</t>
  </si>
  <si>
    <t>Source Tab</t>
  </si>
  <si>
    <t>https://www.moneycontrol.com/india/stockpricequote/cement-major/dalmiabharat/OCL</t>
  </si>
  <si>
    <t xml:space="preserve">As per NSE NIFTY 50 returns, 10 year average - Refer to sheet 1A. </t>
  </si>
  <si>
    <r>
      <rPr>
        <b/>
        <sz val="10"/>
        <color theme="1"/>
        <rFont val="Times New Roman"/>
        <family val="1"/>
      </rPr>
      <t>Figure 1:</t>
    </r>
    <r>
      <rPr>
        <sz val="10"/>
        <color theme="1"/>
        <rFont val="Times New Roman"/>
        <family val="2"/>
      </rPr>
      <t xml:space="preserve"> Risk Free Rate - 10 Year Government Security Bond Yield from Trading Economics.</t>
    </r>
  </si>
  <si>
    <r>
      <rPr>
        <b/>
        <sz val="10"/>
        <color theme="1"/>
        <rFont val="Times New Roman"/>
        <family val="1"/>
      </rPr>
      <t>Figure 2:</t>
    </r>
    <r>
      <rPr>
        <sz val="10"/>
        <color theme="1"/>
        <rFont val="Times New Roman"/>
        <family val="2"/>
      </rPr>
      <t xml:space="preserve"> Beta value of Dalmia Bharat Limited</t>
    </r>
    <r>
      <rPr>
        <sz val="10"/>
        <color theme="1"/>
        <rFont val="Times New Roman"/>
        <family val="1"/>
      </rPr>
      <t xml:space="preserve"> from MoneyControl.</t>
    </r>
  </si>
  <si>
    <t>Figure 1</t>
  </si>
  <si>
    <t>Figure 2</t>
  </si>
  <si>
    <t>As per MoneyControl.</t>
  </si>
  <si>
    <t>-</t>
  </si>
  <si>
    <t>Topic:</t>
  </si>
  <si>
    <t>Abhimanyu Babbar</t>
  </si>
  <si>
    <t>Sustainable Finance and Responsible Investment</t>
  </si>
  <si>
    <t>CLSA Case Study Assignment</t>
  </si>
  <si>
    <t>Done by:</t>
  </si>
  <si>
    <t>Income Statements of Dalmia (2019-2022) in Million Indian Rupees</t>
  </si>
  <si>
    <t>Particulars</t>
  </si>
  <si>
    <t>Revenue</t>
  </si>
  <si>
    <t>Cost of Goods Sold</t>
  </si>
  <si>
    <t>Gross Profit</t>
  </si>
  <si>
    <t>Research &amp; Development Costs</t>
  </si>
  <si>
    <t>Selling and Marketing Expenses</t>
  </si>
  <si>
    <t>Other SG&amp;A</t>
  </si>
  <si>
    <t>Other Operating Expenses</t>
  </si>
  <si>
    <t>Operating EBITDA</t>
  </si>
  <si>
    <t>Depreciation / Amortization</t>
  </si>
  <si>
    <t>Operating EBIT</t>
  </si>
  <si>
    <t>Interest Income</t>
  </si>
  <si>
    <t>Interest Expense</t>
  </si>
  <si>
    <t>Net Interest Income / (Expense)</t>
  </si>
  <si>
    <t>Associates / Investments</t>
  </si>
  <si>
    <t>Forex / Other Income</t>
  </si>
  <si>
    <t>Asset Sales / Other Cash Items</t>
  </si>
  <si>
    <t>Asset Revaluation / Exceptional Items</t>
  </si>
  <si>
    <t>Profit Before Tax</t>
  </si>
  <si>
    <t>Taxation</t>
  </si>
  <si>
    <t>Profit After Tax</t>
  </si>
  <si>
    <t>Preference Dividends</t>
  </si>
  <si>
    <t>Profit for Period</t>
  </si>
  <si>
    <t>Minority Interest</t>
  </si>
  <si>
    <t>Net Profit</t>
  </si>
  <si>
    <t>Extraordinaries / Others</t>
  </si>
  <si>
    <t>Profit Available to Ordinary Shares</t>
  </si>
  <si>
    <t>Dividends</t>
  </si>
  <si>
    <t>Retained Profit</t>
  </si>
  <si>
    <t>Adjusted Profit</t>
  </si>
  <si>
    <t>EPS (Indian Rupees)</t>
  </si>
  <si>
    <t>Core EPS (Indian Rupees)</t>
  </si>
  <si>
    <t>DPS (Indian Rupees)</t>
  </si>
  <si>
    <r>
      <t xml:space="preserve">Figure 3a: </t>
    </r>
    <r>
      <rPr>
        <sz val="10"/>
        <color theme="1"/>
        <rFont val="Times New Roman"/>
        <family val="1"/>
      </rPr>
      <t>Income Statement from the CLSA Case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Analysis</t>
    </r>
  </si>
  <si>
    <t>Balance Sheet of Dalmia (2019-2022) in Million Indian Rupees</t>
  </si>
  <si>
    <r>
      <t xml:space="preserve">Figure 3b: </t>
    </r>
    <r>
      <rPr>
        <sz val="10"/>
        <color theme="1"/>
        <rFont val="Times New Roman"/>
        <family val="1"/>
      </rPr>
      <t>Income Statement from the CLSA Case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Analysis</t>
    </r>
  </si>
  <si>
    <t>Cash &amp; Equivalents</t>
  </si>
  <si>
    <t>Accounts Receivables</t>
  </si>
  <si>
    <t>Inventories</t>
  </si>
  <si>
    <t>Other Current Assets</t>
  </si>
  <si>
    <t>Current Assets</t>
  </si>
  <si>
    <t>Fixed Assets</t>
  </si>
  <si>
    <t>Investments</t>
  </si>
  <si>
    <t>Goodwill</t>
  </si>
  <si>
    <t>Other Intangible Assets</t>
  </si>
  <si>
    <t>Other Non-Current Assets</t>
  </si>
  <si>
    <t>Total Assets</t>
  </si>
  <si>
    <t>Total Non-Current Assets</t>
  </si>
  <si>
    <t>Short-Term Loans / OD</t>
  </si>
  <si>
    <t>Accounts Payable</t>
  </si>
  <si>
    <t>Accrued Expenses</t>
  </si>
  <si>
    <t>Taxes Payable</t>
  </si>
  <si>
    <t>Other Current Liabilities</t>
  </si>
  <si>
    <t>Current Liabilities</t>
  </si>
  <si>
    <t>Long-Term Debt / Leases / Other</t>
  </si>
  <si>
    <t>Convertible Bonds</t>
  </si>
  <si>
    <t>Provisions / Other Long-Term Liabilities</t>
  </si>
  <si>
    <t>Non-Current Liabilities</t>
  </si>
  <si>
    <t>Total Liabilities</t>
  </si>
  <si>
    <t>Share Capital</t>
  </si>
  <si>
    <t>Retained Earnings</t>
  </si>
  <si>
    <t>Reserves / Others</t>
  </si>
  <si>
    <t>Shareholder Funds</t>
  </si>
  <si>
    <t>Minorities / Other Equity</t>
  </si>
  <si>
    <t>Total Equity</t>
  </si>
  <si>
    <t>Total Liabilities &amp; Equity</t>
  </si>
  <si>
    <t>Total Debt</t>
  </si>
  <si>
    <t>Net Debt</t>
  </si>
  <si>
    <t>Adjusted Enterprise Value</t>
  </si>
  <si>
    <t>Book Value Per Share (Indian Rupees)</t>
  </si>
  <si>
    <t>From Raw Financials using Interest Expenses/Total Debt.</t>
  </si>
  <si>
    <t>2. RAW FINANCIALS (CASE)</t>
  </si>
  <si>
    <t>https://incometaxindia.gov.in/Documents/Left%20Menu/TAX%20RATES-domestic.htm</t>
  </si>
  <si>
    <r>
      <rPr>
        <b/>
        <sz val="10"/>
        <color theme="1"/>
        <rFont val="Times New Roman"/>
        <family val="1"/>
      </rPr>
      <t>Figure 3:</t>
    </r>
    <r>
      <rPr>
        <sz val="10"/>
        <color theme="1"/>
        <rFont val="Times New Roman"/>
        <family val="2"/>
      </rPr>
      <t xml:space="preserve"> Corporate Tax Rate</t>
    </r>
  </si>
  <si>
    <t>Obtained from Raw Financials using Total Equity / (Debt + Equity)</t>
  </si>
  <si>
    <t>Obtained using 1 - Equity Weight</t>
  </si>
  <si>
    <t>https://data.worldbank.org/indicator/NY.GDP.MKTP.KD.ZG?locations=IN</t>
  </si>
  <si>
    <t>Figure 3</t>
  </si>
  <si>
    <t>2. RAW FINANCIALS (CASE)'!A1</t>
  </si>
  <si>
    <t>Obtained from World Bank Data as on 2024.</t>
  </si>
  <si>
    <t>Figure 4</t>
  </si>
  <si>
    <r>
      <rPr>
        <b/>
        <sz val="10"/>
        <color theme="1"/>
        <rFont val="Times New Roman"/>
        <family val="1"/>
      </rPr>
      <t>Figure 4:</t>
    </r>
    <r>
      <rPr>
        <sz val="10"/>
        <color theme="1"/>
        <rFont val="Times New Roman"/>
        <family val="2"/>
      </rPr>
      <t xml:space="preserve"> GDP Growth Rate</t>
    </r>
  </si>
  <si>
    <r>
      <rPr>
        <b/>
        <sz val="10"/>
        <color theme="1"/>
        <rFont val="Times New Roman"/>
        <family val="1"/>
      </rPr>
      <t>Figure 5:</t>
    </r>
    <r>
      <rPr>
        <sz val="10"/>
        <color theme="1"/>
        <rFont val="Times New Roman"/>
        <family val="2"/>
      </rPr>
      <t xml:space="preserve"> Shares Outstanding from the Annual Report</t>
    </r>
  </si>
  <si>
    <t>Obtained from Dalmia Cements Annual Report 2024-25.</t>
  </si>
  <si>
    <t>https://www.dalmiacement.com/assets/pdf/annual-reports/Dalmia-Bharat-IR-FY-24-25.pdf</t>
  </si>
  <si>
    <t>Figure 5</t>
  </si>
  <si>
    <t>Average of last 4 years depreciation.</t>
  </si>
  <si>
    <t>Forecast Horizon (Years)</t>
  </si>
  <si>
    <t>Year</t>
  </si>
  <si>
    <t>Discount Factor</t>
  </si>
  <si>
    <t>Current Year</t>
  </si>
  <si>
    <t>Projected Year</t>
  </si>
  <si>
    <t>Year Type</t>
  </si>
  <si>
    <t>Net Working Capital</t>
  </si>
  <si>
    <t>Capital Expenditure</t>
  </si>
  <si>
    <t>(Capex = Closing Fixed Assets - Opening Fixed Assets + Depreciation)</t>
  </si>
  <si>
    <t>Values in Lakhs</t>
  </si>
  <si>
    <t>(Current Year - Previous Year)</t>
  </si>
  <si>
    <t>4A. CAPEX &amp; WC WORKINGS</t>
  </si>
  <si>
    <t>(Current Assets - Current Liabilities)</t>
  </si>
  <si>
    <t>EBIT Margin</t>
  </si>
  <si>
    <t>Average EBIT Margin</t>
  </si>
  <si>
    <t>Growth Rate</t>
  </si>
  <si>
    <t>Sensitivity Analysis</t>
  </si>
  <si>
    <t>WACC (-0.5%)</t>
  </si>
  <si>
    <t>WACC (Base)</t>
  </si>
  <si>
    <t>WACC (+0.5%)</t>
  </si>
  <si>
    <t>Growth</t>
  </si>
  <si>
    <t>Growth (-0.5%)</t>
  </si>
  <si>
    <t>Growth (Base)</t>
  </si>
  <si>
    <t>Growth (+0.5%)</t>
  </si>
  <si>
    <t>Case Type</t>
  </si>
  <si>
    <t xml:space="preserve">Value per Share </t>
  </si>
  <si>
    <t>Worst Case</t>
  </si>
  <si>
    <t>Weak Case</t>
  </si>
  <si>
    <t>Base Case</t>
  </si>
  <si>
    <t>Strong Case</t>
  </si>
  <si>
    <t>Best Case</t>
  </si>
  <si>
    <t>5A. MILD ESG SCENARIO</t>
  </si>
  <si>
    <t>ESG Scenarios FCFF Reduction</t>
  </si>
  <si>
    <t>Mild</t>
  </si>
  <si>
    <t>Moderate</t>
  </si>
  <si>
    <t>Severe</t>
  </si>
  <si>
    <t>5B. MODERATE ESG SCENARIO</t>
  </si>
  <si>
    <t>5C. SEVERE ESG SCENARIO</t>
  </si>
  <si>
    <t>Adjusted EPS (Pre Except) (Indian Rupees)</t>
  </si>
  <si>
    <t>4. FCFF BUILD-UP &amp; SENSITIVITY ANALYSIS</t>
  </si>
  <si>
    <t>2. RAW FINANCIALS FROM THE CLSA CASE</t>
  </si>
  <si>
    <t>Scroll to the right.</t>
  </si>
  <si>
    <t>1B. SNIPS OF THE INPUTS FROM THE RELEVANT SOURCES</t>
  </si>
  <si>
    <t>1A. NIFTY 50 MARKET RETURNS CALCULATION</t>
  </si>
  <si>
    <t>1. INPUTS</t>
  </si>
  <si>
    <t>3. KEY ASSUMPTIONS &amp; DRIVERS</t>
  </si>
  <si>
    <t>Revenue (₹ Lakhs)</t>
  </si>
  <si>
    <t>EBIT (₹ Lakhs)</t>
  </si>
  <si>
    <t>Depreciation (₹ Lakhs)</t>
  </si>
  <si>
    <t>CAPEX (₹ Lakhs)</t>
  </si>
  <si>
    <t>Change in Working Capital (₹ Lakhs)</t>
  </si>
  <si>
    <t>Net Profit After Tax (₹ Lakhs)</t>
  </si>
  <si>
    <t>FCFF (₹ Lakhs)</t>
  </si>
  <si>
    <t>Present Value (₹ Lakhs)</t>
  </si>
  <si>
    <t>Terminal Value (₹ Lakhs)</t>
  </si>
  <si>
    <t>PV of Terminal Value (₹ Lakhs)</t>
  </si>
  <si>
    <t>Enterprise Value (₹ Lakhs)</t>
  </si>
  <si>
    <t>No: of shares outstanding (In Lakhs)</t>
  </si>
  <si>
    <t>Intrinsic Value Per Share (₹)</t>
  </si>
  <si>
    <t>Working Capital (₹ Lakhs)</t>
  </si>
  <si>
    <t>Capex Working (₹ Lakhs)</t>
  </si>
  <si>
    <t>1. Capital Expenditure (CAPEX)</t>
  </si>
  <si>
    <t>A. Capital expenditure is assumed to grow at 1% year-on-year, based on the previous year’s capex, as per the assignment guidelines.</t>
  </si>
  <si>
    <t>B. No separate PPE schedule has been prepared as per the assignment guidelines.</t>
  </si>
  <si>
    <t>2. Depreciation</t>
  </si>
  <si>
    <t>A. Depreciation expense is assumed to remain constant over the forecast period.</t>
  </si>
  <si>
    <t>B. It is calculated as the average of the last four historical years, in line with the instruction to avoid detailed asset roll-forward modelling.</t>
  </si>
  <si>
    <t>3. Working Capital</t>
  </si>
  <si>
    <t>A. Annual changes in working capital are assumed to grow at 2% year-on-year, based on the previous year’s working capital change.</t>
  </si>
  <si>
    <t>B. No detailed receivables, inventory, or payables schedules have been constructed.</t>
  </si>
  <si>
    <t>4. Revenue Growth</t>
  </si>
  <si>
    <t>A. Revenue is projected to grow at 6.5% annually, derived from India’s GDP growth rate as reported by the World Bank.</t>
  </si>
  <si>
    <t>B. This assumption reflects long-term macroeconomic growth and industry demand conditions.</t>
  </si>
  <si>
    <t>5. EBIT and Operating Margin</t>
  </si>
  <si>
    <t>A. EBIT margins for the forecast period are assumed to remain stable.</t>
  </si>
  <si>
    <t>B. The margin is calculated as the average historical EBIT margin for the period 2019–2022.</t>
  </si>
  <si>
    <t>C. Projected EBIT is estimated by applying this average margin to forecast revenues.</t>
  </si>
  <si>
    <t>6. Projection Horizon</t>
  </si>
  <si>
    <t>A. Financial projections have been extended until FCFF becomes positive, resulting in a 25-year operational forecast.</t>
  </si>
  <si>
    <t>B. However, valuation and discounting are restricted to a 10-year horizon, in accordance with assignment requirements.</t>
  </si>
  <si>
    <t>7. Discounting Methodology</t>
  </si>
  <si>
    <t>8. Terminal Growth Rate</t>
  </si>
  <si>
    <t>A. The terminal growth rate is assumed to be 6.5%, aligned with India’s long-term GDP growth expectations as reported by the World Bank.</t>
  </si>
  <si>
    <t>B. This assumption is applied consistently across all valuation scenarios.</t>
  </si>
  <si>
    <t>9. ESG Impact Assumptions</t>
  </si>
  <si>
    <t>A. ESG investments are assumed to impact firm value through reductions in FCFF, reflecting compliance and sustainability-related costs.</t>
  </si>
  <si>
    <t>B. Three scenarios are evaluated:</t>
  </si>
  <si>
    <t>i. Mild ESG impact: 5% reduction in FCFF</t>
  </si>
  <si>
    <t>ii. Moderate ESG impact: 15% reduction in FCFF</t>
  </si>
  <si>
    <t>iii. Severe ESG impact: 25% reduction in FCFF</t>
  </si>
  <si>
    <t>C. The discount rate and growth assumptions remain unchanged across ESG scenarios.</t>
  </si>
  <si>
    <t>6. EXECUTIVE SUMMARY</t>
  </si>
  <si>
    <t>A. This study evaluates the equity value of Dalmia Bharat Limited by integrating Environmental, Social, and Governance (ESG) considerations into a Discounted Cash Flow (DCF) framework, in line with the principles of sustainable finance and responsible investment.</t>
  </si>
  <si>
    <t>C. Key valuation inputs include the Weighted Average Cost of Capital (WACC) derived using the Capital Asset Pricing Model (CAPM), a GDP-linked growth assumption, and operating projections based on historical performance and faculty-specified modelling constraints.</t>
  </si>
  <si>
    <t>D. ESG considerations are incorporated through explicit reductions in FCFF, reflecting the short-term financial impact of sustainability-related investments and compliance costs. Three ESG scenarios are analysed:</t>
  </si>
  <si>
    <t>i. Mild impact: 5% reduction in FCFF</t>
  </si>
  <si>
    <t>ii. Moderate impact: 15% reduction in FCFF</t>
  </si>
  <si>
    <t>iii. Severe impact: 25% reduction in FCFF</t>
  </si>
  <si>
    <t>E. The valuation results indicate that ESG investments lead to a progressive reduction in equity value in the short term, with the impact becoming more pronounced under moderate and severe scenarios.</t>
  </si>
  <si>
    <t>F. Sensitivity analysis reveals that the firm’s valuation is more sensitive to changes in the discount rate than to growth assumptions, highlighting the importance of cost of capital considerations in long-term valuation.</t>
  </si>
  <si>
    <t>G. Despite the short-term valuation impact, ESG integration is viewed as a strategic investment that enhances long-term business resilience, regulatory alignment, and sustainability, particularly in a carbon-intensive sector such as cement.</t>
  </si>
  <si>
    <t>H. Overall, the analysis demonstrates that while ESG investments may appear value-reducing in the near term, they are critical for long-term value preservation and responsible capital allocation, supporting the case for ESG integration in equity valuation.</t>
  </si>
  <si>
    <t>ESG FCFF (₹ Lakhs)</t>
  </si>
  <si>
    <t>No: of shares outstanding (₹ Lakhs)</t>
  </si>
  <si>
    <t>A. Free Cash Flows to the Firm (FCFF) are discounted using a uniform WACC-based discount factor, applied consistently across the valuation horizon, in line with the reference valuation framework provided.</t>
  </si>
  <si>
    <t>B. A Free Cash Flow to the Firm (FCFF)–based valuation approach is adopted, with cash flows projected over an extended horizon to capture the firm’s operational recovery.</t>
  </si>
  <si>
    <t>Subject: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</si>
</sst>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%"/>
    <numFmt numFmtId="165" formatCode="&quot;₹&quot;\ #,##0.00"/>
  </numFmts>
  <fonts count="16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u/>
      <sz val="10"/>
      <color theme="10"/>
      <name val="Times New Roman"/>
      <family val="2"/>
    </font>
    <font>
      <b/>
      <u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Aptos Narrow"/>
      <family val="2"/>
      <scheme val="minor"/>
    </font>
    <font>
      <b/>
      <u/>
      <sz val="10"/>
      <color rgb="FF00B05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b/>
      <sz val="18"/>
      <color theme="1"/>
      <name val="Times New Roman"/>
      <family val="1"/>
    </font>
    <font>
      <b/>
      <sz val="48"/>
      <color rgb="FFFF0000"/>
      <name val="Times New Roman"/>
      <family val="1"/>
    </font>
    <font>
      <b/>
      <sz val="18"/>
      <name val="Times New Roman"/>
      <family val="1"/>
    </font>
    <font>
      <sz val="10"/>
      <color theme="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</cellStyleXfs>
  <cellXfs count="174">
    <xf numFmtId="0" fontId="0" fillId="0" borderId="0" xfId="0"/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4" fillId="0" borderId="1" xfId="3" applyFont="1" applyBorder="1" applyAlignment="1">
      <alignment vertical="center"/>
    </xf>
    <xf numFmtId="10" fontId="0" fillId="0" borderId="1" xfId="2" applyNumberFormat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5" fillId="0" borderId="13" xfId="0" applyFont="1" applyBorder="1"/>
    <xf numFmtId="0" fontId="6" fillId="0" borderId="1" xfId="3" quotePrefix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4" fillId="0" borderId="1" xfId="3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2" applyNumberFormat="1" applyFont="1" applyBorder="1" applyAlignment="1">
      <alignment vertical="center" wrapText="1"/>
    </xf>
    <xf numFmtId="0" fontId="5" fillId="3" borderId="0" xfId="4" applyFont="1" applyFill="1"/>
    <xf numFmtId="0" fontId="0" fillId="0" borderId="1" xfId="0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0" fontId="2" fillId="4" borderId="1" xfId="0" applyFont="1" applyFill="1" applyBorder="1"/>
    <xf numFmtId="43" fontId="2" fillId="4" borderId="1" xfId="1" applyFont="1" applyFill="1" applyBorder="1"/>
    <xf numFmtId="0" fontId="2" fillId="4" borderId="1" xfId="0" applyFont="1" applyFill="1" applyBorder="1" applyAlignment="1">
      <alignment horizontal="centerContinuous" vertical="center"/>
    </xf>
    <xf numFmtId="0" fontId="4" fillId="0" borderId="1" xfId="3" quotePrefix="1" applyFont="1" applyBorder="1" applyAlignment="1">
      <alignment horizontal="left" vertical="center" wrapText="1"/>
    </xf>
    <xf numFmtId="9" fontId="0" fillId="0" borderId="1" xfId="0" applyNumberFormat="1" applyBorder="1" applyAlignment="1">
      <alignment vertical="center" wrapText="1"/>
    </xf>
    <xf numFmtId="0" fontId="6" fillId="0" borderId="4" xfId="3" quotePrefix="1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3" borderId="0" xfId="0" applyFill="1"/>
    <xf numFmtId="43" fontId="0" fillId="0" borderId="1" xfId="1" applyFont="1" applyBorder="1" applyAlignment="1">
      <alignment vertical="center" wrapText="1"/>
    </xf>
    <xf numFmtId="0" fontId="8" fillId="0" borderId="1" xfId="3" quotePrefix="1" applyFont="1" applyBorder="1" applyAlignment="1">
      <alignment vertical="center" wrapText="1"/>
    </xf>
    <xf numFmtId="0" fontId="8" fillId="0" borderId="1" xfId="3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0" fontId="0" fillId="3" borderId="0" xfId="0" applyNumberFormat="1" applyFill="1"/>
    <xf numFmtId="0" fontId="0" fillId="3" borderId="0" xfId="0" applyFill="1" applyAlignment="1">
      <alignment vertical="center"/>
    </xf>
    <xf numFmtId="10" fontId="0" fillId="0" borderId="1" xfId="0" applyNumberFormat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6" borderId="1" xfId="0" applyFont="1" applyFill="1" applyBorder="1" applyAlignment="1">
      <alignment horizontal="center"/>
    </xf>
    <xf numFmtId="0" fontId="0" fillId="4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43" fontId="0" fillId="7" borderId="1" xfId="0" applyNumberFormat="1" applyFill="1" applyBorder="1"/>
    <xf numFmtId="0" fontId="5" fillId="0" borderId="1" xfId="0" applyFont="1" applyBorder="1"/>
    <xf numFmtId="43" fontId="5" fillId="0" borderId="1" xfId="0" applyNumberFormat="1" applyFont="1" applyBorder="1"/>
    <xf numFmtId="43" fontId="5" fillId="0" borderId="1" xfId="1" applyFont="1" applyBorder="1"/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0" fontId="2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3" borderId="0" xfId="0" applyFont="1" applyFill="1"/>
    <xf numFmtId="43" fontId="0" fillId="4" borderId="1" xfId="0" applyNumberFormat="1" applyFill="1" applyBorder="1"/>
    <xf numFmtId="10" fontId="0" fillId="0" borderId="1" xfId="2" applyNumberFormat="1" applyFont="1" applyBorder="1"/>
    <xf numFmtId="164" fontId="0" fillId="0" borderId="1" xfId="2" applyNumberFormat="1" applyFont="1" applyBorder="1"/>
    <xf numFmtId="164" fontId="2" fillId="0" borderId="1" xfId="0" applyNumberFormat="1" applyFont="1" applyBorder="1"/>
    <xf numFmtId="0" fontId="2" fillId="0" borderId="13" xfId="0" applyFont="1" applyBorder="1"/>
    <xf numFmtId="0" fontId="2" fillId="6" borderId="1" xfId="0" applyFont="1" applyFill="1" applyBorder="1" applyAlignment="1">
      <alignment horizontal="centerContinuous" vertical="center"/>
    </xf>
    <xf numFmtId="0" fontId="9" fillId="5" borderId="4" xfId="0" applyFont="1" applyFill="1" applyBorder="1" applyAlignment="1">
      <alignment horizontal="center"/>
    </xf>
    <xf numFmtId="10" fontId="0" fillId="0" borderId="1" xfId="0" applyNumberFormat="1" applyBorder="1"/>
    <xf numFmtId="43" fontId="0" fillId="0" borderId="1" xfId="0" applyNumberFormat="1" applyBorder="1"/>
    <xf numFmtId="2" fontId="0" fillId="0" borderId="1" xfId="0" applyNumberFormat="1" applyBorder="1"/>
    <xf numFmtId="10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/>
    <xf numFmtId="0" fontId="2" fillId="8" borderId="1" xfId="0" applyFont="1" applyFill="1" applyBorder="1" applyAlignment="1">
      <alignment horizontal="center"/>
    </xf>
    <xf numFmtId="44" fontId="5" fillId="0" borderId="2" xfId="0" applyNumberFormat="1" applyFont="1" applyBorder="1"/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9" fontId="0" fillId="0" borderId="1" xfId="1" applyNumberFormat="1" applyFont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8" xfId="0" applyFont="1" applyFill="1" applyBorder="1"/>
    <xf numFmtId="0" fontId="5" fillId="0" borderId="1" xfId="0" applyFont="1" applyBorder="1" applyAlignment="1">
      <alignment horizontal="center"/>
    </xf>
    <xf numFmtId="10" fontId="2" fillId="11" borderId="2" xfId="0" applyNumberFormat="1" applyFont="1" applyFill="1" applyBorder="1" applyAlignment="1">
      <alignment horizontal="center"/>
    </xf>
    <xf numFmtId="10" fontId="2" fillId="11" borderId="1" xfId="0" applyNumberFormat="1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13" fillId="3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Continuous" vertical="center" wrapText="1"/>
    </xf>
    <xf numFmtId="0" fontId="0" fillId="6" borderId="1" xfId="0" applyFill="1" applyBorder="1" applyAlignment="1">
      <alignment horizontal="centerContinuous" vertical="center" wrapText="1"/>
    </xf>
    <xf numFmtId="0" fontId="0" fillId="6" borderId="1" xfId="0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10" fontId="2" fillId="10" borderId="1" xfId="0" applyNumberFormat="1" applyFont="1" applyFill="1" applyBorder="1" applyAlignment="1">
      <alignment horizontal="center" vertical="center"/>
    </xf>
    <xf numFmtId="0" fontId="9" fillId="5" borderId="1" xfId="4" applyFont="1" applyFill="1" applyBorder="1"/>
    <xf numFmtId="0" fontId="2" fillId="8" borderId="1" xfId="0" applyFont="1" applyFill="1" applyBorder="1" applyAlignment="1">
      <alignment horizontal="left"/>
    </xf>
    <xf numFmtId="10" fontId="0" fillId="0" borderId="0" xfId="2" applyNumberFormat="1" applyFont="1" applyBorder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8" xfId="0" applyFont="1" applyBorder="1" applyAlignment="1">
      <alignment vertical="center"/>
    </xf>
    <xf numFmtId="0" fontId="15" fillId="5" borderId="1" xfId="4" applyFont="1" applyFill="1" applyBorder="1" applyAlignment="1">
      <alignment horizontal="left"/>
    </xf>
    <xf numFmtId="0" fontId="6" fillId="0" borderId="2" xfId="3" quotePrefix="1" applyFont="1" applyBorder="1" applyAlignment="1">
      <alignment horizontal="left" vertical="center" wrapText="1"/>
    </xf>
    <xf numFmtId="0" fontId="6" fillId="0" borderId="3" xfId="3" quotePrefix="1" applyFont="1" applyBorder="1" applyAlignment="1">
      <alignment horizontal="left" vertical="center" wrapText="1"/>
    </xf>
    <xf numFmtId="0" fontId="6" fillId="0" borderId="4" xfId="3" quotePrefix="1" applyFont="1" applyBorder="1" applyAlignment="1">
      <alignment horizontal="left" vertical="center" wrapText="1"/>
    </xf>
    <xf numFmtId="0" fontId="8" fillId="0" borderId="1" xfId="3" quotePrefix="1" applyFont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/>
    </xf>
    <xf numFmtId="0" fontId="14" fillId="10" borderId="14" xfId="0" applyFont="1" applyFill="1" applyBorder="1" applyAlignment="1">
      <alignment horizontal="left"/>
    </xf>
    <xf numFmtId="0" fontId="14" fillId="10" borderId="15" xfId="0" applyFont="1" applyFill="1" applyBorder="1" applyAlignment="1">
      <alignment horizontal="left"/>
    </xf>
    <xf numFmtId="0" fontId="14" fillId="10" borderId="11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14" fillId="10" borderId="6" xfId="0" applyFont="1" applyFill="1" applyBorder="1" applyAlignment="1">
      <alignment horizontal="left" vertical="center"/>
    </xf>
    <xf numFmtId="0" fontId="14" fillId="10" borderId="7" xfId="0" applyFont="1" applyFill="1" applyBorder="1" applyAlignment="1">
      <alignment horizontal="left" vertical="center"/>
    </xf>
    <xf numFmtId="0" fontId="14" fillId="10" borderId="10" xfId="0" applyFont="1" applyFill="1" applyBorder="1" applyAlignment="1">
      <alignment horizontal="left" vertical="center"/>
    </xf>
    <xf numFmtId="0" fontId="14" fillId="10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4" fillId="13" borderId="0" xfId="0" applyFont="1" applyFill="1" applyAlignment="1">
      <alignment horizontal="left"/>
    </xf>
    <xf numFmtId="0" fontId="2" fillId="6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11" fillId="15" borderId="5" xfId="0" applyFont="1" applyFill="1" applyBorder="1" applyAlignment="1">
      <alignment horizontal="left"/>
    </xf>
    <xf numFmtId="0" fontId="11" fillId="15" borderId="6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11" fillId="9" borderId="1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left"/>
    </xf>
    <xf numFmtId="0" fontId="11" fillId="9" borderId="6" xfId="0" applyFont="1" applyFill="1" applyBorder="1" applyAlignment="1">
      <alignment horizontal="left"/>
    </xf>
    <xf numFmtId="0" fontId="11" fillId="9" borderId="7" xfId="0" applyFont="1" applyFill="1" applyBorder="1" applyAlignment="1">
      <alignment horizontal="left"/>
    </xf>
    <xf numFmtId="0" fontId="14" fillId="14" borderId="1" xfId="0" applyFont="1" applyFill="1" applyBorder="1" applyAlignment="1">
      <alignment horizontal="left"/>
    </xf>
    <xf numFmtId="0" fontId="14" fillId="16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" xfId="0" applyFont="1" applyBorder="1" applyAlignment="1">
      <alignment horizontal="left" wrapText="1"/>
    </xf>
    <xf numFmtId="0" fontId="9" fillId="5" borderId="13" xfId="4" applyFont="1" applyFill="1" applyBorder="1" applyAlignment="1">
      <alignment horizontal="left" vertical="center"/>
    </xf>
    <xf numFmtId="0" fontId="15" fillId="5" borderId="2" xfId="4" applyFont="1" applyFill="1" applyBorder="1" applyAlignment="1">
      <alignment horizontal="left"/>
    </xf>
    <xf numFmtId="0" fontId="15" fillId="5" borderId="13" xfId="4" applyFont="1" applyFill="1" applyBorder="1"/>
    <xf numFmtId="0" fontId="15" fillId="5" borderId="14" xfId="4" applyFont="1" applyFill="1" applyBorder="1"/>
    <xf numFmtId="0" fontId="5" fillId="3" borderId="14" xfId="4" applyFont="1" applyFill="1" applyBorder="1"/>
    <xf numFmtId="0" fontId="5" fillId="3" borderId="15" xfId="4" applyFont="1" applyFill="1" applyBorder="1"/>
  </cellXfs>
  <cellStyles count="5">
    <cellStyle name="Comma" xfId="1" builtinId="3"/>
    <cellStyle name="Hyperlink" xfId="3" builtinId="8"/>
    <cellStyle name="Normal" xfId="0" builtinId="0"/>
    <cellStyle name="Normal 2" xfId="4" xr:uid="{80894303-B378-4609-A82F-900F4FEC726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232588</xdr:colOff>
      <xdr:row>2</xdr:row>
      <xdr:rowOff>33227</xdr:rowOff>
    </xdr:from>
    <xdr:to>
      <xdr:col>9</xdr:col>
      <xdr:colOff>426410</xdr:colOff>
      <xdr:row>29</xdr:row>
      <xdr:rowOff>153798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007EC-92F4-003D-2282-F4420E02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88" y="33227"/>
          <a:ext cx="5676235" cy="4606181"/>
        </a:xfrm>
        <a:prstGeom prst="rect">
          <a:avLst/>
        </a:prstGeom>
      </xdr:spPr>
    </xdr:pic>
    <xdr:clientData/>
  </xdr:twoCellAnchor>
  <xdr:twoCellAnchor>
    <xdr:from>
      <xdr:col>2</xdr:col>
      <xdr:colOff>33227</xdr:colOff>
      <xdr:row>26</xdr:row>
      <xdr:rowOff>110756</xdr:rowOff>
    </xdr:from>
    <xdr:to>
      <xdr:col>3</xdr:col>
      <xdr:colOff>49840</xdr:colOff>
      <xdr:row>30</xdr:row>
      <xdr:rowOff>22151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AB44AA-B1D3-BE90-F034-4D9250DBDB67}"/>
            </a:ext>
          </a:extLst>
        </xdr:cNvPr>
        <xdr:cNvSpPr/>
      </xdr:nvSpPr>
      <xdr:spPr>
        <a:xfrm>
          <a:off x="1251541" y="4097965"/>
          <a:ext cx="625770" cy="5759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293503</xdr:colOff>
      <xdr:row>7</xdr:row>
      <xdr:rowOff>49840</xdr:rowOff>
    </xdr:from>
    <xdr:to>
      <xdr:col>2</xdr:col>
      <xdr:colOff>587006</xdr:colOff>
      <xdr:row>8</xdr:row>
      <xdr:rowOff>138445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9E1184-C688-98A0-2215-91929DEDDE33}"/>
            </a:ext>
          </a:extLst>
        </xdr:cNvPr>
        <xdr:cNvSpPr/>
      </xdr:nvSpPr>
      <xdr:spPr>
        <a:xfrm>
          <a:off x="293503" y="880509"/>
          <a:ext cx="1511817" cy="2547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548241</xdr:colOff>
      <xdr:row>12</xdr:row>
      <xdr:rowOff>44303</xdr:rowOff>
    </xdr:from>
    <xdr:to>
      <xdr:col>9</xdr:col>
      <xdr:colOff>515014</xdr:colOff>
      <xdr:row>14</xdr:row>
      <xdr:rowOff>77529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AAD44FB-F29A-FCED-528C-EFF0F0FA6093}"/>
            </a:ext>
          </a:extLst>
        </xdr:cNvPr>
        <xdr:cNvSpPr/>
      </xdr:nvSpPr>
      <xdr:spPr>
        <a:xfrm>
          <a:off x="5421497" y="1705640"/>
          <a:ext cx="575930" cy="3654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11</xdr:col>
      <xdr:colOff>253007</xdr:colOff>
      <xdr:row>5</xdr:row>
      <xdr:rowOff>11076</xdr:rowOff>
    </xdr:from>
    <xdr:to>
      <xdr:col>20</xdr:col>
      <xdr:colOff>348880</xdr:colOff>
      <xdr:row>25</xdr:row>
      <xdr:rowOff>60916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39DDA-87DD-B7F6-2C9A-CF3386DE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355" y="829631"/>
          <a:ext cx="5587631" cy="3324058"/>
        </a:xfrm>
        <a:prstGeom prst="rect">
          <a:avLst/>
        </a:prstGeom>
      </xdr:spPr>
    </xdr:pic>
    <xdr:clientData/>
  </xdr:twoCellAnchor>
  <xdr:twoCellAnchor>
    <xdr:from>
      <xdr:col>11</xdr:col>
      <xdr:colOff>257161</xdr:colOff>
      <xdr:row>20</xdr:row>
      <xdr:rowOff>160596</xdr:rowOff>
    </xdr:from>
    <xdr:to>
      <xdr:col>13</xdr:col>
      <xdr:colOff>342304</xdr:colOff>
      <xdr:row>22</xdr:row>
      <xdr:rowOff>111621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07D8F89-BC2B-36CB-AA3F-C5997DCB1B24}"/>
            </a:ext>
          </a:extLst>
        </xdr:cNvPr>
        <xdr:cNvSpPr/>
      </xdr:nvSpPr>
      <xdr:spPr>
        <a:xfrm>
          <a:off x="6753509" y="3434815"/>
          <a:ext cx="1305534" cy="2784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22</xdr:col>
      <xdr:colOff>148827</xdr:colOff>
      <xdr:row>4</xdr:row>
      <xdr:rowOff>83068</xdr:rowOff>
    </xdr:from>
    <xdr:to>
      <xdr:col>31</xdr:col>
      <xdr:colOff>110758</xdr:colOff>
      <xdr:row>25</xdr:row>
      <xdr:rowOff>163710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30B0A2-6614-33DE-14C4-17424129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34082" y="737912"/>
          <a:ext cx="5453689" cy="3518571"/>
        </a:xfrm>
        <a:prstGeom prst="rect">
          <a:avLst/>
        </a:prstGeom>
      </xdr:spPr>
    </xdr:pic>
    <xdr:clientData/>
  </xdr:twoCellAnchor>
  <xdr:twoCellAnchor>
    <xdr:from>
      <xdr:col>28</xdr:col>
      <xdr:colOff>139656</xdr:colOff>
      <xdr:row>22</xdr:row>
      <xdr:rowOff>0</xdr:rowOff>
    </xdr:from>
    <xdr:to>
      <xdr:col>29</xdr:col>
      <xdr:colOff>344554</xdr:colOff>
      <xdr:row>23</xdr:row>
      <xdr:rowOff>66454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C49EAEF-AD4B-4FC2-A138-F37C8C0F43CD}"/>
            </a:ext>
          </a:extLst>
        </xdr:cNvPr>
        <xdr:cNvSpPr/>
      </xdr:nvSpPr>
      <xdr:spPr>
        <a:xfrm>
          <a:off x="16786083" y="3601641"/>
          <a:ext cx="815093" cy="2301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33</xdr:col>
      <xdr:colOff>177209</xdr:colOff>
      <xdr:row>2</xdr:row>
      <xdr:rowOff>0</xdr:rowOff>
    </xdr:from>
    <xdr:to>
      <xdr:col>42</xdr:col>
      <xdr:colOff>431946</xdr:colOff>
      <xdr:row>30</xdr:row>
      <xdr:rowOff>2420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476848-DD16-A18D-7701-3620A2E29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47442" y="0"/>
          <a:ext cx="5737151" cy="4651743"/>
        </a:xfrm>
        <a:prstGeom prst="rect">
          <a:avLst/>
        </a:prstGeom>
      </xdr:spPr>
    </xdr:pic>
    <xdr:clientData/>
  </xdr:twoCellAnchor>
  <xdr:twoCellAnchor>
    <xdr:from>
      <xdr:col>41</xdr:col>
      <xdr:colOff>156268</xdr:colOff>
      <xdr:row>12</xdr:row>
      <xdr:rowOff>133946</xdr:rowOff>
    </xdr:from>
    <xdr:to>
      <xdr:col>42</xdr:col>
      <xdr:colOff>543222</xdr:colOff>
      <xdr:row>18</xdr:row>
      <xdr:rowOff>59531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E36CB12-495F-75B8-3E55-BC118D16A66E}"/>
            </a:ext>
          </a:extLst>
        </xdr:cNvPr>
        <xdr:cNvSpPr/>
      </xdr:nvSpPr>
      <xdr:spPr>
        <a:xfrm>
          <a:off x="24735234" y="1771055"/>
          <a:ext cx="997149" cy="9078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44</xdr:col>
      <xdr:colOff>171152</xdr:colOff>
      <xdr:row>5</xdr:row>
      <xdr:rowOff>148827</xdr:rowOff>
    </xdr:from>
    <xdr:to>
      <xdr:col>53</xdr:col>
      <xdr:colOff>506015</xdr:colOff>
      <xdr:row>22</xdr:row>
      <xdr:rowOff>104178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DAC4994-6CF5-FF6D-744A-37FA1CF9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80704" y="967382"/>
          <a:ext cx="5826620" cy="2738437"/>
        </a:xfrm>
        <a:prstGeom prst="rect">
          <a:avLst/>
        </a:prstGeom>
      </xdr:spPr>
    </xdr:pic>
    <xdr:clientData/>
  </xdr:twoCellAnchor>
  <xdr:twoCellAnchor>
    <xdr:from>
      <xdr:col>48</xdr:col>
      <xdr:colOff>453925</xdr:colOff>
      <xdr:row>19</xdr:row>
      <xdr:rowOff>119063</xdr:rowOff>
    </xdr:from>
    <xdr:to>
      <xdr:col>50</xdr:col>
      <xdr:colOff>215801</xdr:colOff>
      <xdr:row>21</xdr:row>
      <xdr:rowOff>96738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31626FE-8DF7-BE06-0A6C-E4951D578256}"/>
            </a:ext>
          </a:extLst>
        </xdr:cNvPr>
        <xdr:cNvSpPr/>
      </xdr:nvSpPr>
      <xdr:spPr>
        <a:xfrm>
          <a:off x="29304258" y="3229571"/>
          <a:ext cx="982266" cy="3050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42</xdr:row>
      <xdr:rowOff>119062</xdr:rowOff>
    </xdr:from>
    <xdr:to>
      <xdr:col>21</xdr:col>
      <xdr:colOff>334862</xdr:colOff>
      <xdr:row>43</xdr:row>
      <xdr:rowOff>14883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5BF8AE2-BADD-C5F4-A951-9665C455092E}"/>
            </a:ext>
          </a:extLst>
        </xdr:cNvPr>
        <xdr:cNvCxnSpPr/>
      </xdr:nvCxnSpPr>
      <xdr:spPr>
        <a:xfrm>
          <a:off x="0" y="6994921"/>
          <a:ext cx="12933164" cy="5953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223837</xdr:colOff>
      <xdr:row>4</xdr:row>
      <xdr:rowOff>41057</xdr:rowOff>
    </xdr:from>
    <xdr:to>
      <xdr:col>13</xdr:col>
      <xdr:colOff>471520</xdr:colOff>
      <xdr:row>36</xdr:row>
      <xdr:rowOff>28617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D1F02-23E1-4091-B8D8-A9A5A547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2393" y="377716"/>
          <a:ext cx="4501088" cy="5374112"/>
        </a:xfrm>
        <a:prstGeom prst="rect">
          <a:avLst/>
        </a:prstGeom>
      </xdr:spPr>
    </xdr:pic>
    <xdr:clientData/>
  </xdr:twoCellAnchor>
  <xdr:twoCellAnchor editAs="oneCell">
    <xdr:from>
      <xdr:col>6</xdr:col>
      <xdr:colOff>156012</xdr:colOff>
      <xdr:row>40</xdr:row>
      <xdr:rowOff>98535</xdr:rowOff>
    </xdr:from>
    <xdr:to>
      <xdr:col>13</xdr:col>
      <xdr:colOff>398440</xdr:colOff>
      <xdr:row>70</xdr:row>
      <xdr:rowOff>24634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E165F9-61F9-17EC-CEA8-32FBF49F2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4568" y="6495065"/>
          <a:ext cx="4495833" cy="4975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150812</xdr:rowOff>
    </xdr:from>
    <xdr:to>
      <xdr:col>9</xdr:col>
      <xdr:colOff>857250</xdr:colOff>
      <xdr:row>36</xdr:row>
      <xdr:rowOff>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86F3D6A-F2F5-4998-A656-FD3CEA9CAA04}"/>
            </a:ext>
          </a:extLst>
        </xdr:cNvPr>
        <xdr:cNvCxnSpPr/>
      </xdr:nvCxnSpPr>
      <xdr:spPr>
        <a:xfrm flipV="1">
          <a:off x="0" y="6381750"/>
          <a:ext cx="10191750" cy="15876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156882</xdr:rowOff>
    </xdr:from>
    <xdr:to>
      <xdr:col>11</xdr:col>
      <xdr:colOff>846044</xdr:colOff>
      <xdr:row>22</xdr:row>
      <xdr:rowOff>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5435526-20D7-4694-BEC9-6F2E75CDE8B8}"/>
            </a:ext>
          </a:extLst>
        </xdr:cNvPr>
        <xdr:cNvCxnSpPr/>
      </xdr:nvCxnSpPr>
      <xdr:spPr>
        <a:xfrm flipV="1">
          <a:off x="0" y="3804397"/>
          <a:ext cx="11245103" cy="11208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156882</xdr:rowOff>
    </xdr:from>
    <xdr:to>
      <xdr:col>11</xdr:col>
      <xdr:colOff>846044</xdr:colOff>
      <xdr:row>22</xdr:row>
      <xdr:rowOff>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C99996E-FA35-4BDD-9FFC-76F2F99D9998}"/>
            </a:ext>
          </a:extLst>
        </xdr:cNvPr>
        <xdr:cNvCxnSpPr/>
      </xdr:nvCxnSpPr>
      <xdr:spPr>
        <a:xfrm flipV="1">
          <a:off x="0" y="3776382"/>
          <a:ext cx="11223532" cy="980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156882</xdr:rowOff>
    </xdr:from>
    <xdr:to>
      <xdr:col>11</xdr:col>
      <xdr:colOff>846044</xdr:colOff>
      <xdr:row>23</xdr:row>
      <xdr:rowOff>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F9EFA12-DEA2-48A3-B935-9A0A3A6071A9}"/>
            </a:ext>
          </a:extLst>
        </xdr:cNvPr>
        <xdr:cNvCxnSpPr/>
      </xdr:nvCxnSpPr>
      <xdr:spPr>
        <a:xfrm flipV="1">
          <a:off x="0" y="3776382"/>
          <a:ext cx="11837894" cy="980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cometaxindia.gov.in/Documents/Left%20Menu/TAX%20RATES-domestic.htm" TargetMode="External"/><Relationship Id="rId2" Type="http://schemas.openxmlformats.org/officeDocument/2006/relationships/hyperlink" Target="https://www.moneycontrol.com/india/stockpricequote/cement-major/dalmiabharat/OCL" TargetMode="External"/><Relationship Id="rId1" Type="http://schemas.openxmlformats.org/officeDocument/2006/relationships/hyperlink" Target="https://tradingeconomics.com/india/government-bond-yield" TargetMode="External"/><Relationship Id="rId5" Type="http://schemas.openxmlformats.org/officeDocument/2006/relationships/hyperlink" Target="https://www.dalmiacement.com/assets/pdf/annual-reports/Dalmia-Bharat-IR-FY-24-25.pdf" TargetMode="External"/><Relationship Id="rId4" Type="http://schemas.openxmlformats.org/officeDocument/2006/relationships/hyperlink" Target="https://data.worldbank.org/indicator/NY.GDP.MKTP.KD.ZG?locations=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2C3A-A3B5-4F83-839D-926A9DE07AE2}">
  <sheetPr>
    <tabColor rgb="FF002060"/>
  </sheetPr>
  <dimension ref="A1:H3"/>
  <sheetViews>
    <sheetView showGridLines="0" tabSelected="1" zoomScale="260" zoomScaleNormal="260" workbookViewId="0">
      <pane xSplit="6" ySplit="3" topLeftCell="G4" activePane="bottomRight" state="frozen"/>
      <selection pane="topRight" activeCell="M1" sqref="M1"/>
      <selection pane="bottomLeft" activeCell="A15" sqref="A15"/>
      <selection pane="bottomRight" activeCell="A6" sqref="A6"/>
    </sheetView>
  </sheetViews>
  <sheetFormatPr defaultColWidth="9.35546875" defaultRowHeight="13.15" x14ac:dyDescent="0.4"/>
  <cols>
    <col min="1" max="1" width="16.28515625" style="23" customWidth="1"/>
    <col min="2" max="2" width="13.92578125" style="23" customWidth="1"/>
    <col min="3" max="3" width="15.85546875" style="23" customWidth="1"/>
    <col min="4" max="16384" width="9.35546875" style="23"/>
  </cols>
  <sheetData>
    <row r="1" spans="1:8" x14ac:dyDescent="0.4">
      <c r="A1" s="96" t="s">
        <v>250</v>
      </c>
      <c r="B1" s="103" t="s">
        <v>53</v>
      </c>
      <c r="C1" s="103"/>
      <c r="D1" s="103"/>
      <c r="E1" s="103"/>
      <c r="F1" s="103"/>
    </row>
    <row r="2" spans="1:8" x14ac:dyDescent="0.4">
      <c r="A2" s="96" t="s">
        <v>51</v>
      </c>
      <c r="B2" s="169" t="s">
        <v>54</v>
      </c>
      <c r="C2" s="169"/>
      <c r="D2" s="169"/>
      <c r="E2" s="169"/>
      <c r="F2" s="169"/>
    </row>
    <row r="3" spans="1:8" x14ac:dyDescent="0.4">
      <c r="A3" s="168" t="s">
        <v>55</v>
      </c>
      <c r="B3" s="170" t="s">
        <v>52</v>
      </c>
      <c r="C3" s="171"/>
      <c r="D3" s="171"/>
      <c r="E3" s="171"/>
      <c r="F3" s="171"/>
      <c r="G3" s="172"/>
      <c r="H3" s="173"/>
    </row>
  </sheetData>
  <mergeCells count="2"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ADB-DB4F-4DA7-B50E-928737F3D09D}">
  <sheetPr>
    <tabColor rgb="FF92D050"/>
  </sheetPr>
  <dimension ref="A1:E33"/>
  <sheetViews>
    <sheetView showGridLines="0" zoomScale="78" zoomScaleNormal="78" workbookViewId="0">
      <pane xSplit="5" ySplit="29" topLeftCell="F30" activePane="bottomRight" state="frozen"/>
      <selection pane="topRight" activeCell="F1" sqref="F1"/>
      <selection pane="bottomLeft" activeCell="A25" sqref="A25"/>
      <selection pane="bottomRight" activeCell="B8" sqref="B8"/>
    </sheetView>
  </sheetViews>
  <sheetFormatPr defaultRowHeight="13.15" x14ac:dyDescent="0.4"/>
  <cols>
    <col min="1" max="1" width="25.28515625" style="34" customWidth="1"/>
    <col min="2" max="2" width="15.7109375" style="34" bestFit="1" customWidth="1"/>
    <col min="3" max="3" width="74.0703125" style="34" bestFit="1" customWidth="1"/>
    <col min="4" max="4" width="54.42578125" style="34" customWidth="1"/>
    <col min="5" max="5" width="31.42578125" style="34" customWidth="1"/>
    <col min="6" max="16384" width="9.140625" style="34"/>
  </cols>
  <sheetData>
    <row r="1" spans="1:5" ht="22.5" x14ac:dyDescent="0.6">
      <c r="A1" s="108" t="s">
        <v>188</v>
      </c>
      <c r="B1" s="109"/>
      <c r="C1" s="109"/>
      <c r="D1" s="109"/>
      <c r="E1" s="110"/>
    </row>
    <row r="2" spans="1:5" x14ac:dyDescent="0.4">
      <c r="A2" s="93" t="s">
        <v>0</v>
      </c>
      <c r="B2" s="93" t="s">
        <v>1</v>
      </c>
      <c r="C2" s="93" t="s">
        <v>30</v>
      </c>
      <c r="D2" s="93" t="s">
        <v>41</v>
      </c>
      <c r="E2" s="93" t="s">
        <v>42</v>
      </c>
    </row>
    <row r="3" spans="1:5" x14ac:dyDescent="0.4">
      <c r="A3" s="67" t="s">
        <v>12</v>
      </c>
      <c r="B3" s="67"/>
      <c r="C3" s="67"/>
      <c r="D3" s="92"/>
      <c r="E3" s="92"/>
    </row>
    <row r="4" spans="1:5" x14ac:dyDescent="0.4">
      <c r="A4" s="18" t="s">
        <v>2</v>
      </c>
      <c r="B4" s="19">
        <v>6.6070000000000004E-2</v>
      </c>
      <c r="C4" s="18" t="s">
        <v>32</v>
      </c>
      <c r="D4" s="20" t="s">
        <v>33</v>
      </c>
      <c r="E4" s="36" t="s">
        <v>47</v>
      </c>
    </row>
    <row r="5" spans="1:5" ht="25.5" x14ac:dyDescent="0.4">
      <c r="A5" s="18" t="s">
        <v>28</v>
      </c>
      <c r="B5" s="19">
        <f>'1A. MARKET RETURNS CALCULATION'!C16</f>
        <v>0.15051787539179756</v>
      </c>
      <c r="C5" s="18" t="s">
        <v>44</v>
      </c>
      <c r="D5" s="20" t="s">
        <v>34</v>
      </c>
      <c r="E5" s="37" t="s">
        <v>34</v>
      </c>
    </row>
    <row r="6" spans="1:5" x14ac:dyDescent="0.4">
      <c r="A6" s="18" t="s">
        <v>3</v>
      </c>
      <c r="B6" s="19">
        <f>B5-B4</f>
        <v>8.4447875391797558E-2</v>
      </c>
      <c r="C6" s="18" t="s">
        <v>29</v>
      </c>
      <c r="D6" s="21" t="s">
        <v>38</v>
      </c>
      <c r="E6" s="17" t="s">
        <v>38</v>
      </c>
    </row>
    <row r="7" spans="1:5" ht="25.5" x14ac:dyDescent="0.4">
      <c r="A7" s="18" t="s">
        <v>4</v>
      </c>
      <c r="B7" s="18">
        <v>0.83</v>
      </c>
      <c r="C7" s="18" t="s">
        <v>49</v>
      </c>
      <c r="D7" s="20" t="s">
        <v>43</v>
      </c>
      <c r="E7" s="36" t="s">
        <v>48</v>
      </c>
    </row>
    <row r="8" spans="1:5" x14ac:dyDescent="0.4">
      <c r="A8" s="18" t="s">
        <v>5</v>
      </c>
      <c r="B8" s="22">
        <f>B4+(B7*B6)</f>
        <v>0.13616173657519198</v>
      </c>
      <c r="C8" s="18" t="s">
        <v>10</v>
      </c>
      <c r="D8" s="21" t="s">
        <v>38</v>
      </c>
      <c r="E8" s="17" t="s">
        <v>38</v>
      </c>
    </row>
    <row r="9" spans="1:5" x14ac:dyDescent="0.4">
      <c r="A9" s="90" t="s">
        <v>13</v>
      </c>
      <c r="B9" s="90"/>
      <c r="C9" s="90"/>
      <c r="D9" s="91"/>
      <c r="E9" s="91"/>
    </row>
    <row r="10" spans="1:5" ht="13.15" customHeight="1" x14ac:dyDescent="0.4">
      <c r="A10" s="18" t="s">
        <v>6</v>
      </c>
      <c r="B10" s="22">
        <f>-'2. RAW FINANCIALS (CASE)'!E16/'2. RAW FINANCIALS (CASE)'!E70</f>
        <v>6.0727496917385944E-2</v>
      </c>
      <c r="C10" s="18" t="s">
        <v>127</v>
      </c>
      <c r="D10" s="30" t="s">
        <v>128</v>
      </c>
      <c r="E10" s="107" t="s">
        <v>134</v>
      </c>
    </row>
    <row r="11" spans="1:5" ht="25.5" x14ac:dyDescent="0.4">
      <c r="A11" s="18" t="s">
        <v>7</v>
      </c>
      <c r="B11" s="31">
        <v>0.25</v>
      </c>
      <c r="C11" s="18" t="s">
        <v>8</v>
      </c>
      <c r="D11" s="20" t="s">
        <v>129</v>
      </c>
      <c r="E11" s="107"/>
    </row>
    <row r="12" spans="1:5" x14ac:dyDescent="0.4">
      <c r="A12" s="18" t="s">
        <v>9</v>
      </c>
      <c r="B12" s="22">
        <f>B10*(1-B11)</f>
        <v>4.554562268803946E-2</v>
      </c>
      <c r="C12" s="18" t="s">
        <v>11</v>
      </c>
      <c r="D12" s="21" t="s">
        <v>38</v>
      </c>
      <c r="E12" s="32" t="s">
        <v>38</v>
      </c>
    </row>
    <row r="13" spans="1:5" x14ac:dyDescent="0.4">
      <c r="A13" s="90" t="s">
        <v>14</v>
      </c>
      <c r="B13" s="90"/>
      <c r="C13" s="90"/>
      <c r="D13" s="91"/>
      <c r="E13" s="91"/>
    </row>
    <row r="14" spans="1:5" x14ac:dyDescent="0.4">
      <c r="A14" s="18" t="s">
        <v>15</v>
      </c>
      <c r="B14" s="33">
        <f>'2. RAW FINANCIALS (CASE)'!E68/('2. RAW FINANCIALS (CASE)'!E68+'2. RAW FINANCIALS (CASE)'!E70)</f>
        <v>0.82929011208756509</v>
      </c>
      <c r="C14" s="18" t="s">
        <v>131</v>
      </c>
      <c r="D14" s="30" t="s">
        <v>128</v>
      </c>
      <c r="E14" s="36" t="s">
        <v>135</v>
      </c>
    </row>
    <row r="15" spans="1:5" x14ac:dyDescent="0.4">
      <c r="A15" s="18" t="s">
        <v>16</v>
      </c>
      <c r="B15" s="33">
        <f>1-B14</f>
        <v>0.17070988791243491</v>
      </c>
      <c r="C15" s="18" t="s">
        <v>132</v>
      </c>
      <c r="D15" s="21" t="s">
        <v>38</v>
      </c>
      <c r="E15" s="17" t="s">
        <v>38</v>
      </c>
    </row>
    <row r="16" spans="1:5" x14ac:dyDescent="0.4">
      <c r="A16" s="90" t="s">
        <v>17</v>
      </c>
      <c r="B16" s="90"/>
      <c r="C16" s="90"/>
      <c r="D16" s="91"/>
      <c r="E16" s="91"/>
    </row>
    <row r="17" spans="1:5" x14ac:dyDescent="0.4">
      <c r="A17" s="18" t="s">
        <v>17</v>
      </c>
      <c r="B17" s="22">
        <f>(B8*B14)+(B12*B15)</f>
        <v>0.12069266993045574</v>
      </c>
      <c r="C17" s="18" t="s">
        <v>18</v>
      </c>
      <c r="D17" s="21" t="s">
        <v>38</v>
      </c>
      <c r="E17" s="21" t="s">
        <v>38</v>
      </c>
    </row>
    <row r="18" spans="1:5" x14ac:dyDescent="0.4">
      <c r="A18" s="90" t="s">
        <v>19</v>
      </c>
      <c r="B18" s="90"/>
      <c r="C18" s="90"/>
      <c r="D18" s="91"/>
      <c r="E18" s="91"/>
    </row>
    <row r="19" spans="1:5" ht="25.5" x14ac:dyDescent="0.4">
      <c r="A19" s="18" t="s">
        <v>20</v>
      </c>
      <c r="B19" s="19">
        <v>6.5000000000000002E-2</v>
      </c>
      <c r="C19" s="18" t="s">
        <v>136</v>
      </c>
      <c r="D19" s="20" t="s">
        <v>133</v>
      </c>
      <c r="E19" s="36" t="s">
        <v>137</v>
      </c>
    </row>
    <row r="20" spans="1:5" ht="25.5" x14ac:dyDescent="0.4">
      <c r="A20" s="18" t="s">
        <v>21</v>
      </c>
      <c r="B20" s="35">
        <f>187565161/100000</f>
        <v>1875.6516099999999</v>
      </c>
      <c r="C20" s="18" t="s">
        <v>140</v>
      </c>
      <c r="D20" s="20" t="s">
        <v>141</v>
      </c>
      <c r="E20" s="36" t="s">
        <v>142</v>
      </c>
    </row>
    <row r="21" spans="1:5" x14ac:dyDescent="0.4">
      <c r="A21" s="90" t="s">
        <v>176</v>
      </c>
      <c r="B21" s="90"/>
      <c r="C21" s="90"/>
      <c r="D21" s="91"/>
      <c r="E21" s="91"/>
    </row>
    <row r="22" spans="1:5" x14ac:dyDescent="0.4">
      <c r="A22" s="18" t="s">
        <v>177</v>
      </c>
      <c r="B22" s="79">
        <v>0.05</v>
      </c>
      <c r="C22" s="18" t="s">
        <v>27</v>
      </c>
      <c r="D22" s="21" t="s">
        <v>38</v>
      </c>
      <c r="E22" s="21" t="s">
        <v>38</v>
      </c>
    </row>
    <row r="23" spans="1:5" x14ac:dyDescent="0.4">
      <c r="A23" s="18" t="s">
        <v>178</v>
      </c>
      <c r="B23" s="79">
        <v>0.15</v>
      </c>
      <c r="C23" s="18" t="s">
        <v>27</v>
      </c>
      <c r="D23" s="21" t="s">
        <v>38</v>
      </c>
      <c r="E23" s="21" t="s">
        <v>38</v>
      </c>
    </row>
    <row r="24" spans="1:5" x14ac:dyDescent="0.4">
      <c r="A24" s="18" t="s">
        <v>179</v>
      </c>
      <c r="B24" s="79">
        <v>0.25</v>
      </c>
      <c r="C24" s="18" t="s">
        <v>27</v>
      </c>
      <c r="D24" s="21" t="s">
        <v>38</v>
      </c>
      <c r="E24" s="21" t="s">
        <v>38</v>
      </c>
    </row>
    <row r="25" spans="1:5" x14ac:dyDescent="0.4">
      <c r="A25" s="90" t="s">
        <v>22</v>
      </c>
      <c r="B25" s="90"/>
      <c r="C25" s="90"/>
      <c r="D25" s="91"/>
      <c r="E25" s="91"/>
    </row>
    <row r="26" spans="1:5" x14ac:dyDescent="0.4">
      <c r="A26" s="18" t="s">
        <v>23</v>
      </c>
      <c r="B26" s="42">
        <v>0.01</v>
      </c>
      <c r="C26" s="18" t="s">
        <v>27</v>
      </c>
      <c r="D26" s="21" t="s">
        <v>38</v>
      </c>
      <c r="E26" s="104" t="s">
        <v>38</v>
      </c>
    </row>
    <row r="27" spans="1:5" x14ac:dyDescent="0.4">
      <c r="A27" s="18" t="s">
        <v>24</v>
      </c>
      <c r="B27" s="42">
        <v>0.02</v>
      </c>
      <c r="C27" s="18" t="s">
        <v>27</v>
      </c>
      <c r="D27" s="21" t="s">
        <v>38</v>
      </c>
      <c r="E27" s="105"/>
    </row>
    <row r="28" spans="1:5" ht="26.25" x14ac:dyDescent="0.4">
      <c r="A28" s="18" t="s">
        <v>25</v>
      </c>
      <c r="B28" s="38" t="s">
        <v>143</v>
      </c>
      <c r="C28" s="18" t="s">
        <v>26</v>
      </c>
      <c r="D28" s="21" t="s">
        <v>38</v>
      </c>
      <c r="E28" s="105"/>
    </row>
    <row r="29" spans="1:5" x14ac:dyDescent="0.4">
      <c r="A29" s="18" t="s">
        <v>144</v>
      </c>
      <c r="B29" s="39">
        <v>25</v>
      </c>
      <c r="C29" s="18" t="s">
        <v>27</v>
      </c>
      <c r="D29" s="21" t="s">
        <v>38</v>
      </c>
      <c r="E29" s="106"/>
    </row>
    <row r="33" spans="2:2" x14ac:dyDescent="0.4">
      <c r="B33" s="40"/>
    </row>
  </sheetData>
  <mergeCells count="3">
    <mergeCell ref="E26:E29"/>
    <mergeCell ref="E10:E11"/>
    <mergeCell ref="A1:E1"/>
  </mergeCells>
  <hyperlinks>
    <hyperlink ref="D4" r:id="rId1" xr:uid="{E4E7100D-AC18-4B62-8179-76D4B19016D3}"/>
    <hyperlink ref="D5" location="'1A. MARKET RETURNS CALCULATION'!A1" display="'1A. MARKET RETURNS CALCULATION" xr:uid="{B5677ED5-8C76-4310-86ED-E15DBD3C5745}"/>
    <hyperlink ref="E4" location="'1B. SNIPS OF INPUTS FROM SOURCE'!A31" display="Figure 1" xr:uid="{961A0A07-9BB1-424C-ACAF-C26412B337F9}"/>
    <hyperlink ref="D7" r:id="rId2" xr:uid="{C083F0B4-C78E-412D-BBFC-3D99EAECD064}"/>
    <hyperlink ref="E5" location="'1A. MARKET RETURNS CALCULATION'!A1" display="'1A. MARKET RETURNS CALCULATION" xr:uid="{D2CF6BF8-0543-486D-8524-A99E4ADCF941}"/>
    <hyperlink ref="E7" location="'1B. SNIPS OF INPUTS FROM SOURCE'!L31" display="Figure 2" xr:uid="{E91A3F53-3B4F-476A-A92E-303FB66F7C26}"/>
    <hyperlink ref="D10" location="'2. RAW FINANCIALS (CASE)'!A1" display="'2. RAW FINANCIALS (CASE)" xr:uid="{678982F2-246B-40C6-829F-7945E8C63F9E}"/>
    <hyperlink ref="D11" r:id="rId3" xr:uid="{BCFA6722-77E9-4467-BF1B-83DB15C941CB}"/>
    <hyperlink ref="D14" location="'2. RAW FINANCIALS (CASE)'!A1" display="'2. RAW FINANCIALS (CASE)" xr:uid="{8F969D12-AB8F-4D06-AD91-9F4F0BFC3B6B}"/>
    <hyperlink ref="D19" r:id="rId4" xr:uid="{2CCA9DF7-0EF4-43F4-B542-377424636C1A}"/>
    <hyperlink ref="E10:E11" location="'1. INPUTS'!W31" display="Figure 3" xr:uid="{EA92FE4C-4F14-40FA-9A74-63B08341B455}"/>
    <hyperlink ref="E14" location="'2. RAW FINANCIALS (CASE)'!A1" display="'2. RAW FINANCIALS (CASE)'!A1" xr:uid="{B0F42F85-B2E5-4CE9-8308-43A06EDE4E99}"/>
    <hyperlink ref="E19" location="'1B. SNIPS OF INPUTS FROM SOURCE'!AH31" display="Figure 4" xr:uid="{3BBD0C6F-B266-473F-8A0F-237710899834}"/>
    <hyperlink ref="D20" r:id="rId5" xr:uid="{59EC6C3B-1885-44AA-A0AF-9FFDAA0C9BFE}"/>
    <hyperlink ref="E20" location="'1B. SNIPS OF INPUTS FROM SOURCE'!AS31" display="Figure 5" xr:uid="{B39A8EA4-F688-4D89-B847-BDA6D6C640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2B31-CD09-493F-8A29-09875EC7A67F}">
  <sheetPr>
    <tabColor rgb="FF92D050"/>
  </sheetPr>
  <dimension ref="A1:D16"/>
  <sheetViews>
    <sheetView showGridLines="0" zoomScale="140" zoomScaleNormal="140" workbookViewId="0">
      <pane xSplit="4" ySplit="16" topLeftCell="E17" activePane="bottomRight" state="frozen"/>
      <selection pane="topRight" activeCell="E1" sqref="E1"/>
      <selection pane="bottomLeft" activeCell="A16" sqref="A16"/>
      <selection pane="bottomRight" activeCell="E17" sqref="E17"/>
    </sheetView>
  </sheetViews>
  <sheetFormatPr defaultRowHeight="13.15" x14ac:dyDescent="0.4"/>
  <cols>
    <col min="1" max="1" width="17.2109375" style="41" customWidth="1"/>
    <col min="2" max="2" width="28.2109375" style="41" bestFit="1" customWidth="1"/>
    <col min="3" max="3" width="32.7109375" style="41" bestFit="1" customWidth="1"/>
    <col min="4" max="4" width="54.2109375" style="41" bestFit="1" customWidth="1"/>
    <col min="5" max="16384" width="9.140625" style="41"/>
  </cols>
  <sheetData>
    <row r="1" spans="1:4" ht="22.5" x14ac:dyDescent="0.4">
      <c r="A1" s="111" t="s">
        <v>187</v>
      </c>
      <c r="B1" s="111"/>
      <c r="C1" s="111"/>
      <c r="D1" s="111"/>
    </row>
    <row r="2" spans="1:4" ht="25.5" x14ac:dyDescent="0.4">
      <c r="A2" s="88" t="s">
        <v>35</v>
      </c>
      <c r="B2" s="88" t="s">
        <v>36</v>
      </c>
      <c r="C2" s="89" t="s">
        <v>39</v>
      </c>
      <c r="D2" s="88" t="s">
        <v>31</v>
      </c>
    </row>
    <row r="3" spans="1:4" x14ac:dyDescent="0.4">
      <c r="A3" s="2">
        <v>40998</v>
      </c>
      <c r="B3" s="3">
        <v>5295.55</v>
      </c>
      <c r="C3" s="5" t="s">
        <v>50</v>
      </c>
      <c r="D3" s="4" t="s">
        <v>37</v>
      </c>
    </row>
    <row r="4" spans="1:4" x14ac:dyDescent="0.4">
      <c r="A4" s="2">
        <v>41361</v>
      </c>
      <c r="B4" s="3">
        <v>5682.55</v>
      </c>
      <c r="C4" s="5">
        <f>(B4-B3)/B3</f>
        <v>7.3080227738384115E-2</v>
      </c>
      <c r="D4" s="4" t="s">
        <v>37</v>
      </c>
    </row>
    <row r="5" spans="1:4" x14ac:dyDescent="0.4">
      <c r="A5" s="2">
        <v>41729</v>
      </c>
      <c r="B5" s="3">
        <v>6704.2</v>
      </c>
      <c r="C5" s="5">
        <f>(B5-B4)/B4</f>
        <v>0.17978724340304961</v>
      </c>
      <c r="D5" s="4" t="s">
        <v>37</v>
      </c>
    </row>
    <row r="6" spans="1:4" x14ac:dyDescent="0.4">
      <c r="A6" s="2">
        <v>42094</v>
      </c>
      <c r="B6" s="3">
        <v>8491</v>
      </c>
      <c r="C6" s="5">
        <f t="shared" ref="C6:C13" si="0">(B6-B5)/B5</f>
        <v>0.26651949524178875</v>
      </c>
      <c r="D6" s="4" t="s">
        <v>37</v>
      </c>
    </row>
    <row r="7" spans="1:4" x14ac:dyDescent="0.4">
      <c r="A7" s="2">
        <v>42460</v>
      </c>
      <c r="B7" s="3">
        <v>7738.4</v>
      </c>
      <c r="C7" s="5">
        <f t="shared" si="0"/>
        <v>-8.8635025320928082E-2</v>
      </c>
      <c r="D7" s="4" t="s">
        <v>37</v>
      </c>
    </row>
    <row r="8" spans="1:4" x14ac:dyDescent="0.4">
      <c r="A8" s="2">
        <v>42825</v>
      </c>
      <c r="B8" s="3">
        <v>9173.75</v>
      </c>
      <c r="C8" s="5">
        <f t="shared" si="0"/>
        <v>0.18548407939625769</v>
      </c>
      <c r="D8" s="4" t="s">
        <v>37</v>
      </c>
    </row>
    <row r="9" spans="1:4" x14ac:dyDescent="0.4">
      <c r="A9" s="2">
        <v>43187</v>
      </c>
      <c r="B9" s="3">
        <v>10113.700000000001</v>
      </c>
      <c r="C9" s="5">
        <f t="shared" si="0"/>
        <v>0.10246082572557577</v>
      </c>
      <c r="D9" s="4" t="s">
        <v>37</v>
      </c>
    </row>
    <row r="10" spans="1:4" x14ac:dyDescent="0.4">
      <c r="A10" s="2">
        <v>43553</v>
      </c>
      <c r="B10" s="3">
        <v>11623.9</v>
      </c>
      <c r="C10" s="5">
        <f t="shared" si="0"/>
        <v>0.1493222065119589</v>
      </c>
      <c r="D10" s="4" t="s">
        <v>37</v>
      </c>
    </row>
    <row r="11" spans="1:4" x14ac:dyDescent="0.4">
      <c r="A11" s="2">
        <v>43921</v>
      </c>
      <c r="B11" s="3">
        <v>8597.75</v>
      </c>
      <c r="C11" s="5">
        <f t="shared" si="0"/>
        <v>-0.26033861268593156</v>
      </c>
      <c r="D11" s="4" t="s">
        <v>37</v>
      </c>
    </row>
    <row r="12" spans="1:4" x14ac:dyDescent="0.4">
      <c r="A12" s="2">
        <v>44286</v>
      </c>
      <c r="B12" s="3">
        <v>14690.7</v>
      </c>
      <c r="C12" s="5">
        <f t="shared" si="0"/>
        <v>0.70866796545607869</v>
      </c>
      <c r="D12" s="4" t="s">
        <v>37</v>
      </c>
    </row>
    <row r="13" spans="1:4" x14ac:dyDescent="0.4">
      <c r="A13" s="2">
        <v>44651</v>
      </c>
      <c r="B13" s="3">
        <v>17464.75</v>
      </c>
      <c r="C13" s="5">
        <f t="shared" si="0"/>
        <v>0.18883034845174151</v>
      </c>
      <c r="D13" s="4" t="s">
        <v>37</v>
      </c>
    </row>
    <row r="14" spans="1:4" x14ac:dyDescent="0.4">
      <c r="A14" s="1"/>
      <c r="B14" s="1"/>
      <c r="C14" s="1"/>
      <c r="D14" s="1"/>
    </row>
    <row r="15" spans="1:4" x14ac:dyDescent="0.4">
      <c r="A15" s="1"/>
      <c r="B15" s="1"/>
      <c r="C15" s="1"/>
      <c r="D15" s="1"/>
    </row>
    <row r="16" spans="1:4" x14ac:dyDescent="0.4">
      <c r="A16" s="1"/>
      <c r="B16" s="94" t="s">
        <v>40</v>
      </c>
      <c r="C16" s="95">
        <f>AVERAGE(C4:C13)</f>
        <v>0.15051787539179756</v>
      </c>
      <c r="D16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6B62-737F-46C4-BF0D-0C6E1145D0DD}">
  <sheetPr>
    <tabColor rgb="FF92D050"/>
  </sheetPr>
  <dimension ref="A1:BB42"/>
  <sheetViews>
    <sheetView showGridLines="0" zoomScale="64" zoomScaleNormal="64" workbookViewId="0">
      <pane xSplit="22" ySplit="45" topLeftCell="W46" activePane="bottomRight" state="frozen"/>
      <selection pane="topRight" activeCell="W1" sqref="W1"/>
      <selection pane="bottomLeft" activeCell="A44" sqref="A44"/>
      <selection pane="bottomRight" activeCell="L33" sqref="L33"/>
    </sheetView>
  </sheetViews>
  <sheetFormatPr defaultRowHeight="13.15" x14ac:dyDescent="0.4"/>
  <cols>
    <col min="1" max="10" width="9.140625" style="34"/>
    <col min="11" max="11" width="5.92578125" style="34" customWidth="1"/>
    <col min="12" max="21" width="9.140625" style="34"/>
    <col min="22" max="22" width="5.78515625" style="34" customWidth="1"/>
    <col min="23" max="16384" width="9.140625" style="34"/>
  </cols>
  <sheetData>
    <row r="1" spans="1:54" x14ac:dyDescent="0.4">
      <c r="A1" s="112" t="s">
        <v>186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4"/>
    </row>
    <row r="2" spans="1:54" x14ac:dyDescent="0.4">
      <c r="A2" s="115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6"/>
    </row>
    <row r="3" spans="1:54" x14ac:dyDescent="0.4">
      <c r="A3" s="9"/>
      <c r="B3"/>
      <c r="C3"/>
      <c r="D3"/>
      <c r="E3"/>
      <c r="F3"/>
      <c r="G3"/>
      <c r="H3"/>
      <c r="I3"/>
      <c r="J3" s="10"/>
      <c r="K3"/>
      <c r="L3" s="9"/>
      <c r="M3"/>
      <c r="N3"/>
      <c r="O3"/>
      <c r="P3"/>
      <c r="Q3"/>
      <c r="R3"/>
      <c r="S3"/>
      <c r="T3"/>
      <c r="U3" s="10"/>
      <c r="V3"/>
      <c r="W3" s="9"/>
      <c r="X3"/>
      <c r="Y3"/>
      <c r="Z3"/>
      <c r="AA3"/>
      <c r="AB3"/>
      <c r="AC3"/>
      <c r="AD3"/>
      <c r="AE3"/>
      <c r="AF3" s="10"/>
      <c r="AG3"/>
      <c r="AH3" s="9"/>
      <c r="AI3"/>
      <c r="AJ3"/>
      <c r="AK3"/>
      <c r="AL3"/>
      <c r="AM3"/>
      <c r="AN3"/>
      <c r="AO3"/>
      <c r="AP3"/>
      <c r="AQ3" s="10"/>
      <c r="AR3"/>
      <c r="AS3" s="9"/>
      <c r="AT3"/>
      <c r="AU3"/>
      <c r="AV3"/>
      <c r="AW3"/>
      <c r="AX3"/>
      <c r="AY3"/>
      <c r="AZ3"/>
      <c r="BA3"/>
      <c r="BB3" s="10"/>
    </row>
    <row r="4" spans="1:54" x14ac:dyDescent="0.4">
      <c r="A4" s="9"/>
      <c r="B4"/>
      <c r="C4"/>
      <c r="D4"/>
      <c r="E4"/>
      <c r="F4"/>
      <c r="G4"/>
      <c r="H4"/>
      <c r="I4"/>
      <c r="J4" s="10"/>
      <c r="K4"/>
      <c r="L4" s="9"/>
      <c r="M4"/>
      <c r="N4"/>
      <c r="O4"/>
      <c r="P4"/>
      <c r="Q4"/>
      <c r="R4"/>
      <c r="S4"/>
      <c r="T4"/>
      <c r="U4" s="10"/>
      <c r="V4"/>
      <c r="W4" s="9"/>
      <c r="X4"/>
      <c r="Y4"/>
      <c r="Z4"/>
      <c r="AA4"/>
      <c r="AB4"/>
      <c r="AC4"/>
      <c r="AD4"/>
      <c r="AE4"/>
      <c r="AF4" s="10"/>
      <c r="AG4"/>
      <c r="AH4" s="9"/>
      <c r="AI4"/>
      <c r="AJ4"/>
      <c r="AK4"/>
      <c r="AL4"/>
      <c r="AM4"/>
      <c r="AN4"/>
      <c r="AO4"/>
      <c r="AP4"/>
      <c r="AQ4" s="10"/>
      <c r="AR4"/>
      <c r="AS4" s="9"/>
      <c r="AT4"/>
      <c r="AU4"/>
      <c r="AV4"/>
      <c r="AW4"/>
      <c r="AX4"/>
      <c r="AY4"/>
      <c r="AZ4"/>
      <c r="BA4"/>
      <c r="BB4" s="10"/>
    </row>
    <row r="5" spans="1:54" x14ac:dyDescent="0.4">
      <c r="A5" s="9"/>
      <c r="B5"/>
      <c r="C5"/>
      <c r="D5"/>
      <c r="E5"/>
      <c r="F5"/>
      <c r="G5"/>
      <c r="H5"/>
      <c r="I5"/>
      <c r="J5" s="10"/>
      <c r="K5"/>
      <c r="L5" s="9"/>
      <c r="M5"/>
      <c r="N5"/>
      <c r="O5"/>
      <c r="P5"/>
      <c r="Q5"/>
      <c r="R5"/>
      <c r="S5"/>
      <c r="T5"/>
      <c r="U5" s="10"/>
      <c r="V5"/>
      <c r="W5" s="9"/>
      <c r="X5"/>
      <c r="Y5"/>
      <c r="Z5"/>
      <c r="AA5"/>
      <c r="AB5"/>
      <c r="AC5"/>
      <c r="AD5"/>
      <c r="AE5"/>
      <c r="AF5" s="10"/>
      <c r="AG5"/>
      <c r="AH5" s="9"/>
      <c r="AI5"/>
      <c r="AJ5"/>
      <c r="AK5"/>
      <c r="AL5"/>
      <c r="AM5"/>
      <c r="AN5"/>
      <c r="AO5"/>
      <c r="AP5"/>
      <c r="AQ5" s="10"/>
      <c r="AR5"/>
      <c r="AS5" s="9"/>
      <c r="AT5"/>
      <c r="AU5"/>
      <c r="AV5"/>
      <c r="AW5"/>
      <c r="AX5"/>
      <c r="AY5"/>
      <c r="AZ5"/>
      <c r="BA5"/>
      <c r="BB5" s="10"/>
    </row>
    <row r="6" spans="1:54" x14ac:dyDescent="0.4">
      <c r="A6" s="9"/>
      <c r="B6"/>
      <c r="C6"/>
      <c r="D6"/>
      <c r="E6"/>
      <c r="F6"/>
      <c r="G6"/>
      <c r="H6"/>
      <c r="I6"/>
      <c r="J6" s="10"/>
      <c r="K6"/>
      <c r="L6" s="9"/>
      <c r="M6"/>
      <c r="N6"/>
      <c r="O6"/>
      <c r="P6"/>
      <c r="Q6"/>
      <c r="R6"/>
      <c r="S6"/>
      <c r="T6"/>
      <c r="U6" s="10"/>
      <c r="V6"/>
      <c r="W6" s="9"/>
      <c r="X6"/>
      <c r="Y6"/>
      <c r="Z6"/>
      <c r="AA6"/>
      <c r="AB6"/>
      <c r="AC6"/>
      <c r="AD6"/>
      <c r="AE6"/>
      <c r="AF6" s="10"/>
      <c r="AG6"/>
      <c r="AH6" s="9"/>
      <c r="AI6"/>
      <c r="AJ6"/>
      <c r="AK6"/>
      <c r="AL6"/>
      <c r="AM6"/>
      <c r="AN6"/>
      <c r="AO6"/>
      <c r="AP6"/>
      <c r="AQ6" s="10"/>
      <c r="AR6"/>
      <c r="AS6" s="9"/>
      <c r="AT6"/>
      <c r="AU6"/>
      <c r="AV6"/>
      <c r="AW6"/>
      <c r="AX6"/>
      <c r="AY6"/>
      <c r="AZ6"/>
      <c r="BA6"/>
      <c r="BB6" s="10"/>
    </row>
    <row r="7" spans="1:54" x14ac:dyDescent="0.4">
      <c r="A7" s="9"/>
      <c r="B7"/>
      <c r="C7"/>
      <c r="D7"/>
      <c r="E7"/>
      <c r="F7"/>
      <c r="G7"/>
      <c r="H7"/>
      <c r="I7"/>
      <c r="J7" s="10"/>
      <c r="K7"/>
      <c r="L7" s="9"/>
      <c r="M7"/>
      <c r="N7"/>
      <c r="O7"/>
      <c r="P7"/>
      <c r="Q7"/>
      <c r="R7"/>
      <c r="S7"/>
      <c r="T7"/>
      <c r="U7" s="10"/>
      <c r="V7"/>
      <c r="W7" s="9"/>
      <c r="X7"/>
      <c r="Y7"/>
      <c r="Z7"/>
      <c r="AA7"/>
      <c r="AB7"/>
      <c r="AC7"/>
      <c r="AD7"/>
      <c r="AE7"/>
      <c r="AF7" s="10"/>
      <c r="AG7"/>
      <c r="AH7" s="9"/>
      <c r="AI7"/>
      <c r="AJ7"/>
      <c r="AK7"/>
      <c r="AL7"/>
      <c r="AM7"/>
      <c r="AN7"/>
      <c r="AO7"/>
      <c r="AP7"/>
      <c r="AQ7" s="10"/>
      <c r="AR7"/>
      <c r="AS7" s="9"/>
      <c r="AT7"/>
      <c r="AU7"/>
      <c r="AV7"/>
      <c r="AW7"/>
      <c r="AX7"/>
      <c r="AY7"/>
      <c r="AZ7"/>
      <c r="BA7"/>
      <c r="BB7" s="10"/>
    </row>
    <row r="8" spans="1:54" x14ac:dyDescent="0.4">
      <c r="A8" s="9"/>
      <c r="B8"/>
      <c r="C8"/>
      <c r="D8"/>
      <c r="E8"/>
      <c r="F8"/>
      <c r="G8"/>
      <c r="H8"/>
      <c r="I8"/>
      <c r="J8" s="10"/>
      <c r="K8"/>
      <c r="L8" s="9"/>
      <c r="M8"/>
      <c r="N8"/>
      <c r="O8"/>
      <c r="P8"/>
      <c r="Q8"/>
      <c r="R8"/>
      <c r="S8"/>
      <c r="T8"/>
      <c r="U8" s="10"/>
      <c r="V8"/>
      <c r="W8" s="9"/>
      <c r="X8"/>
      <c r="Y8"/>
      <c r="Z8"/>
      <c r="AA8"/>
      <c r="AB8"/>
      <c r="AC8"/>
      <c r="AD8"/>
      <c r="AE8"/>
      <c r="AF8" s="10"/>
      <c r="AG8"/>
      <c r="AH8" s="9"/>
      <c r="AI8"/>
      <c r="AJ8"/>
      <c r="AK8"/>
      <c r="AL8"/>
      <c r="AM8"/>
      <c r="AN8"/>
      <c r="AO8"/>
      <c r="AP8"/>
      <c r="AQ8" s="10"/>
      <c r="AR8"/>
      <c r="AS8" s="9"/>
      <c r="AT8"/>
      <c r="AU8"/>
      <c r="AV8"/>
      <c r="AW8"/>
      <c r="AX8"/>
      <c r="AY8"/>
      <c r="AZ8"/>
      <c r="BA8"/>
      <c r="BB8" s="10"/>
    </row>
    <row r="9" spans="1:54" x14ac:dyDescent="0.4">
      <c r="A9" s="9"/>
      <c r="B9"/>
      <c r="C9"/>
      <c r="D9"/>
      <c r="E9"/>
      <c r="F9"/>
      <c r="G9"/>
      <c r="H9"/>
      <c r="I9"/>
      <c r="J9" s="10"/>
      <c r="K9"/>
      <c r="L9" s="9"/>
      <c r="M9"/>
      <c r="N9"/>
      <c r="O9"/>
      <c r="P9"/>
      <c r="Q9"/>
      <c r="R9"/>
      <c r="S9"/>
      <c r="T9"/>
      <c r="U9" s="10"/>
      <c r="V9"/>
      <c r="W9" s="9"/>
      <c r="X9"/>
      <c r="Y9"/>
      <c r="Z9"/>
      <c r="AA9"/>
      <c r="AB9"/>
      <c r="AC9"/>
      <c r="AD9"/>
      <c r="AE9"/>
      <c r="AF9" s="10"/>
      <c r="AG9"/>
      <c r="AH9" s="9"/>
      <c r="AI9"/>
      <c r="AJ9"/>
      <c r="AK9"/>
      <c r="AL9"/>
      <c r="AM9"/>
      <c r="AN9"/>
      <c r="AO9"/>
      <c r="AP9"/>
      <c r="AQ9" s="10"/>
      <c r="AR9"/>
      <c r="AS9" s="9"/>
      <c r="AT9"/>
      <c r="AU9"/>
      <c r="AV9"/>
      <c r="AW9"/>
      <c r="AX9"/>
      <c r="AY9"/>
      <c r="AZ9"/>
      <c r="BA9"/>
      <c r="BB9" s="10"/>
    </row>
    <row r="10" spans="1:54" x14ac:dyDescent="0.4">
      <c r="A10" s="9"/>
      <c r="B10"/>
      <c r="C10"/>
      <c r="D10"/>
      <c r="E10"/>
      <c r="F10"/>
      <c r="G10"/>
      <c r="H10"/>
      <c r="I10"/>
      <c r="J10" s="10"/>
      <c r="K10"/>
      <c r="L10" s="9"/>
      <c r="M10"/>
      <c r="N10"/>
      <c r="O10"/>
      <c r="P10"/>
      <c r="Q10"/>
      <c r="R10"/>
      <c r="S10"/>
      <c r="T10"/>
      <c r="U10" s="10"/>
      <c r="V10"/>
      <c r="W10" s="9"/>
      <c r="X10"/>
      <c r="Y10"/>
      <c r="Z10"/>
      <c r="AA10"/>
      <c r="AB10"/>
      <c r="AC10"/>
      <c r="AD10"/>
      <c r="AE10"/>
      <c r="AF10" s="10"/>
      <c r="AG10"/>
      <c r="AH10" s="9"/>
      <c r="AI10"/>
      <c r="AJ10"/>
      <c r="AK10"/>
      <c r="AL10"/>
      <c r="AM10"/>
      <c r="AN10"/>
      <c r="AO10"/>
      <c r="AP10"/>
      <c r="AQ10" s="10"/>
      <c r="AR10"/>
      <c r="AS10" s="9"/>
      <c r="AT10"/>
      <c r="AU10"/>
      <c r="AV10"/>
      <c r="AW10"/>
      <c r="AX10"/>
      <c r="AY10"/>
      <c r="AZ10"/>
      <c r="BA10"/>
      <c r="BB10" s="10"/>
    </row>
    <row r="11" spans="1:54" x14ac:dyDescent="0.4">
      <c r="A11" s="9"/>
      <c r="B11"/>
      <c r="C11"/>
      <c r="D11"/>
      <c r="E11"/>
      <c r="F11"/>
      <c r="G11"/>
      <c r="H11"/>
      <c r="I11"/>
      <c r="J11" s="10"/>
      <c r="K11"/>
      <c r="L11" s="9"/>
      <c r="M11"/>
      <c r="N11"/>
      <c r="O11"/>
      <c r="P11"/>
      <c r="Q11"/>
      <c r="R11"/>
      <c r="S11"/>
      <c r="T11"/>
      <c r="U11" s="10"/>
      <c r="V11"/>
      <c r="W11" s="9"/>
      <c r="X11"/>
      <c r="Y11"/>
      <c r="Z11"/>
      <c r="AA11"/>
      <c r="AB11"/>
      <c r="AC11"/>
      <c r="AD11"/>
      <c r="AE11"/>
      <c r="AF11" s="10"/>
      <c r="AG11"/>
      <c r="AH11" s="9"/>
      <c r="AI11"/>
      <c r="AJ11"/>
      <c r="AK11"/>
      <c r="AL11"/>
      <c r="AM11"/>
      <c r="AN11"/>
      <c r="AO11"/>
      <c r="AP11"/>
      <c r="AQ11" s="10"/>
      <c r="AR11"/>
      <c r="AS11" s="9"/>
      <c r="AT11"/>
      <c r="AU11"/>
      <c r="AV11"/>
      <c r="AW11"/>
      <c r="AX11"/>
      <c r="AY11"/>
      <c r="AZ11"/>
      <c r="BA11"/>
      <c r="BB11" s="10"/>
    </row>
    <row r="12" spans="1:54" x14ac:dyDescent="0.4">
      <c r="A12" s="9"/>
      <c r="B12"/>
      <c r="C12"/>
      <c r="D12"/>
      <c r="E12"/>
      <c r="F12"/>
      <c r="G12"/>
      <c r="H12"/>
      <c r="I12"/>
      <c r="J12" s="10"/>
      <c r="K12"/>
      <c r="L12" s="9"/>
      <c r="M12"/>
      <c r="N12"/>
      <c r="O12"/>
      <c r="P12"/>
      <c r="Q12"/>
      <c r="R12"/>
      <c r="S12"/>
      <c r="T12"/>
      <c r="U12" s="10"/>
      <c r="V12"/>
      <c r="W12" s="9"/>
      <c r="X12"/>
      <c r="Y12"/>
      <c r="Z12"/>
      <c r="AA12"/>
      <c r="AB12"/>
      <c r="AC12"/>
      <c r="AD12"/>
      <c r="AE12"/>
      <c r="AF12" s="10"/>
      <c r="AG12"/>
      <c r="AH12" s="9"/>
      <c r="AI12"/>
      <c r="AJ12"/>
      <c r="AK12"/>
      <c r="AL12"/>
      <c r="AM12"/>
      <c r="AN12"/>
      <c r="AO12"/>
      <c r="AP12"/>
      <c r="AQ12" s="10"/>
      <c r="AR12"/>
      <c r="AS12" s="9"/>
      <c r="AT12"/>
      <c r="AU12"/>
      <c r="AV12"/>
      <c r="AW12"/>
      <c r="AX12"/>
      <c r="AY12"/>
      <c r="AZ12"/>
      <c r="BA12"/>
      <c r="BB12" s="10"/>
    </row>
    <row r="13" spans="1:54" x14ac:dyDescent="0.4">
      <c r="A13" s="9"/>
      <c r="B13"/>
      <c r="C13"/>
      <c r="D13"/>
      <c r="E13"/>
      <c r="F13"/>
      <c r="G13"/>
      <c r="H13"/>
      <c r="I13"/>
      <c r="J13" s="10"/>
      <c r="K13"/>
      <c r="L13" s="9"/>
      <c r="M13"/>
      <c r="N13"/>
      <c r="O13"/>
      <c r="P13"/>
      <c r="Q13"/>
      <c r="R13"/>
      <c r="S13"/>
      <c r="T13"/>
      <c r="U13" s="10"/>
      <c r="V13"/>
      <c r="W13" s="9"/>
      <c r="X13"/>
      <c r="Y13"/>
      <c r="Z13"/>
      <c r="AA13"/>
      <c r="AB13"/>
      <c r="AC13"/>
      <c r="AD13"/>
      <c r="AE13"/>
      <c r="AF13" s="10"/>
      <c r="AG13"/>
      <c r="AH13" s="9"/>
      <c r="AI13"/>
      <c r="AJ13"/>
      <c r="AK13"/>
      <c r="AL13"/>
      <c r="AM13"/>
      <c r="AN13"/>
      <c r="AO13"/>
      <c r="AP13"/>
      <c r="AQ13" s="10"/>
      <c r="AR13"/>
      <c r="AS13" s="9"/>
      <c r="AT13"/>
      <c r="AU13"/>
      <c r="AV13"/>
      <c r="AW13"/>
      <c r="AX13"/>
      <c r="AY13"/>
      <c r="AZ13"/>
      <c r="BA13"/>
      <c r="BB13" s="10"/>
    </row>
    <row r="14" spans="1:54" x14ac:dyDescent="0.4">
      <c r="A14" s="9"/>
      <c r="B14"/>
      <c r="C14"/>
      <c r="D14"/>
      <c r="E14"/>
      <c r="F14"/>
      <c r="G14"/>
      <c r="H14"/>
      <c r="I14"/>
      <c r="J14" s="10"/>
      <c r="K14"/>
      <c r="L14" s="9"/>
      <c r="M14"/>
      <c r="N14"/>
      <c r="O14"/>
      <c r="P14"/>
      <c r="Q14"/>
      <c r="R14"/>
      <c r="S14"/>
      <c r="T14"/>
      <c r="U14" s="10"/>
      <c r="V14"/>
      <c r="W14" s="9"/>
      <c r="X14"/>
      <c r="Y14"/>
      <c r="Z14"/>
      <c r="AA14"/>
      <c r="AB14"/>
      <c r="AC14"/>
      <c r="AD14"/>
      <c r="AE14"/>
      <c r="AF14" s="10"/>
      <c r="AG14"/>
      <c r="AH14" s="9"/>
      <c r="AI14"/>
      <c r="AJ14"/>
      <c r="AK14"/>
      <c r="AL14"/>
      <c r="AM14"/>
      <c r="AN14"/>
      <c r="AO14"/>
      <c r="AP14"/>
      <c r="AQ14" s="10"/>
      <c r="AR14"/>
      <c r="AS14" s="9"/>
      <c r="AT14"/>
      <c r="AU14"/>
      <c r="AV14"/>
      <c r="AW14"/>
      <c r="AX14"/>
      <c r="AY14"/>
      <c r="AZ14"/>
      <c r="BA14"/>
      <c r="BB14" s="10"/>
    </row>
    <row r="15" spans="1:54" x14ac:dyDescent="0.4">
      <c r="A15" s="9"/>
      <c r="B15"/>
      <c r="C15"/>
      <c r="D15"/>
      <c r="E15"/>
      <c r="F15"/>
      <c r="G15"/>
      <c r="H15"/>
      <c r="I15"/>
      <c r="J15" s="10"/>
      <c r="K15"/>
      <c r="L15" s="9"/>
      <c r="M15"/>
      <c r="N15"/>
      <c r="O15"/>
      <c r="P15"/>
      <c r="Q15"/>
      <c r="R15"/>
      <c r="S15"/>
      <c r="T15"/>
      <c r="U15" s="10"/>
      <c r="V15"/>
      <c r="W15" s="9"/>
      <c r="X15"/>
      <c r="Y15"/>
      <c r="Z15"/>
      <c r="AA15"/>
      <c r="AB15"/>
      <c r="AC15"/>
      <c r="AD15"/>
      <c r="AE15"/>
      <c r="AF15" s="10"/>
      <c r="AG15"/>
      <c r="AH15" s="9"/>
      <c r="AI15"/>
      <c r="AJ15"/>
      <c r="AK15"/>
      <c r="AL15"/>
      <c r="AM15"/>
      <c r="AN15"/>
      <c r="AO15"/>
      <c r="AP15"/>
      <c r="AQ15" s="10"/>
      <c r="AR15"/>
      <c r="AS15" s="9"/>
      <c r="AT15"/>
      <c r="AU15"/>
      <c r="AV15"/>
      <c r="AW15"/>
      <c r="AX15"/>
      <c r="AY15"/>
      <c r="AZ15"/>
      <c r="BA15"/>
      <c r="BB15" s="10"/>
    </row>
    <row r="16" spans="1:54" x14ac:dyDescent="0.4">
      <c r="A16" s="9"/>
      <c r="B16"/>
      <c r="C16"/>
      <c r="D16"/>
      <c r="E16"/>
      <c r="F16"/>
      <c r="G16"/>
      <c r="H16"/>
      <c r="I16"/>
      <c r="J16" s="10"/>
      <c r="K16"/>
      <c r="L16" s="9"/>
      <c r="M16"/>
      <c r="N16"/>
      <c r="O16"/>
      <c r="P16"/>
      <c r="Q16"/>
      <c r="R16"/>
      <c r="S16"/>
      <c r="T16"/>
      <c r="U16" s="10"/>
      <c r="V16"/>
      <c r="W16" s="9"/>
      <c r="X16"/>
      <c r="Y16"/>
      <c r="Z16"/>
      <c r="AA16"/>
      <c r="AB16"/>
      <c r="AC16"/>
      <c r="AD16"/>
      <c r="AE16"/>
      <c r="AF16" s="10"/>
      <c r="AG16"/>
      <c r="AH16" s="9"/>
      <c r="AI16"/>
      <c r="AJ16"/>
      <c r="AK16"/>
      <c r="AL16"/>
      <c r="AM16"/>
      <c r="AN16"/>
      <c r="AO16"/>
      <c r="AP16"/>
      <c r="AQ16" s="10"/>
      <c r="AR16"/>
      <c r="AS16" s="9"/>
      <c r="AT16"/>
      <c r="AU16"/>
      <c r="AV16"/>
      <c r="AW16"/>
      <c r="AX16"/>
      <c r="AY16"/>
      <c r="AZ16"/>
      <c r="BA16"/>
      <c r="BB16" s="10"/>
    </row>
    <row r="17" spans="1:54" x14ac:dyDescent="0.4">
      <c r="A17" s="9"/>
      <c r="B17"/>
      <c r="C17"/>
      <c r="D17"/>
      <c r="E17"/>
      <c r="F17"/>
      <c r="G17"/>
      <c r="H17"/>
      <c r="I17"/>
      <c r="J17" s="10"/>
      <c r="K17"/>
      <c r="L17" s="9"/>
      <c r="M17"/>
      <c r="N17"/>
      <c r="O17"/>
      <c r="P17"/>
      <c r="Q17"/>
      <c r="R17"/>
      <c r="S17"/>
      <c r="T17"/>
      <c r="U17" s="10"/>
      <c r="V17"/>
      <c r="W17" s="9"/>
      <c r="X17"/>
      <c r="Y17"/>
      <c r="Z17"/>
      <c r="AA17"/>
      <c r="AB17"/>
      <c r="AC17"/>
      <c r="AD17"/>
      <c r="AE17"/>
      <c r="AF17" s="10"/>
      <c r="AG17"/>
      <c r="AH17" s="9"/>
      <c r="AI17"/>
      <c r="AJ17"/>
      <c r="AK17"/>
      <c r="AL17"/>
      <c r="AM17"/>
      <c r="AN17"/>
      <c r="AO17"/>
      <c r="AP17"/>
      <c r="AQ17" s="10"/>
      <c r="AR17"/>
      <c r="AS17" s="9"/>
      <c r="AT17"/>
      <c r="AU17"/>
      <c r="AV17"/>
      <c r="AW17"/>
      <c r="AX17"/>
      <c r="AY17"/>
      <c r="AZ17"/>
      <c r="BA17"/>
      <c r="BB17" s="10"/>
    </row>
    <row r="18" spans="1:54" x14ac:dyDescent="0.4">
      <c r="A18" s="9"/>
      <c r="B18"/>
      <c r="C18"/>
      <c r="D18"/>
      <c r="E18"/>
      <c r="F18"/>
      <c r="G18"/>
      <c r="H18"/>
      <c r="I18"/>
      <c r="J18" s="10"/>
      <c r="K18"/>
      <c r="L18" s="9"/>
      <c r="M18"/>
      <c r="N18"/>
      <c r="O18"/>
      <c r="P18"/>
      <c r="Q18"/>
      <c r="R18"/>
      <c r="S18"/>
      <c r="T18"/>
      <c r="U18" s="10"/>
      <c r="V18"/>
      <c r="W18" s="9"/>
      <c r="X18"/>
      <c r="Y18"/>
      <c r="Z18"/>
      <c r="AA18"/>
      <c r="AB18"/>
      <c r="AC18"/>
      <c r="AD18"/>
      <c r="AE18"/>
      <c r="AF18" s="10"/>
      <c r="AG18"/>
      <c r="AH18" s="9"/>
      <c r="AI18"/>
      <c r="AJ18"/>
      <c r="AK18"/>
      <c r="AL18"/>
      <c r="AM18"/>
      <c r="AN18"/>
      <c r="AO18"/>
      <c r="AP18"/>
      <c r="AQ18" s="10"/>
      <c r="AR18"/>
      <c r="AS18" s="9"/>
      <c r="AT18"/>
      <c r="AU18"/>
      <c r="AV18"/>
      <c r="AW18"/>
      <c r="AX18"/>
      <c r="AY18"/>
      <c r="AZ18"/>
      <c r="BA18"/>
      <c r="BB18" s="10"/>
    </row>
    <row r="19" spans="1:54" x14ac:dyDescent="0.4">
      <c r="A19" s="9"/>
      <c r="B19"/>
      <c r="C19"/>
      <c r="D19"/>
      <c r="E19"/>
      <c r="F19"/>
      <c r="G19"/>
      <c r="H19"/>
      <c r="I19"/>
      <c r="J19" s="10"/>
      <c r="K19"/>
      <c r="L19" s="9"/>
      <c r="M19"/>
      <c r="N19"/>
      <c r="O19"/>
      <c r="P19"/>
      <c r="Q19"/>
      <c r="R19"/>
      <c r="S19"/>
      <c r="T19"/>
      <c r="U19" s="10"/>
      <c r="V19"/>
      <c r="W19" s="9"/>
      <c r="X19"/>
      <c r="Y19"/>
      <c r="Z19"/>
      <c r="AA19"/>
      <c r="AB19"/>
      <c r="AC19"/>
      <c r="AD19"/>
      <c r="AE19"/>
      <c r="AF19" s="10"/>
      <c r="AG19"/>
      <c r="AH19" s="9"/>
      <c r="AI19"/>
      <c r="AJ19"/>
      <c r="AK19"/>
      <c r="AL19"/>
      <c r="AM19"/>
      <c r="AN19"/>
      <c r="AO19"/>
      <c r="AP19"/>
      <c r="AQ19" s="10"/>
      <c r="AR19"/>
      <c r="AS19" s="9"/>
      <c r="AT19"/>
      <c r="AU19"/>
      <c r="AV19"/>
      <c r="AW19"/>
      <c r="AX19"/>
      <c r="AY19"/>
      <c r="AZ19"/>
      <c r="BA19"/>
      <c r="BB19" s="10"/>
    </row>
    <row r="20" spans="1:54" x14ac:dyDescent="0.4">
      <c r="A20" s="9"/>
      <c r="B20"/>
      <c r="C20"/>
      <c r="D20"/>
      <c r="E20"/>
      <c r="F20"/>
      <c r="G20"/>
      <c r="H20"/>
      <c r="I20"/>
      <c r="J20" s="10"/>
      <c r="K20"/>
      <c r="L20" s="9"/>
      <c r="M20"/>
      <c r="N20"/>
      <c r="O20"/>
      <c r="P20"/>
      <c r="Q20"/>
      <c r="R20"/>
      <c r="S20"/>
      <c r="T20"/>
      <c r="U20" s="10"/>
      <c r="V20"/>
      <c r="W20" s="9"/>
      <c r="X20"/>
      <c r="Y20"/>
      <c r="Z20"/>
      <c r="AA20"/>
      <c r="AB20"/>
      <c r="AC20"/>
      <c r="AD20"/>
      <c r="AE20"/>
      <c r="AF20" s="10"/>
      <c r="AG20"/>
      <c r="AH20" s="9"/>
      <c r="AI20"/>
      <c r="AJ20"/>
      <c r="AK20"/>
      <c r="AL20"/>
      <c r="AM20"/>
      <c r="AN20"/>
      <c r="AO20"/>
      <c r="AP20"/>
      <c r="AQ20" s="10"/>
      <c r="AR20"/>
      <c r="AS20" s="9"/>
      <c r="AT20"/>
      <c r="AU20"/>
      <c r="AV20"/>
      <c r="AW20"/>
      <c r="AX20"/>
      <c r="AY20"/>
      <c r="AZ20"/>
      <c r="BA20"/>
      <c r="BB20" s="10"/>
    </row>
    <row r="21" spans="1:54" x14ac:dyDescent="0.4">
      <c r="A21" s="9"/>
      <c r="B21"/>
      <c r="C21"/>
      <c r="D21"/>
      <c r="E21"/>
      <c r="F21"/>
      <c r="G21"/>
      <c r="H21"/>
      <c r="I21"/>
      <c r="J21" s="10"/>
      <c r="K21"/>
      <c r="L21" s="9"/>
      <c r="M21"/>
      <c r="N21"/>
      <c r="O21"/>
      <c r="P21"/>
      <c r="Q21"/>
      <c r="R21"/>
      <c r="S21"/>
      <c r="T21"/>
      <c r="U21" s="10"/>
      <c r="V21"/>
      <c r="W21" s="9"/>
      <c r="X21"/>
      <c r="Y21"/>
      <c r="Z21"/>
      <c r="AA21"/>
      <c r="AB21"/>
      <c r="AC21"/>
      <c r="AD21"/>
      <c r="AE21"/>
      <c r="AF21" s="10"/>
      <c r="AG21"/>
      <c r="AH21" s="9"/>
      <c r="AI21"/>
      <c r="AJ21"/>
      <c r="AK21"/>
      <c r="AL21"/>
      <c r="AM21"/>
      <c r="AN21"/>
      <c r="AO21"/>
      <c r="AP21"/>
      <c r="AQ21" s="10"/>
      <c r="AR21"/>
      <c r="AS21" s="9"/>
      <c r="AT21"/>
      <c r="AU21"/>
      <c r="AV21"/>
      <c r="AW21"/>
      <c r="AX21"/>
      <c r="AY21"/>
      <c r="AZ21"/>
      <c r="BA21"/>
      <c r="BB21" s="10"/>
    </row>
    <row r="22" spans="1:54" x14ac:dyDescent="0.4">
      <c r="A22" s="9"/>
      <c r="B22"/>
      <c r="C22"/>
      <c r="D22"/>
      <c r="E22"/>
      <c r="F22"/>
      <c r="G22"/>
      <c r="H22"/>
      <c r="I22"/>
      <c r="J22" s="10"/>
      <c r="K22"/>
      <c r="L22" s="9"/>
      <c r="M22"/>
      <c r="N22"/>
      <c r="O22"/>
      <c r="P22"/>
      <c r="Q22"/>
      <c r="R22"/>
      <c r="S22"/>
      <c r="T22"/>
      <c r="U22" s="10"/>
      <c r="V22"/>
      <c r="W22" s="9"/>
      <c r="X22"/>
      <c r="Y22"/>
      <c r="Z22"/>
      <c r="AA22"/>
      <c r="AB22"/>
      <c r="AC22"/>
      <c r="AD22"/>
      <c r="AE22"/>
      <c r="AF22" s="10"/>
      <c r="AG22"/>
      <c r="AH22" s="9"/>
      <c r="AI22"/>
      <c r="AJ22"/>
      <c r="AK22"/>
      <c r="AL22"/>
      <c r="AM22"/>
      <c r="AN22"/>
      <c r="AO22"/>
      <c r="AP22"/>
      <c r="AQ22" s="10"/>
      <c r="AR22"/>
      <c r="AS22" s="9"/>
      <c r="AT22"/>
      <c r="AU22"/>
      <c r="AV22"/>
      <c r="AW22"/>
      <c r="AX22"/>
      <c r="AY22"/>
      <c r="AZ22"/>
      <c r="BA22"/>
      <c r="BB22" s="10"/>
    </row>
    <row r="23" spans="1:54" x14ac:dyDescent="0.4">
      <c r="A23" s="9"/>
      <c r="B23"/>
      <c r="C23"/>
      <c r="D23"/>
      <c r="E23"/>
      <c r="F23"/>
      <c r="G23"/>
      <c r="H23"/>
      <c r="I23"/>
      <c r="J23" s="10"/>
      <c r="K23"/>
      <c r="L23" s="9"/>
      <c r="M23"/>
      <c r="N23"/>
      <c r="O23"/>
      <c r="P23"/>
      <c r="Q23"/>
      <c r="R23"/>
      <c r="S23"/>
      <c r="T23"/>
      <c r="U23" s="10"/>
      <c r="V23"/>
      <c r="W23" s="9"/>
      <c r="X23"/>
      <c r="Y23"/>
      <c r="Z23"/>
      <c r="AA23"/>
      <c r="AB23"/>
      <c r="AC23"/>
      <c r="AD23"/>
      <c r="AE23"/>
      <c r="AF23" s="10"/>
      <c r="AG23"/>
      <c r="AH23" s="9"/>
      <c r="AI23"/>
      <c r="AJ23"/>
      <c r="AK23"/>
      <c r="AL23"/>
      <c r="AM23"/>
      <c r="AN23"/>
      <c r="AO23"/>
      <c r="AP23"/>
      <c r="AQ23" s="10"/>
      <c r="AR23"/>
      <c r="AS23" s="9"/>
      <c r="AT23"/>
      <c r="AU23"/>
      <c r="AV23"/>
      <c r="AW23"/>
      <c r="AX23"/>
      <c r="AY23"/>
      <c r="AZ23"/>
      <c r="BA23"/>
      <c r="BB23" s="10"/>
    </row>
    <row r="24" spans="1:54" x14ac:dyDescent="0.4">
      <c r="A24" s="9"/>
      <c r="B24"/>
      <c r="C24"/>
      <c r="D24"/>
      <c r="E24"/>
      <c r="F24"/>
      <c r="G24"/>
      <c r="H24"/>
      <c r="I24"/>
      <c r="J24" s="10"/>
      <c r="K24"/>
      <c r="L24" s="9"/>
      <c r="M24"/>
      <c r="N24"/>
      <c r="O24"/>
      <c r="P24"/>
      <c r="Q24"/>
      <c r="R24"/>
      <c r="S24"/>
      <c r="T24"/>
      <c r="U24" s="10"/>
      <c r="V24"/>
      <c r="W24" s="9"/>
      <c r="X24"/>
      <c r="Y24"/>
      <c r="Z24"/>
      <c r="AA24"/>
      <c r="AB24"/>
      <c r="AC24"/>
      <c r="AD24"/>
      <c r="AE24"/>
      <c r="AF24" s="10"/>
      <c r="AG24"/>
      <c r="AH24" s="9"/>
      <c r="AI24"/>
      <c r="AJ24"/>
      <c r="AK24"/>
      <c r="AL24"/>
      <c r="AM24"/>
      <c r="AN24"/>
      <c r="AO24"/>
      <c r="AP24"/>
      <c r="AQ24" s="10"/>
      <c r="AR24"/>
      <c r="AS24" s="9"/>
      <c r="AT24"/>
      <c r="AU24"/>
      <c r="AV24"/>
      <c r="AW24"/>
      <c r="AX24"/>
      <c r="AY24"/>
      <c r="AZ24"/>
      <c r="BA24"/>
      <c r="BB24" s="10"/>
    </row>
    <row r="25" spans="1:54" x14ac:dyDescent="0.4">
      <c r="A25" s="9"/>
      <c r="B25"/>
      <c r="C25"/>
      <c r="D25"/>
      <c r="E25"/>
      <c r="F25"/>
      <c r="G25"/>
      <c r="H25"/>
      <c r="I25"/>
      <c r="J25" s="10"/>
      <c r="K25"/>
      <c r="L25" s="9"/>
      <c r="M25"/>
      <c r="N25"/>
      <c r="O25"/>
      <c r="P25"/>
      <c r="Q25"/>
      <c r="R25"/>
      <c r="S25"/>
      <c r="T25"/>
      <c r="U25" s="10"/>
      <c r="V25"/>
      <c r="W25" s="9"/>
      <c r="X25"/>
      <c r="Y25"/>
      <c r="Z25"/>
      <c r="AA25"/>
      <c r="AB25"/>
      <c r="AC25"/>
      <c r="AD25"/>
      <c r="AE25"/>
      <c r="AF25" s="10"/>
      <c r="AG25"/>
      <c r="AH25" s="9"/>
      <c r="AI25"/>
      <c r="AJ25"/>
      <c r="AK25"/>
      <c r="AL25"/>
      <c r="AM25"/>
      <c r="AN25"/>
      <c r="AO25"/>
      <c r="AP25"/>
      <c r="AQ25" s="10"/>
      <c r="AR25"/>
      <c r="AS25" s="9"/>
      <c r="AT25"/>
      <c r="AU25"/>
      <c r="AV25"/>
      <c r="AW25"/>
      <c r="AX25"/>
      <c r="AY25"/>
      <c r="AZ25"/>
      <c r="BA25"/>
      <c r="BB25" s="10"/>
    </row>
    <row r="26" spans="1:54" x14ac:dyDescent="0.4">
      <c r="A26" s="9"/>
      <c r="B26"/>
      <c r="C26"/>
      <c r="D26"/>
      <c r="E26"/>
      <c r="F26"/>
      <c r="G26"/>
      <c r="H26"/>
      <c r="I26"/>
      <c r="J26" s="10"/>
      <c r="K26"/>
      <c r="L26" s="9"/>
      <c r="M26"/>
      <c r="N26"/>
      <c r="O26"/>
      <c r="P26"/>
      <c r="Q26"/>
      <c r="R26"/>
      <c r="S26"/>
      <c r="T26"/>
      <c r="U26" s="10"/>
      <c r="V26"/>
      <c r="W26" s="9"/>
      <c r="X26"/>
      <c r="Y26"/>
      <c r="Z26"/>
      <c r="AA26"/>
      <c r="AB26"/>
      <c r="AC26"/>
      <c r="AD26"/>
      <c r="AE26"/>
      <c r="AF26" s="10"/>
      <c r="AG26"/>
      <c r="AH26" s="9"/>
      <c r="AI26"/>
      <c r="AJ26"/>
      <c r="AK26"/>
      <c r="AL26"/>
      <c r="AM26"/>
      <c r="AN26"/>
      <c r="AO26"/>
      <c r="AP26"/>
      <c r="AQ26" s="10"/>
      <c r="AR26"/>
      <c r="AS26" s="9"/>
      <c r="AT26"/>
      <c r="AU26"/>
      <c r="AV26"/>
      <c r="AW26"/>
      <c r="AX26"/>
      <c r="AY26"/>
      <c r="AZ26"/>
      <c r="BA26"/>
      <c r="BB26" s="10"/>
    </row>
    <row r="27" spans="1:54" x14ac:dyDescent="0.4">
      <c r="A27" s="9"/>
      <c r="B27"/>
      <c r="C27"/>
      <c r="D27"/>
      <c r="E27"/>
      <c r="F27"/>
      <c r="G27"/>
      <c r="H27"/>
      <c r="I27"/>
      <c r="J27" s="10"/>
      <c r="K27"/>
      <c r="L27" s="9"/>
      <c r="M27"/>
      <c r="N27"/>
      <c r="O27"/>
      <c r="P27"/>
      <c r="Q27"/>
      <c r="R27"/>
      <c r="S27"/>
      <c r="T27"/>
      <c r="U27" s="10"/>
      <c r="V27"/>
      <c r="W27" s="9"/>
      <c r="X27"/>
      <c r="Y27"/>
      <c r="Z27"/>
      <c r="AA27"/>
      <c r="AB27"/>
      <c r="AC27"/>
      <c r="AD27"/>
      <c r="AE27"/>
      <c r="AF27" s="10"/>
      <c r="AG27"/>
      <c r="AH27" s="9"/>
      <c r="AI27"/>
      <c r="AJ27"/>
      <c r="AK27"/>
      <c r="AL27"/>
      <c r="AM27"/>
      <c r="AN27"/>
      <c r="AO27"/>
      <c r="AP27"/>
      <c r="AQ27" s="10"/>
      <c r="AR27"/>
      <c r="AS27" s="9"/>
      <c r="AT27"/>
      <c r="AU27"/>
      <c r="AV27"/>
      <c r="AW27"/>
      <c r="AX27"/>
      <c r="AY27"/>
      <c r="AZ27"/>
      <c r="BA27"/>
      <c r="BB27" s="10"/>
    </row>
    <row r="28" spans="1:54" x14ac:dyDescent="0.4">
      <c r="A28" s="9"/>
      <c r="B28"/>
      <c r="C28"/>
      <c r="D28"/>
      <c r="E28"/>
      <c r="F28"/>
      <c r="G28"/>
      <c r="H28"/>
      <c r="I28"/>
      <c r="J28" s="10"/>
      <c r="K28"/>
      <c r="L28" s="9"/>
      <c r="M28"/>
      <c r="N28"/>
      <c r="O28"/>
      <c r="P28"/>
      <c r="Q28"/>
      <c r="R28"/>
      <c r="S28"/>
      <c r="T28"/>
      <c r="U28" s="10"/>
      <c r="V28"/>
      <c r="W28" s="9"/>
      <c r="X28"/>
      <c r="Y28"/>
      <c r="Z28"/>
      <c r="AA28"/>
      <c r="AB28"/>
      <c r="AC28"/>
      <c r="AD28"/>
      <c r="AE28"/>
      <c r="AF28" s="10"/>
      <c r="AG28"/>
      <c r="AH28" s="9"/>
      <c r="AI28"/>
      <c r="AJ28"/>
      <c r="AK28"/>
      <c r="AL28"/>
      <c r="AM28"/>
      <c r="AN28"/>
      <c r="AO28"/>
      <c r="AP28"/>
      <c r="AQ28" s="10"/>
      <c r="AR28"/>
      <c r="AS28" s="9"/>
      <c r="AT28"/>
      <c r="AU28"/>
      <c r="AV28"/>
      <c r="AW28"/>
      <c r="AX28"/>
      <c r="AY28"/>
      <c r="AZ28"/>
      <c r="BA28"/>
      <c r="BB28" s="10"/>
    </row>
    <row r="29" spans="1:54" x14ac:dyDescent="0.4">
      <c r="A29" s="9"/>
      <c r="B29"/>
      <c r="C29"/>
      <c r="D29"/>
      <c r="E29"/>
      <c r="F29"/>
      <c r="G29"/>
      <c r="H29"/>
      <c r="I29"/>
      <c r="J29" s="10"/>
      <c r="K29"/>
      <c r="L29" s="9"/>
      <c r="M29"/>
      <c r="N29"/>
      <c r="O29"/>
      <c r="P29"/>
      <c r="Q29"/>
      <c r="R29"/>
      <c r="S29"/>
      <c r="T29"/>
      <c r="U29" s="10"/>
      <c r="V29"/>
      <c r="W29" s="9"/>
      <c r="X29"/>
      <c r="Y29"/>
      <c r="Z29"/>
      <c r="AA29"/>
      <c r="AB29"/>
      <c r="AC29"/>
      <c r="AD29"/>
      <c r="AE29"/>
      <c r="AF29" s="10"/>
      <c r="AG29"/>
      <c r="AH29" s="9"/>
      <c r="AI29"/>
      <c r="AJ29"/>
      <c r="AK29"/>
      <c r="AL29"/>
      <c r="AM29"/>
      <c r="AN29"/>
      <c r="AO29"/>
      <c r="AP29"/>
      <c r="AQ29" s="10"/>
      <c r="AR29"/>
      <c r="AS29" s="9"/>
      <c r="AT29"/>
      <c r="AU29"/>
      <c r="AV29"/>
      <c r="AW29"/>
      <c r="AX29"/>
      <c r="AY29"/>
      <c r="AZ29"/>
      <c r="BA29"/>
      <c r="BB29" s="10"/>
    </row>
    <row r="30" spans="1:54" x14ac:dyDescent="0.4">
      <c r="A30" s="9"/>
      <c r="B30"/>
      <c r="C30"/>
      <c r="D30"/>
      <c r="E30"/>
      <c r="F30"/>
      <c r="G30"/>
      <c r="H30"/>
      <c r="I30"/>
      <c r="J30" s="10"/>
      <c r="K30"/>
      <c r="L30" s="9"/>
      <c r="M30"/>
      <c r="N30"/>
      <c r="O30"/>
      <c r="P30"/>
      <c r="Q30"/>
      <c r="R30"/>
      <c r="S30"/>
      <c r="T30"/>
      <c r="U30" s="10"/>
      <c r="V30"/>
      <c r="W30" s="9"/>
      <c r="X30"/>
      <c r="Y30"/>
      <c r="Z30"/>
      <c r="AA30"/>
      <c r="AB30"/>
      <c r="AC30"/>
      <c r="AD30"/>
      <c r="AE30"/>
      <c r="AF30" s="10"/>
      <c r="AG30"/>
      <c r="AH30" s="9"/>
      <c r="AI30"/>
      <c r="AJ30"/>
      <c r="AK30"/>
      <c r="AL30"/>
      <c r="AM30"/>
      <c r="AN30"/>
      <c r="AO30"/>
      <c r="AP30"/>
      <c r="AQ30" s="10"/>
      <c r="AR30"/>
      <c r="AS30" s="9"/>
      <c r="AT30"/>
      <c r="AU30"/>
      <c r="AV30"/>
      <c r="AW30"/>
      <c r="AX30"/>
      <c r="AY30"/>
      <c r="AZ30"/>
      <c r="BA30"/>
      <c r="BB30" s="10"/>
    </row>
    <row r="31" spans="1:54" x14ac:dyDescent="0.4">
      <c r="A31" s="9"/>
      <c r="B31"/>
      <c r="C31"/>
      <c r="D31"/>
      <c r="E31"/>
      <c r="F31"/>
      <c r="G31"/>
      <c r="H31"/>
      <c r="I31"/>
      <c r="J31" s="10"/>
      <c r="K31"/>
      <c r="L31" s="9"/>
      <c r="M31"/>
      <c r="N31"/>
      <c r="O31"/>
      <c r="P31"/>
      <c r="Q31"/>
      <c r="R31"/>
      <c r="S31"/>
      <c r="T31"/>
      <c r="U31" s="10"/>
      <c r="V31"/>
      <c r="W31" s="9"/>
      <c r="X31"/>
      <c r="Y31"/>
      <c r="Z31"/>
      <c r="AA31"/>
      <c r="AB31"/>
      <c r="AC31"/>
      <c r="AD31"/>
      <c r="AE31"/>
      <c r="AF31" s="10"/>
      <c r="AG31"/>
      <c r="AH31" s="9"/>
      <c r="AI31"/>
      <c r="AJ31"/>
      <c r="AK31"/>
      <c r="AL31"/>
      <c r="AM31"/>
      <c r="AN31"/>
      <c r="AO31"/>
      <c r="AP31"/>
      <c r="AQ31" s="10"/>
      <c r="AR31"/>
      <c r="AS31" s="9"/>
      <c r="AT31"/>
      <c r="AU31"/>
      <c r="AV31"/>
      <c r="AW31"/>
      <c r="AX31"/>
      <c r="AY31"/>
      <c r="AZ31"/>
      <c r="BA31"/>
      <c r="BB31" s="10"/>
    </row>
    <row r="32" spans="1:54" x14ac:dyDescent="0.4">
      <c r="A32" s="11"/>
      <c r="B32" s="12"/>
      <c r="C32" s="12"/>
      <c r="D32" s="12"/>
      <c r="E32" s="12"/>
      <c r="F32" s="12"/>
      <c r="G32" s="12"/>
      <c r="H32" s="12"/>
      <c r="I32" s="12"/>
      <c r="J32" s="13"/>
      <c r="K32"/>
      <c r="L32" s="11"/>
      <c r="M32" s="12"/>
      <c r="N32" s="12"/>
      <c r="O32" s="12"/>
      <c r="P32" s="12"/>
      <c r="Q32" s="12"/>
      <c r="R32" s="12"/>
      <c r="S32" s="12"/>
      <c r="T32" s="12"/>
      <c r="U32" s="13"/>
      <c r="V32"/>
      <c r="W32" s="11"/>
      <c r="X32" s="12"/>
      <c r="Y32" s="12"/>
      <c r="Z32" s="12"/>
      <c r="AA32" s="12"/>
      <c r="AB32" s="12"/>
      <c r="AC32" s="12"/>
      <c r="AD32" s="12"/>
      <c r="AE32" s="12"/>
      <c r="AF32" s="13"/>
      <c r="AG32"/>
      <c r="AH32" s="11"/>
      <c r="AI32" s="12"/>
      <c r="AJ32" s="12"/>
      <c r="AK32" s="12"/>
      <c r="AL32" s="12"/>
      <c r="AM32" s="12"/>
      <c r="AN32" s="12"/>
      <c r="AO32" s="12"/>
      <c r="AP32" s="12"/>
      <c r="AQ32" s="13"/>
      <c r="AR32"/>
      <c r="AS32" s="11"/>
      <c r="AT32" s="12"/>
      <c r="AU32" s="12"/>
      <c r="AV32" s="12"/>
      <c r="AW32" s="12"/>
      <c r="AX32" s="12"/>
      <c r="AY32" s="12"/>
      <c r="AZ32" s="12"/>
      <c r="BA32" s="12"/>
      <c r="BB32" s="13"/>
    </row>
    <row r="33" spans="1:54" x14ac:dyDescent="0.4">
      <c r="A33" s="16" t="s">
        <v>45</v>
      </c>
      <c r="B33" s="14"/>
      <c r="C33" s="14"/>
      <c r="D33" s="14"/>
      <c r="E33" s="14"/>
      <c r="F33" s="14"/>
      <c r="G33" s="14"/>
      <c r="H33" s="14"/>
      <c r="I33" s="14"/>
      <c r="J33" s="15"/>
      <c r="K33"/>
      <c r="L33" s="16" t="s">
        <v>46</v>
      </c>
      <c r="M33" s="14"/>
      <c r="N33" s="14"/>
      <c r="O33" s="14"/>
      <c r="P33" s="14"/>
      <c r="Q33" s="14"/>
      <c r="R33" s="14"/>
      <c r="S33" s="14"/>
      <c r="T33" s="14"/>
      <c r="U33" s="15"/>
      <c r="V33"/>
      <c r="W33" s="16" t="s">
        <v>130</v>
      </c>
      <c r="X33" s="14"/>
      <c r="Y33" s="14"/>
      <c r="Z33" s="14"/>
      <c r="AA33" s="14"/>
      <c r="AB33" s="14"/>
      <c r="AC33" s="14"/>
      <c r="AD33" s="14"/>
      <c r="AE33" s="14"/>
      <c r="AF33" s="15"/>
      <c r="AG33"/>
      <c r="AH33" s="16" t="s">
        <v>138</v>
      </c>
      <c r="AI33" s="14"/>
      <c r="AJ33" s="14"/>
      <c r="AK33" s="14"/>
      <c r="AL33" s="14"/>
      <c r="AM33" s="14"/>
      <c r="AN33" s="14"/>
      <c r="AO33" s="14"/>
      <c r="AP33" s="14"/>
      <c r="AQ33" s="15"/>
      <c r="AR33"/>
      <c r="AS33" s="16" t="s">
        <v>139</v>
      </c>
      <c r="AT33" s="14"/>
      <c r="AU33" s="14"/>
      <c r="AV33" s="14"/>
      <c r="AW33" s="14"/>
      <c r="AX33" s="14"/>
      <c r="AY33" s="14"/>
      <c r="AZ33" s="14"/>
      <c r="BA33" s="14"/>
      <c r="BB33" s="15"/>
    </row>
    <row r="34" spans="1:54" x14ac:dyDescent="0.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8" spans="1:54" ht="13.15" customHeight="1" x14ac:dyDescent="1.55">
      <c r="A38" s="117" t="s">
        <v>185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87"/>
      <c r="X38" s="87"/>
      <c r="Y38" s="87"/>
      <c r="Z38" s="87"/>
      <c r="AA38" s="87"/>
      <c r="AB38" s="87"/>
    </row>
    <row r="39" spans="1:54" ht="13.15" customHeight="1" x14ac:dyDescent="1.5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87"/>
      <c r="X39" s="87"/>
      <c r="Y39" s="87"/>
      <c r="Z39" s="87"/>
      <c r="AA39" s="87"/>
      <c r="AB39" s="87"/>
    </row>
    <row r="40" spans="1:54" ht="13.15" customHeight="1" x14ac:dyDescent="1.5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87"/>
      <c r="X40" s="87"/>
      <c r="Y40" s="87"/>
      <c r="Z40" s="87"/>
      <c r="AA40" s="87"/>
      <c r="AB40" s="87"/>
    </row>
    <row r="41" spans="1:54" ht="13.15" customHeight="1" x14ac:dyDescent="1.5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87"/>
      <c r="X41" s="87"/>
      <c r="Y41" s="87"/>
      <c r="Z41" s="87"/>
      <c r="AA41" s="87"/>
      <c r="AB41" s="87"/>
    </row>
    <row r="42" spans="1:54" ht="13.15" customHeight="1" x14ac:dyDescent="0.4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</row>
  </sheetData>
  <mergeCells count="2">
    <mergeCell ref="A1:BB2"/>
    <mergeCell ref="A38:V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0382-1CC5-4293-8F88-B55F6FAC9D29}">
  <sheetPr>
    <tabColor rgb="FF00B0F0"/>
  </sheetPr>
  <dimension ref="A1:N74"/>
  <sheetViews>
    <sheetView showGridLines="0" zoomScale="110" zoomScaleNormal="110" zoomScaleSheetLayoutView="5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20" sqref="O20"/>
    </sheetView>
  </sheetViews>
  <sheetFormatPr defaultRowHeight="13.15" x14ac:dyDescent="0.4"/>
  <cols>
    <col min="1" max="1" width="34.7109375" style="34" bestFit="1" customWidth="1"/>
    <col min="2" max="2" width="19.28515625" style="34" customWidth="1"/>
    <col min="3" max="3" width="13.35546875" style="34" customWidth="1"/>
    <col min="4" max="4" width="14.42578125" style="34" customWidth="1"/>
    <col min="5" max="5" width="14.35546875" style="34" customWidth="1"/>
    <col min="6" max="6" width="4.5" style="34" customWidth="1"/>
    <col min="7" max="16384" width="9.140625" style="34"/>
  </cols>
  <sheetData>
    <row r="1" spans="1:14" ht="22.5" x14ac:dyDescent="0.6">
      <c r="A1" s="125" t="s">
        <v>184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x14ac:dyDescent="0.4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 spans="1:14" x14ac:dyDescent="0.4">
      <c r="A3" s="118" t="s">
        <v>56</v>
      </c>
      <c r="B3" s="118"/>
      <c r="C3" s="118"/>
      <c r="D3" s="118"/>
      <c r="E3" s="118"/>
      <c r="F3"/>
      <c r="G3" s="119" t="s">
        <v>90</v>
      </c>
      <c r="H3" s="120"/>
      <c r="I3" s="120"/>
      <c r="J3" s="120"/>
      <c r="K3" s="120"/>
      <c r="L3" s="120"/>
      <c r="M3" s="120"/>
      <c r="N3" s="121"/>
    </row>
    <row r="4" spans="1:14" x14ac:dyDescent="0.4">
      <c r="A4" s="25" t="s">
        <v>57</v>
      </c>
      <c r="B4" s="25">
        <v>2019</v>
      </c>
      <c r="C4" s="25">
        <v>2020</v>
      </c>
      <c r="D4" s="25">
        <v>2021</v>
      </c>
      <c r="E4" s="25">
        <v>2022</v>
      </c>
      <c r="F4"/>
      <c r="G4" s="122"/>
      <c r="H4" s="123"/>
      <c r="I4" s="123"/>
      <c r="J4" s="123"/>
      <c r="K4" s="123"/>
      <c r="L4" s="123"/>
      <c r="M4" s="123"/>
      <c r="N4" s="124"/>
    </row>
    <row r="5" spans="1:14" x14ac:dyDescent="0.4">
      <c r="A5" s="24" t="s">
        <v>58</v>
      </c>
      <c r="B5" s="26">
        <v>94840</v>
      </c>
      <c r="C5" s="26">
        <v>95810</v>
      </c>
      <c r="D5" s="26">
        <v>105220</v>
      </c>
      <c r="E5" s="26">
        <v>112860</v>
      </c>
      <c r="F5"/>
      <c r="G5" s="6"/>
      <c r="H5" s="7"/>
      <c r="I5" s="7"/>
      <c r="J5" s="7"/>
      <c r="K5" s="7"/>
      <c r="L5" s="7"/>
      <c r="M5" s="7"/>
      <c r="N5" s="8"/>
    </row>
    <row r="6" spans="1:14" x14ac:dyDescent="0.4">
      <c r="A6" s="24" t="s">
        <v>59</v>
      </c>
      <c r="B6" s="26">
        <v>-21470</v>
      </c>
      <c r="C6" s="26">
        <v>-19970</v>
      </c>
      <c r="D6" s="26">
        <v>-21840</v>
      </c>
      <c r="E6" s="26">
        <v>-19590</v>
      </c>
      <c r="F6"/>
      <c r="G6" s="9"/>
      <c r="H6"/>
      <c r="I6"/>
      <c r="J6"/>
      <c r="K6"/>
      <c r="L6"/>
      <c r="M6"/>
      <c r="N6" s="10"/>
    </row>
    <row r="7" spans="1:14" x14ac:dyDescent="0.4">
      <c r="A7" s="27" t="s">
        <v>60</v>
      </c>
      <c r="B7" s="28">
        <f>B5+B6</f>
        <v>73370</v>
      </c>
      <c r="C7" s="28">
        <f t="shared" ref="C7:E7" si="0">C5+C6</f>
        <v>75840</v>
      </c>
      <c r="D7" s="28">
        <f t="shared" si="0"/>
        <v>83380</v>
      </c>
      <c r="E7" s="28">
        <f t="shared" si="0"/>
        <v>93270</v>
      </c>
      <c r="F7"/>
      <c r="G7" s="9"/>
      <c r="H7"/>
      <c r="I7"/>
      <c r="J7"/>
      <c r="K7"/>
      <c r="L7"/>
      <c r="M7"/>
      <c r="N7" s="10"/>
    </row>
    <row r="8" spans="1:14" x14ac:dyDescent="0.4">
      <c r="A8" s="24" t="s">
        <v>61</v>
      </c>
      <c r="B8" s="26">
        <v>0</v>
      </c>
      <c r="C8" s="26">
        <v>0</v>
      </c>
      <c r="D8" s="26">
        <v>0</v>
      </c>
      <c r="E8" s="26">
        <v>0</v>
      </c>
      <c r="F8"/>
      <c r="G8" s="9"/>
      <c r="H8"/>
      <c r="I8"/>
      <c r="J8"/>
      <c r="K8"/>
      <c r="L8"/>
      <c r="M8"/>
      <c r="N8" s="10"/>
    </row>
    <row r="9" spans="1:14" x14ac:dyDescent="0.4">
      <c r="A9" s="24" t="s">
        <v>62</v>
      </c>
      <c r="B9" s="26">
        <v>0</v>
      </c>
      <c r="C9" s="26">
        <v>0</v>
      </c>
      <c r="D9" s="26">
        <v>0</v>
      </c>
      <c r="E9" s="26">
        <v>0</v>
      </c>
      <c r="F9"/>
      <c r="G9" s="9"/>
      <c r="H9"/>
      <c r="I9"/>
      <c r="J9"/>
      <c r="K9"/>
      <c r="L9"/>
      <c r="M9"/>
      <c r="N9" s="10"/>
    </row>
    <row r="10" spans="1:14" x14ac:dyDescent="0.4">
      <c r="A10" s="24" t="s">
        <v>63</v>
      </c>
      <c r="B10" s="26">
        <v>-31490</v>
      </c>
      <c r="C10" s="26">
        <v>-31220</v>
      </c>
      <c r="D10" s="26">
        <v>-30060</v>
      </c>
      <c r="E10" s="26">
        <v>-41010</v>
      </c>
      <c r="F10"/>
      <c r="G10" s="9"/>
      <c r="H10"/>
      <c r="I10"/>
      <c r="J10"/>
      <c r="K10"/>
      <c r="L10"/>
      <c r="M10"/>
      <c r="N10" s="10"/>
    </row>
    <row r="11" spans="1:14" x14ac:dyDescent="0.4">
      <c r="A11" s="24" t="s">
        <v>64</v>
      </c>
      <c r="B11" s="26">
        <v>-22460</v>
      </c>
      <c r="C11" s="26">
        <v>-23560</v>
      </c>
      <c r="D11" s="26">
        <v>-25490</v>
      </c>
      <c r="E11" s="26">
        <v>-28000</v>
      </c>
      <c r="F11"/>
      <c r="G11" s="9"/>
      <c r="H11"/>
      <c r="I11"/>
      <c r="J11"/>
      <c r="K11"/>
      <c r="L11"/>
      <c r="M11"/>
      <c r="N11" s="10"/>
    </row>
    <row r="12" spans="1:14" x14ac:dyDescent="0.4">
      <c r="A12" s="27" t="s">
        <v>65</v>
      </c>
      <c r="B12" s="28">
        <f>B7+SUM(B8:B11)</f>
        <v>19420</v>
      </c>
      <c r="C12" s="28">
        <f t="shared" ref="C12:E12" si="1">C7+SUM(C8:C11)</f>
        <v>21060</v>
      </c>
      <c r="D12" s="28">
        <f t="shared" si="1"/>
        <v>27830</v>
      </c>
      <c r="E12" s="28">
        <f t="shared" si="1"/>
        <v>24260</v>
      </c>
      <c r="F12"/>
      <c r="G12" s="9"/>
      <c r="H12"/>
      <c r="I12"/>
      <c r="J12"/>
      <c r="K12"/>
      <c r="L12"/>
      <c r="M12"/>
      <c r="N12" s="10"/>
    </row>
    <row r="13" spans="1:14" x14ac:dyDescent="0.4">
      <c r="A13" s="24" t="s">
        <v>66</v>
      </c>
      <c r="B13" s="26">
        <v>-12960</v>
      </c>
      <c r="C13" s="26">
        <v>-15280</v>
      </c>
      <c r="D13" s="26">
        <v>-12620</v>
      </c>
      <c r="E13" s="26">
        <v>-12370</v>
      </c>
      <c r="F13"/>
      <c r="G13" s="9"/>
      <c r="H13"/>
      <c r="I13"/>
      <c r="J13"/>
      <c r="K13"/>
      <c r="L13"/>
      <c r="M13"/>
      <c r="N13" s="10"/>
    </row>
    <row r="14" spans="1:14" x14ac:dyDescent="0.4">
      <c r="A14" s="27" t="s">
        <v>67</v>
      </c>
      <c r="B14" s="28">
        <f>B12+B13</f>
        <v>6460</v>
      </c>
      <c r="C14" s="28">
        <f t="shared" ref="C14:E14" si="2">C12+C13</f>
        <v>5780</v>
      </c>
      <c r="D14" s="28">
        <f t="shared" si="2"/>
        <v>15210</v>
      </c>
      <c r="E14" s="28">
        <f t="shared" si="2"/>
        <v>11890</v>
      </c>
      <c r="F14"/>
      <c r="G14" s="9"/>
      <c r="H14"/>
      <c r="I14"/>
      <c r="J14"/>
      <c r="K14"/>
      <c r="L14"/>
      <c r="M14"/>
      <c r="N14" s="10"/>
    </row>
    <row r="15" spans="1:14" x14ac:dyDescent="0.4">
      <c r="A15" s="24" t="s">
        <v>68</v>
      </c>
      <c r="B15" s="26">
        <v>2440</v>
      </c>
      <c r="C15" s="26">
        <v>2170</v>
      </c>
      <c r="D15" s="26">
        <v>1820</v>
      </c>
      <c r="E15" s="26">
        <v>1550</v>
      </c>
      <c r="F15"/>
      <c r="G15" s="9"/>
      <c r="H15"/>
      <c r="I15"/>
      <c r="J15"/>
      <c r="K15"/>
      <c r="L15"/>
      <c r="M15"/>
      <c r="N15" s="10"/>
    </row>
    <row r="16" spans="1:14" x14ac:dyDescent="0.4">
      <c r="A16" s="24" t="s">
        <v>69</v>
      </c>
      <c r="B16" s="26">
        <v>-5510</v>
      </c>
      <c r="C16" s="26">
        <v>-4380</v>
      </c>
      <c r="D16" s="26">
        <v>-2950</v>
      </c>
      <c r="E16" s="26">
        <v>-1970</v>
      </c>
      <c r="F16"/>
      <c r="G16" s="9"/>
      <c r="H16"/>
      <c r="I16"/>
      <c r="J16"/>
      <c r="K16"/>
      <c r="L16"/>
      <c r="M16"/>
      <c r="N16" s="10"/>
    </row>
    <row r="17" spans="1:14" x14ac:dyDescent="0.4">
      <c r="A17" s="27" t="s">
        <v>70</v>
      </c>
      <c r="B17" s="28">
        <f>B15+B16</f>
        <v>-3070</v>
      </c>
      <c r="C17" s="28">
        <f t="shared" ref="C17:E17" si="3">C15+C16</f>
        <v>-2210</v>
      </c>
      <c r="D17" s="28">
        <f t="shared" si="3"/>
        <v>-1130</v>
      </c>
      <c r="E17" s="28">
        <f t="shared" si="3"/>
        <v>-420</v>
      </c>
      <c r="F17"/>
      <c r="G17" s="9"/>
      <c r="H17"/>
      <c r="I17"/>
      <c r="J17"/>
      <c r="K17"/>
      <c r="L17"/>
      <c r="M17"/>
      <c r="N17" s="10"/>
    </row>
    <row r="18" spans="1:14" x14ac:dyDescent="0.4">
      <c r="A18" s="24" t="s">
        <v>71</v>
      </c>
      <c r="B18" s="26">
        <v>0</v>
      </c>
      <c r="C18" s="26">
        <v>0</v>
      </c>
      <c r="D18" s="26">
        <v>0</v>
      </c>
      <c r="E18" s="26">
        <v>0</v>
      </c>
      <c r="F18"/>
      <c r="G18" s="9"/>
      <c r="H18"/>
      <c r="I18"/>
      <c r="J18"/>
      <c r="K18"/>
      <c r="L18"/>
      <c r="M18"/>
      <c r="N18" s="10"/>
    </row>
    <row r="19" spans="1:14" x14ac:dyDescent="0.4">
      <c r="A19" s="24" t="s">
        <v>72</v>
      </c>
      <c r="B19" s="26">
        <v>0</v>
      </c>
      <c r="C19" s="26">
        <v>0</v>
      </c>
      <c r="D19" s="26">
        <v>0</v>
      </c>
      <c r="E19" s="26">
        <v>0</v>
      </c>
      <c r="F19"/>
      <c r="G19" s="9"/>
      <c r="H19"/>
      <c r="I19"/>
      <c r="J19"/>
      <c r="K19"/>
      <c r="L19"/>
      <c r="M19"/>
      <c r="N19" s="10"/>
    </row>
    <row r="20" spans="1:14" x14ac:dyDescent="0.4">
      <c r="A20" s="24" t="s">
        <v>73</v>
      </c>
      <c r="B20" s="26">
        <v>0</v>
      </c>
      <c r="C20" s="26">
        <v>0</v>
      </c>
      <c r="D20" s="26">
        <v>0</v>
      </c>
      <c r="E20" s="26">
        <v>0</v>
      </c>
      <c r="F20"/>
      <c r="G20" s="9"/>
      <c r="H20"/>
      <c r="I20"/>
      <c r="J20"/>
      <c r="K20"/>
      <c r="L20"/>
      <c r="M20"/>
      <c r="N20" s="10"/>
    </row>
    <row r="21" spans="1:14" x14ac:dyDescent="0.4">
      <c r="A21" s="24" t="s">
        <v>74</v>
      </c>
      <c r="B21" s="26">
        <v>0</v>
      </c>
      <c r="C21" s="26">
        <v>0</v>
      </c>
      <c r="D21" s="26">
        <v>0</v>
      </c>
      <c r="E21" s="26">
        <v>0</v>
      </c>
      <c r="F21"/>
      <c r="G21" s="9"/>
      <c r="H21"/>
      <c r="I21"/>
      <c r="J21"/>
      <c r="K21"/>
      <c r="L21"/>
      <c r="M21"/>
      <c r="N21" s="10"/>
    </row>
    <row r="22" spans="1:14" x14ac:dyDescent="0.4">
      <c r="A22" s="27" t="s">
        <v>75</v>
      </c>
      <c r="B22" s="28">
        <f>B14+B17</f>
        <v>3390</v>
      </c>
      <c r="C22" s="28">
        <f t="shared" ref="C22:E22" si="4">C14+C17</f>
        <v>3570</v>
      </c>
      <c r="D22" s="28">
        <f t="shared" si="4"/>
        <v>14080</v>
      </c>
      <c r="E22" s="28">
        <f t="shared" si="4"/>
        <v>11470</v>
      </c>
      <c r="F22"/>
      <c r="G22" s="9"/>
      <c r="H22"/>
      <c r="I22"/>
      <c r="J22"/>
      <c r="K22"/>
      <c r="L22"/>
      <c r="M22"/>
      <c r="N22" s="10"/>
    </row>
    <row r="23" spans="1:14" x14ac:dyDescent="0.4">
      <c r="A23" s="24" t="s">
        <v>76</v>
      </c>
      <c r="B23" s="26">
        <v>100</v>
      </c>
      <c r="C23" s="26">
        <v>-1190</v>
      </c>
      <c r="D23" s="26">
        <v>-1650</v>
      </c>
      <c r="E23" s="26">
        <v>-3100</v>
      </c>
      <c r="F23"/>
      <c r="G23" s="9"/>
      <c r="H23"/>
      <c r="I23"/>
      <c r="J23"/>
      <c r="K23"/>
      <c r="L23"/>
      <c r="M23"/>
      <c r="N23" s="10"/>
    </row>
    <row r="24" spans="1:14" x14ac:dyDescent="0.4">
      <c r="A24" s="27" t="s">
        <v>77</v>
      </c>
      <c r="B24" s="28">
        <f>B22+B23</f>
        <v>3490</v>
      </c>
      <c r="C24" s="28">
        <f t="shared" ref="C24:E24" si="5">C22+C23</f>
        <v>2380</v>
      </c>
      <c r="D24" s="28">
        <f t="shared" si="5"/>
        <v>12430</v>
      </c>
      <c r="E24" s="28">
        <f t="shared" si="5"/>
        <v>8370</v>
      </c>
      <c r="F24"/>
      <c r="G24" s="9"/>
      <c r="H24"/>
      <c r="I24"/>
      <c r="J24"/>
      <c r="K24"/>
      <c r="L24"/>
      <c r="M24"/>
      <c r="N24" s="10"/>
    </row>
    <row r="25" spans="1:14" x14ac:dyDescent="0.4">
      <c r="A25" s="24" t="s">
        <v>78</v>
      </c>
      <c r="B25" s="26">
        <v>0</v>
      </c>
      <c r="C25" s="26">
        <v>0</v>
      </c>
      <c r="D25" s="26">
        <v>0</v>
      </c>
      <c r="E25" s="26">
        <v>0</v>
      </c>
      <c r="F25"/>
      <c r="G25" s="9"/>
      <c r="H25"/>
      <c r="I25"/>
      <c r="J25"/>
      <c r="K25"/>
      <c r="L25"/>
      <c r="M25"/>
      <c r="N25" s="10"/>
    </row>
    <row r="26" spans="1:14" x14ac:dyDescent="0.4">
      <c r="A26" s="27" t="s">
        <v>79</v>
      </c>
      <c r="B26" s="28">
        <f>B24+B25</f>
        <v>3490</v>
      </c>
      <c r="C26" s="28">
        <f t="shared" ref="C26:E26" si="6">C24+C25</f>
        <v>2380</v>
      </c>
      <c r="D26" s="28">
        <f t="shared" si="6"/>
        <v>12430</v>
      </c>
      <c r="E26" s="28">
        <f t="shared" si="6"/>
        <v>8370</v>
      </c>
      <c r="F26"/>
      <c r="G26" s="9"/>
      <c r="H26"/>
      <c r="I26"/>
      <c r="J26"/>
      <c r="K26"/>
      <c r="L26"/>
      <c r="M26"/>
      <c r="N26" s="10"/>
    </row>
    <row r="27" spans="1:14" x14ac:dyDescent="0.4">
      <c r="A27" s="24" t="s">
        <v>80</v>
      </c>
      <c r="B27" s="26">
        <v>-410</v>
      </c>
      <c r="C27" s="26">
        <v>-140</v>
      </c>
      <c r="D27" s="26">
        <v>-120</v>
      </c>
      <c r="E27" s="26">
        <v>3000</v>
      </c>
      <c r="F27"/>
      <c r="G27" s="9"/>
      <c r="H27"/>
      <c r="I27"/>
      <c r="J27"/>
      <c r="K27"/>
      <c r="L27"/>
      <c r="M27"/>
      <c r="N27" s="10"/>
    </row>
    <row r="28" spans="1:14" x14ac:dyDescent="0.4">
      <c r="A28" s="27" t="s">
        <v>81</v>
      </c>
      <c r="B28" s="28">
        <f>B26+B27</f>
        <v>3080</v>
      </c>
      <c r="C28" s="28">
        <f t="shared" ref="C28:E28" si="7">C26+C27</f>
        <v>2240</v>
      </c>
      <c r="D28" s="28">
        <f t="shared" si="7"/>
        <v>12310</v>
      </c>
      <c r="E28" s="28">
        <f t="shared" si="7"/>
        <v>11370</v>
      </c>
      <c r="F28"/>
      <c r="G28" s="9"/>
      <c r="H28"/>
      <c r="I28"/>
      <c r="J28"/>
      <c r="K28"/>
      <c r="L28"/>
      <c r="M28"/>
      <c r="N28" s="10"/>
    </row>
    <row r="29" spans="1:14" x14ac:dyDescent="0.4">
      <c r="A29" s="24" t="s">
        <v>82</v>
      </c>
      <c r="B29" s="26">
        <v>0</v>
      </c>
      <c r="C29" s="26">
        <v>0</v>
      </c>
      <c r="D29" s="26">
        <v>0</v>
      </c>
      <c r="E29" s="26">
        <v>0</v>
      </c>
      <c r="F29"/>
      <c r="G29" s="9"/>
      <c r="H29"/>
      <c r="I29"/>
      <c r="J29"/>
      <c r="K29"/>
      <c r="L29"/>
      <c r="M29"/>
      <c r="N29" s="10"/>
    </row>
    <row r="30" spans="1:14" x14ac:dyDescent="0.4">
      <c r="A30" s="27" t="s">
        <v>83</v>
      </c>
      <c r="B30" s="28">
        <f>B28+B29</f>
        <v>3080</v>
      </c>
      <c r="C30" s="28">
        <f t="shared" ref="C30:E30" si="8">C28+C29</f>
        <v>2240</v>
      </c>
      <c r="D30" s="28">
        <f t="shared" si="8"/>
        <v>12310</v>
      </c>
      <c r="E30" s="28">
        <f t="shared" si="8"/>
        <v>11370</v>
      </c>
      <c r="F30"/>
      <c r="G30" s="9"/>
      <c r="H30"/>
      <c r="I30"/>
      <c r="J30"/>
      <c r="K30"/>
      <c r="L30"/>
      <c r="M30"/>
      <c r="N30" s="10"/>
    </row>
    <row r="31" spans="1:14" x14ac:dyDescent="0.4">
      <c r="A31" s="24" t="s">
        <v>84</v>
      </c>
      <c r="B31" s="26">
        <v>-464</v>
      </c>
      <c r="C31" s="26">
        <v>-464</v>
      </c>
      <c r="D31" s="26">
        <v>-373</v>
      </c>
      <c r="E31" s="26">
        <v>-248</v>
      </c>
      <c r="F31"/>
      <c r="G31" s="9"/>
      <c r="H31"/>
      <c r="I31"/>
      <c r="J31"/>
      <c r="K31"/>
      <c r="L31"/>
      <c r="M31"/>
      <c r="N31" s="10"/>
    </row>
    <row r="32" spans="1:14" x14ac:dyDescent="0.4">
      <c r="A32" s="27" t="s">
        <v>85</v>
      </c>
      <c r="B32" s="28">
        <f>B30+B31</f>
        <v>2616</v>
      </c>
      <c r="C32" s="28">
        <f t="shared" ref="C32:E32" si="9">C30+C31</f>
        <v>1776</v>
      </c>
      <c r="D32" s="28">
        <f t="shared" si="9"/>
        <v>11937</v>
      </c>
      <c r="E32" s="28">
        <f t="shared" si="9"/>
        <v>11122</v>
      </c>
      <c r="F32"/>
      <c r="G32" s="9"/>
      <c r="H32"/>
      <c r="I32"/>
      <c r="J32"/>
      <c r="K32"/>
      <c r="L32"/>
      <c r="M32"/>
      <c r="N32" s="10"/>
    </row>
    <row r="33" spans="1:14" x14ac:dyDescent="0.4">
      <c r="A33" s="27" t="s">
        <v>86</v>
      </c>
      <c r="B33" s="28">
        <f>B30</f>
        <v>3080</v>
      </c>
      <c r="C33" s="28">
        <f t="shared" ref="C33:E33" si="10">C30</f>
        <v>2240</v>
      </c>
      <c r="D33" s="28">
        <f t="shared" si="10"/>
        <v>12310</v>
      </c>
      <c r="E33" s="28">
        <f t="shared" si="10"/>
        <v>11370</v>
      </c>
      <c r="F33"/>
      <c r="G33" s="9"/>
      <c r="H33"/>
      <c r="I33"/>
      <c r="J33"/>
      <c r="K33"/>
      <c r="L33"/>
      <c r="M33"/>
      <c r="N33" s="10"/>
    </row>
    <row r="34" spans="1:14" x14ac:dyDescent="0.4">
      <c r="A34" s="24" t="s">
        <v>87</v>
      </c>
      <c r="B34" s="26">
        <v>16</v>
      </c>
      <c r="C34" s="26">
        <v>11.6</v>
      </c>
      <c r="D34" s="26">
        <v>65.900000000000006</v>
      </c>
      <c r="E34" s="26">
        <v>60.9</v>
      </c>
      <c r="F34"/>
      <c r="G34" s="9"/>
      <c r="H34"/>
      <c r="I34"/>
      <c r="J34"/>
      <c r="K34"/>
      <c r="L34"/>
      <c r="M34"/>
      <c r="N34" s="10"/>
    </row>
    <row r="35" spans="1:14" x14ac:dyDescent="0.4">
      <c r="A35" s="24" t="s">
        <v>182</v>
      </c>
      <c r="B35" s="26">
        <v>16</v>
      </c>
      <c r="C35" s="26">
        <v>11.6</v>
      </c>
      <c r="D35" s="26">
        <v>65.900000000000006</v>
      </c>
      <c r="E35" s="26">
        <v>60.9</v>
      </c>
      <c r="F35"/>
      <c r="G35" s="9"/>
      <c r="H35"/>
      <c r="I35"/>
      <c r="J35"/>
      <c r="K35"/>
      <c r="L35"/>
      <c r="M35"/>
      <c r="N35" s="10"/>
    </row>
    <row r="36" spans="1:14" x14ac:dyDescent="0.4">
      <c r="A36" s="24" t="s">
        <v>88</v>
      </c>
      <c r="B36" s="26">
        <v>16</v>
      </c>
      <c r="C36" s="26">
        <v>11.6</v>
      </c>
      <c r="D36" s="26">
        <v>65.900000000000006</v>
      </c>
      <c r="E36" s="26">
        <v>60.9</v>
      </c>
      <c r="F36"/>
      <c r="G36" s="9"/>
      <c r="H36"/>
      <c r="I36"/>
      <c r="J36"/>
      <c r="K36"/>
      <c r="L36"/>
      <c r="M36"/>
      <c r="N36" s="10"/>
    </row>
    <row r="37" spans="1:14" x14ac:dyDescent="0.4">
      <c r="A37" s="24" t="s">
        <v>89</v>
      </c>
      <c r="B37" s="26">
        <v>2</v>
      </c>
      <c r="C37" s="26">
        <v>2</v>
      </c>
      <c r="D37" s="26">
        <v>1.3</v>
      </c>
      <c r="E37" s="26">
        <v>9</v>
      </c>
      <c r="F37"/>
      <c r="G37" s="11"/>
      <c r="H37" s="12"/>
      <c r="I37" s="12"/>
      <c r="J37" s="12"/>
      <c r="K37" s="12"/>
      <c r="L37" s="12"/>
      <c r="M37" s="12"/>
      <c r="N37" s="13"/>
    </row>
    <row r="38" spans="1:14" x14ac:dyDescent="0.4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4">
      <c r="A39" s="118" t="s">
        <v>91</v>
      </c>
      <c r="B39" s="118"/>
      <c r="C39" s="118"/>
      <c r="D39" s="118"/>
      <c r="E39" s="118"/>
      <c r="F39"/>
      <c r="G39" s="119" t="s">
        <v>92</v>
      </c>
      <c r="H39" s="120"/>
      <c r="I39" s="120"/>
      <c r="J39" s="120"/>
      <c r="K39" s="120"/>
      <c r="L39" s="120"/>
      <c r="M39" s="120"/>
      <c r="N39" s="121"/>
    </row>
    <row r="40" spans="1:14" x14ac:dyDescent="0.4">
      <c r="A40" s="24" t="s">
        <v>93</v>
      </c>
      <c r="B40" s="26">
        <v>16360</v>
      </c>
      <c r="C40" s="26">
        <v>22470</v>
      </c>
      <c r="D40" s="26">
        <v>15290</v>
      </c>
      <c r="E40" s="26">
        <v>15680</v>
      </c>
      <c r="F40"/>
      <c r="G40" s="122"/>
      <c r="H40" s="123"/>
      <c r="I40" s="123"/>
      <c r="J40" s="123"/>
      <c r="K40" s="123"/>
      <c r="L40" s="123"/>
      <c r="M40" s="123"/>
      <c r="N40" s="124"/>
    </row>
    <row r="41" spans="1:14" x14ac:dyDescent="0.4">
      <c r="A41" s="24" t="s">
        <v>94</v>
      </c>
      <c r="B41" s="26">
        <v>5490</v>
      </c>
      <c r="C41" s="26">
        <v>3970</v>
      </c>
      <c r="D41" s="26">
        <v>6880</v>
      </c>
      <c r="E41" s="26">
        <v>6730</v>
      </c>
      <c r="F41"/>
      <c r="G41" s="6"/>
      <c r="H41" s="7"/>
      <c r="I41" s="7"/>
      <c r="J41" s="7"/>
      <c r="K41" s="7"/>
      <c r="L41" s="7"/>
      <c r="M41" s="7"/>
      <c r="N41" s="8"/>
    </row>
    <row r="42" spans="1:14" x14ac:dyDescent="0.4">
      <c r="A42" s="24" t="s">
        <v>95</v>
      </c>
      <c r="B42" s="26">
        <v>10320</v>
      </c>
      <c r="C42" s="26">
        <v>9740</v>
      </c>
      <c r="D42" s="26">
        <v>9240</v>
      </c>
      <c r="E42" s="26">
        <v>9450</v>
      </c>
      <c r="F42"/>
      <c r="G42" s="9"/>
      <c r="H42"/>
      <c r="I42"/>
      <c r="J42"/>
      <c r="K42"/>
      <c r="L42"/>
      <c r="M42"/>
      <c r="N42" s="10"/>
    </row>
    <row r="43" spans="1:14" x14ac:dyDescent="0.4">
      <c r="A43" s="24" t="s">
        <v>96</v>
      </c>
      <c r="B43" s="26">
        <v>19710</v>
      </c>
      <c r="C43" s="26">
        <v>17260</v>
      </c>
      <c r="D43" s="26">
        <v>17220</v>
      </c>
      <c r="E43" s="26">
        <v>23340</v>
      </c>
      <c r="F43"/>
      <c r="G43" s="9"/>
      <c r="H43"/>
      <c r="I43"/>
      <c r="J43"/>
      <c r="K43"/>
      <c r="L43"/>
      <c r="M43"/>
      <c r="N43" s="10"/>
    </row>
    <row r="44" spans="1:14" x14ac:dyDescent="0.4">
      <c r="A44" s="27" t="s">
        <v>97</v>
      </c>
      <c r="B44" s="28">
        <f>SUM(B40:B43)</f>
        <v>51880</v>
      </c>
      <c r="C44" s="28">
        <f t="shared" ref="C44:E44" si="11">SUM(C40:C43)</f>
        <v>53440</v>
      </c>
      <c r="D44" s="28">
        <f t="shared" si="11"/>
        <v>48630</v>
      </c>
      <c r="E44" s="28">
        <f t="shared" si="11"/>
        <v>55200</v>
      </c>
      <c r="F44"/>
      <c r="G44" s="9"/>
      <c r="H44"/>
      <c r="I44"/>
      <c r="J44"/>
      <c r="K44"/>
      <c r="L44"/>
      <c r="M44"/>
      <c r="N44" s="10"/>
    </row>
    <row r="45" spans="1:14" x14ac:dyDescent="0.4">
      <c r="A45" s="24" t="s">
        <v>98</v>
      </c>
      <c r="B45" s="26">
        <v>95870</v>
      </c>
      <c r="C45" s="26">
        <v>102890</v>
      </c>
      <c r="D45" s="26">
        <v>110570</v>
      </c>
      <c r="E45" s="26">
        <v>116800</v>
      </c>
      <c r="F45"/>
      <c r="G45" s="9"/>
      <c r="H45"/>
      <c r="I45"/>
      <c r="J45"/>
      <c r="K45"/>
      <c r="L45"/>
      <c r="M45"/>
      <c r="N45" s="10"/>
    </row>
    <row r="46" spans="1:14" x14ac:dyDescent="0.4">
      <c r="A46" s="24" t="s">
        <v>99</v>
      </c>
      <c r="B46" s="26">
        <v>12570</v>
      </c>
      <c r="C46" s="26">
        <v>9720</v>
      </c>
      <c r="D46" s="26">
        <v>21970</v>
      </c>
      <c r="E46" s="26">
        <v>42970</v>
      </c>
      <c r="F46"/>
      <c r="G46" s="9"/>
      <c r="H46"/>
      <c r="I46"/>
      <c r="J46"/>
      <c r="K46"/>
      <c r="L46"/>
      <c r="M46"/>
      <c r="N46" s="10"/>
    </row>
    <row r="47" spans="1:14" x14ac:dyDescent="0.4">
      <c r="A47" s="24" t="s">
        <v>100</v>
      </c>
      <c r="B47" s="26">
        <v>16200</v>
      </c>
      <c r="C47" s="26">
        <v>12180</v>
      </c>
      <c r="D47" s="26">
        <v>10110</v>
      </c>
      <c r="E47" s="26">
        <v>8070</v>
      </c>
      <c r="F47"/>
      <c r="G47" s="9"/>
      <c r="H47"/>
      <c r="I47"/>
      <c r="J47"/>
      <c r="K47"/>
      <c r="L47"/>
      <c r="M47"/>
      <c r="N47" s="10"/>
    </row>
    <row r="48" spans="1:14" x14ac:dyDescent="0.4">
      <c r="A48" s="24" t="s">
        <v>101</v>
      </c>
      <c r="B48" s="26">
        <v>28860</v>
      </c>
      <c r="C48" s="26">
        <v>27880</v>
      </c>
      <c r="D48" s="26">
        <v>26820</v>
      </c>
      <c r="E48" s="26">
        <v>25670</v>
      </c>
      <c r="F48"/>
      <c r="G48" s="9"/>
      <c r="H48"/>
      <c r="I48"/>
      <c r="J48"/>
      <c r="K48"/>
      <c r="L48"/>
      <c r="M48"/>
      <c r="N48" s="10"/>
    </row>
    <row r="49" spans="1:14" x14ac:dyDescent="0.4">
      <c r="A49" s="24" t="s">
        <v>102</v>
      </c>
      <c r="B49" s="26">
        <v>0</v>
      </c>
      <c r="C49" s="26">
        <v>0</v>
      </c>
      <c r="D49" s="26">
        <v>0</v>
      </c>
      <c r="E49" s="26">
        <v>0</v>
      </c>
      <c r="F49"/>
      <c r="G49" s="9"/>
      <c r="H49"/>
      <c r="I49"/>
      <c r="J49"/>
      <c r="K49"/>
      <c r="L49"/>
      <c r="M49"/>
      <c r="N49" s="10"/>
    </row>
    <row r="50" spans="1:14" x14ac:dyDescent="0.4">
      <c r="A50" s="27" t="s">
        <v>104</v>
      </c>
      <c r="B50" s="28">
        <f>SUM(B45:B49)</f>
        <v>153500</v>
      </c>
      <c r="C50" s="28">
        <f t="shared" ref="C50:E50" si="12">SUM(C45:C49)</f>
        <v>152670</v>
      </c>
      <c r="D50" s="28">
        <f t="shared" si="12"/>
        <v>169470</v>
      </c>
      <c r="E50" s="28">
        <f t="shared" si="12"/>
        <v>193510</v>
      </c>
      <c r="F50"/>
      <c r="G50" s="9"/>
      <c r="H50"/>
      <c r="I50"/>
      <c r="J50"/>
      <c r="K50"/>
      <c r="L50"/>
      <c r="M50"/>
      <c r="N50" s="10"/>
    </row>
    <row r="51" spans="1:14" x14ac:dyDescent="0.4">
      <c r="A51" s="27" t="s">
        <v>103</v>
      </c>
      <c r="B51" s="28">
        <f>B44+B50</f>
        <v>205380</v>
      </c>
      <c r="C51" s="28">
        <f t="shared" ref="C51:E51" si="13">C44+C50</f>
        <v>206110</v>
      </c>
      <c r="D51" s="28">
        <f t="shared" si="13"/>
        <v>218100</v>
      </c>
      <c r="E51" s="28">
        <f t="shared" si="13"/>
        <v>248710</v>
      </c>
      <c r="F51"/>
      <c r="G51" s="9"/>
      <c r="H51"/>
      <c r="I51"/>
      <c r="J51"/>
      <c r="K51"/>
      <c r="L51"/>
      <c r="M51"/>
      <c r="N51" s="10"/>
    </row>
    <row r="52" spans="1:14" x14ac:dyDescent="0.4">
      <c r="A52" s="24" t="s">
        <v>105</v>
      </c>
      <c r="B52" s="26">
        <v>18630</v>
      </c>
      <c r="C52" s="26">
        <v>24450</v>
      </c>
      <c r="D52" s="26">
        <v>16350</v>
      </c>
      <c r="E52" s="26">
        <v>11970</v>
      </c>
      <c r="F52"/>
      <c r="G52" s="9"/>
      <c r="H52"/>
      <c r="I52"/>
      <c r="J52"/>
      <c r="K52"/>
      <c r="L52"/>
      <c r="M52"/>
      <c r="N52" s="10"/>
    </row>
    <row r="53" spans="1:14" x14ac:dyDescent="0.4">
      <c r="A53" s="24" t="s">
        <v>106</v>
      </c>
      <c r="B53" s="26">
        <v>8770</v>
      </c>
      <c r="C53" s="26">
        <v>8290</v>
      </c>
      <c r="D53" s="26">
        <v>10510</v>
      </c>
      <c r="E53" s="26">
        <v>8500</v>
      </c>
      <c r="F53"/>
      <c r="G53" s="9"/>
      <c r="H53"/>
      <c r="I53"/>
      <c r="J53"/>
      <c r="K53"/>
      <c r="L53"/>
      <c r="M53"/>
      <c r="N53" s="10"/>
    </row>
    <row r="54" spans="1:14" x14ac:dyDescent="0.4">
      <c r="A54" s="24" t="s">
        <v>107</v>
      </c>
      <c r="B54" s="26">
        <v>0</v>
      </c>
      <c r="C54" s="26">
        <v>0</v>
      </c>
      <c r="D54" s="26">
        <v>0</v>
      </c>
      <c r="E54" s="26">
        <v>0</v>
      </c>
      <c r="F54"/>
      <c r="G54" s="9"/>
      <c r="H54"/>
      <c r="I54"/>
      <c r="J54"/>
      <c r="K54"/>
      <c r="L54"/>
      <c r="M54"/>
      <c r="N54" s="10"/>
    </row>
    <row r="55" spans="1:14" x14ac:dyDescent="0.4">
      <c r="A55" s="24" t="s">
        <v>108</v>
      </c>
      <c r="B55" s="26">
        <v>1300</v>
      </c>
      <c r="C55" s="26">
        <v>1020</v>
      </c>
      <c r="D55" s="26">
        <v>1435</v>
      </c>
      <c r="E55" s="26">
        <v>1330</v>
      </c>
      <c r="F55"/>
      <c r="G55" s="9"/>
      <c r="H55"/>
      <c r="I55"/>
      <c r="J55"/>
      <c r="K55"/>
      <c r="L55"/>
      <c r="M55"/>
      <c r="N55" s="10"/>
    </row>
    <row r="56" spans="1:14" x14ac:dyDescent="0.4">
      <c r="A56" s="24" t="s">
        <v>109</v>
      </c>
      <c r="B56" s="26">
        <v>15950</v>
      </c>
      <c r="C56" s="26">
        <v>17270</v>
      </c>
      <c r="D56" s="26">
        <v>24705</v>
      </c>
      <c r="E56" s="26">
        <v>28510</v>
      </c>
      <c r="F56"/>
      <c r="G56" s="9"/>
      <c r="H56"/>
      <c r="I56"/>
      <c r="J56"/>
      <c r="K56"/>
      <c r="L56"/>
      <c r="M56"/>
      <c r="N56" s="10"/>
    </row>
    <row r="57" spans="1:14" x14ac:dyDescent="0.4">
      <c r="A57" s="27" t="s">
        <v>110</v>
      </c>
      <c r="B57" s="28">
        <f>SUM(B52:B56)</f>
        <v>44650</v>
      </c>
      <c r="C57" s="28">
        <f t="shared" ref="C57:E57" si="14">SUM(C52:C56)</f>
        <v>51030</v>
      </c>
      <c r="D57" s="28">
        <f t="shared" si="14"/>
        <v>53000</v>
      </c>
      <c r="E57" s="28">
        <f t="shared" si="14"/>
        <v>50310</v>
      </c>
      <c r="F57"/>
      <c r="G57" s="9"/>
      <c r="H57"/>
      <c r="I57"/>
      <c r="J57"/>
      <c r="K57"/>
      <c r="L57"/>
      <c r="M57"/>
      <c r="N57" s="10"/>
    </row>
    <row r="58" spans="1:14" x14ac:dyDescent="0.4">
      <c r="A58" s="24" t="s">
        <v>111</v>
      </c>
      <c r="B58" s="26">
        <v>41440</v>
      </c>
      <c r="C58" s="26">
        <v>36450</v>
      </c>
      <c r="D58" s="26">
        <v>22130</v>
      </c>
      <c r="E58" s="26">
        <v>20470</v>
      </c>
      <c r="F58"/>
      <c r="G58" s="9"/>
      <c r="H58"/>
      <c r="I58"/>
      <c r="J58"/>
      <c r="K58"/>
      <c r="L58"/>
      <c r="M58"/>
      <c r="N58" s="10"/>
    </row>
    <row r="59" spans="1:14" x14ac:dyDescent="0.4">
      <c r="A59" s="24" t="s">
        <v>112</v>
      </c>
      <c r="B59" s="26">
        <v>0</v>
      </c>
      <c r="C59" s="26">
        <v>0</v>
      </c>
      <c r="D59" s="26">
        <v>0</v>
      </c>
      <c r="E59" s="26">
        <v>0</v>
      </c>
      <c r="F59"/>
      <c r="G59" s="9"/>
      <c r="H59"/>
      <c r="I59"/>
      <c r="J59"/>
      <c r="K59"/>
      <c r="L59"/>
      <c r="M59"/>
      <c r="N59" s="10"/>
    </row>
    <row r="60" spans="1:14" x14ac:dyDescent="0.4">
      <c r="A60" s="24" t="s">
        <v>113</v>
      </c>
      <c r="B60" s="26">
        <v>12790</v>
      </c>
      <c r="C60" s="26">
        <v>12770</v>
      </c>
      <c r="D60" s="26">
        <v>16340</v>
      </c>
      <c r="E60" s="26">
        <v>20340</v>
      </c>
      <c r="F60"/>
      <c r="G60" s="9"/>
      <c r="H60"/>
      <c r="I60"/>
      <c r="J60"/>
      <c r="K60"/>
      <c r="L60"/>
      <c r="M60"/>
      <c r="N60" s="10"/>
    </row>
    <row r="61" spans="1:14" x14ac:dyDescent="0.4">
      <c r="A61" s="27" t="s">
        <v>114</v>
      </c>
      <c r="B61" s="28">
        <f>SUM(B58:B60)</f>
        <v>54230</v>
      </c>
      <c r="C61" s="28">
        <f t="shared" ref="C61:E61" si="15">SUM(C58:C60)</f>
        <v>49220</v>
      </c>
      <c r="D61" s="28">
        <f t="shared" si="15"/>
        <v>38470</v>
      </c>
      <c r="E61" s="28">
        <f t="shared" si="15"/>
        <v>40810</v>
      </c>
      <c r="F61"/>
      <c r="G61" s="9"/>
      <c r="H61"/>
      <c r="I61"/>
      <c r="J61"/>
      <c r="K61"/>
      <c r="L61"/>
      <c r="M61"/>
      <c r="N61" s="10"/>
    </row>
    <row r="62" spans="1:14" x14ac:dyDescent="0.4">
      <c r="A62" s="27" t="s">
        <v>115</v>
      </c>
      <c r="B62" s="28">
        <f>B57+B61</f>
        <v>98880</v>
      </c>
      <c r="C62" s="28">
        <f t="shared" ref="C62:E62" si="16">C57+C61</f>
        <v>100250</v>
      </c>
      <c r="D62" s="28">
        <f t="shared" si="16"/>
        <v>91470</v>
      </c>
      <c r="E62" s="28">
        <f t="shared" si="16"/>
        <v>91120</v>
      </c>
      <c r="F62"/>
      <c r="G62" s="9"/>
      <c r="H62"/>
      <c r="I62"/>
      <c r="J62"/>
      <c r="K62"/>
      <c r="L62"/>
      <c r="M62"/>
      <c r="N62" s="10"/>
    </row>
    <row r="63" spans="1:14" x14ac:dyDescent="0.4">
      <c r="A63" s="24" t="s">
        <v>116</v>
      </c>
      <c r="B63" s="26">
        <v>390</v>
      </c>
      <c r="C63" s="26">
        <v>390</v>
      </c>
      <c r="D63" s="26">
        <v>374</v>
      </c>
      <c r="E63" s="26">
        <v>374</v>
      </c>
      <c r="F63"/>
      <c r="G63" s="9"/>
      <c r="H63"/>
      <c r="I63"/>
      <c r="J63"/>
      <c r="K63"/>
      <c r="L63"/>
      <c r="M63"/>
      <c r="N63" s="10"/>
    </row>
    <row r="64" spans="1:14" x14ac:dyDescent="0.4">
      <c r="A64" s="24" t="s">
        <v>117</v>
      </c>
      <c r="B64" s="26">
        <v>106000</v>
      </c>
      <c r="C64" s="26">
        <v>105220</v>
      </c>
      <c r="D64" s="26">
        <v>125886</v>
      </c>
      <c r="E64" s="26">
        <v>156496</v>
      </c>
      <c r="F64"/>
      <c r="G64" s="9"/>
      <c r="H64"/>
      <c r="I64"/>
      <c r="J64"/>
      <c r="K64"/>
      <c r="L64"/>
      <c r="M64"/>
      <c r="N64" s="10"/>
    </row>
    <row r="65" spans="1:14" x14ac:dyDescent="0.4">
      <c r="A65" s="24" t="s">
        <v>118</v>
      </c>
      <c r="B65" s="26">
        <v>0</v>
      </c>
      <c r="C65" s="26">
        <v>0</v>
      </c>
      <c r="D65" s="26">
        <v>0</v>
      </c>
      <c r="E65" s="26">
        <v>0</v>
      </c>
      <c r="F65"/>
      <c r="G65" s="9"/>
      <c r="H65"/>
      <c r="I65"/>
      <c r="J65"/>
      <c r="K65"/>
      <c r="L65"/>
      <c r="M65"/>
      <c r="N65" s="10"/>
    </row>
    <row r="66" spans="1:14" x14ac:dyDescent="0.4">
      <c r="A66" s="27" t="s">
        <v>119</v>
      </c>
      <c r="B66" s="28">
        <f>SUM(B63:B65)</f>
        <v>106390</v>
      </c>
      <c r="C66" s="28">
        <f t="shared" ref="C66:E66" si="17">SUM(C63:C65)</f>
        <v>105610</v>
      </c>
      <c r="D66" s="28">
        <f t="shared" si="17"/>
        <v>126260</v>
      </c>
      <c r="E66" s="28">
        <f t="shared" si="17"/>
        <v>156870</v>
      </c>
      <c r="F66"/>
      <c r="G66" s="9"/>
      <c r="H66"/>
      <c r="I66"/>
      <c r="J66"/>
      <c r="K66"/>
      <c r="L66"/>
      <c r="M66"/>
      <c r="N66" s="10"/>
    </row>
    <row r="67" spans="1:14" x14ac:dyDescent="0.4">
      <c r="A67" s="24" t="s">
        <v>120</v>
      </c>
      <c r="B67" s="26">
        <v>110</v>
      </c>
      <c r="C67" s="26">
        <v>250</v>
      </c>
      <c r="D67" s="26">
        <v>370</v>
      </c>
      <c r="E67" s="26">
        <v>720</v>
      </c>
      <c r="F67"/>
      <c r="G67" s="9"/>
      <c r="H67"/>
      <c r="I67"/>
      <c r="J67"/>
      <c r="K67"/>
      <c r="L67"/>
      <c r="M67"/>
      <c r="N67" s="10"/>
    </row>
    <row r="68" spans="1:14" x14ac:dyDescent="0.4">
      <c r="A68" s="27" t="s">
        <v>121</v>
      </c>
      <c r="B68" s="28">
        <f>B66+B67</f>
        <v>106500</v>
      </c>
      <c r="C68" s="28">
        <f t="shared" ref="C68:E68" si="18">C66+C67</f>
        <v>105860</v>
      </c>
      <c r="D68" s="28">
        <f t="shared" si="18"/>
        <v>126630</v>
      </c>
      <c r="E68" s="28">
        <f t="shared" si="18"/>
        <v>157590</v>
      </c>
      <c r="F68"/>
      <c r="G68" s="9"/>
      <c r="H68"/>
      <c r="I68"/>
      <c r="J68"/>
      <c r="K68"/>
      <c r="L68"/>
      <c r="M68"/>
      <c r="N68" s="10"/>
    </row>
    <row r="69" spans="1:14" x14ac:dyDescent="0.4">
      <c r="A69" s="27" t="s">
        <v>122</v>
      </c>
      <c r="B69" s="28">
        <f>B68+B62</f>
        <v>205380</v>
      </c>
      <c r="C69" s="28">
        <f t="shared" ref="C69:E69" si="19">C68+C62</f>
        <v>206110</v>
      </c>
      <c r="D69" s="28">
        <f t="shared" si="19"/>
        <v>218100</v>
      </c>
      <c r="E69" s="28">
        <f t="shared" si="19"/>
        <v>248710</v>
      </c>
      <c r="F69"/>
      <c r="G69" s="9"/>
      <c r="H69"/>
      <c r="I69"/>
      <c r="J69"/>
      <c r="K69"/>
      <c r="L69"/>
      <c r="M69"/>
      <c r="N69" s="10"/>
    </row>
    <row r="70" spans="1:14" x14ac:dyDescent="0.4">
      <c r="A70" s="24" t="s">
        <v>123</v>
      </c>
      <c r="B70" s="26">
        <v>60070</v>
      </c>
      <c r="C70" s="26">
        <v>60900</v>
      </c>
      <c r="D70" s="26">
        <v>38480</v>
      </c>
      <c r="E70" s="26">
        <v>32440</v>
      </c>
      <c r="F70"/>
      <c r="G70" s="9"/>
      <c r="H70"/>
      <c r="I70"/>
      <c r="J70"/>
      <c r="K70"/>
      <c r="L70"/>
      <c r="M70"/>
      <c r="N70" s="10"/>
    </row>
    <row r="71" spans="1:14" x14ac:dyDescent="0.4">
      <c r="A71" s="24" t="s">
        <v>124</v>
      </c>
      <c r="B71" s="26">
        <v>43710</v>
      </c>
      <c r="C71" s="26">
        <v>38430</v>
      </c>
      <c r="D71" s="26">
        <v>23190</v>
      </c>
      <c r="E71" s="26">
        <v>16760</v>
      </c>
      <c r="F71"/>
      <c r="G71" s="11"/>
      <c r="H71" s="12"/>
      <c r="I71" s="12"/>
      <c r="J71" s="12"/>
      <c r="K71" s="12"/>
      <c r="L71" s="12"/>
      <c r="M71" s="12"/>
      <c r="N71" s="13"/>
    </row>
    <row r="72" spans="1:14" x14ac:dyDescent="0.4">
      <c r="A72" s="24" t="s">
        <v>125</v>
      </c>
      <c r="B72" s="26">
        <v>392914</v>
      </c>
      <c r="C72" s="26">
        <v>379053</v>
      </c>
      <c r="D72" s="26">
        <v>347416</v>
      </c>
      <c r="E72" s="26">
        <v>319356</v>
      </c>
      <c r="F72"/>
      <c r="G72"/>
      <c r="H72"/>
      <c r="I72"/>
      <c r="J72"/>
      <c r="K72"/>
      <c r="L72"/>
      <c r="M72"/>
      <c r="N72"/>
    </row>
    <row r="73" spans="1:14" x14ac:dyDescent="0.4">
      <c r="A73" s="24" t="s">
        <v>126</v>
      </c>
      <c r="B73" s="26">
        <v>552</v>
      </c>
      <c r="C73" s="26">
        <v>574.29999999999995</v>
      </c>
      <c r="D73" s="26">
        <v>676.3</v>
      </c>
      <c r="E73" s="26">
        <v>840.2</v>
      </c>
      <c r="F73"/>
      <c r="G73"/>
      <c r="H73"/>
      <c r="I73"/>
      <c r="J73"/>
      <c r="K73"/>
      <c r="L73"/>
      <c r="M73"/>
      <c r="N73"/>
    </row>
    <row r="74" spans="1:14" x14ac:dyDescent="0.4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5">
    <mergeCell ref="A3:E3"/>
    <mergeCell ref="G3:N4"/>
    <mergeCell ref="A39:E39"/>
    <mergeCell ref="G39:N40"/>
    <mergeCell ref="A1:N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B0E4-FEE1-4871-8896-C95041206C4E}">
  <sheetPr>
    <tabColor theme="7" tint="-0.249977111117893"/>
  </sheetPr>
  <dimension ref="A1:N47"/>
  <sheetViews>
    <sheetView showGridLines="0" workbookViewId="0">
      <pane ySplit="1" topLeftCell="A2" activePane="bottomLeft" state="frozen"/>
      <selection pane="bottomLeft" activeCell="O1" sqref="O1"/>
    </sheetView>
  </sheetViews>
  <sheetFormatPr defaultRowHeight="13.15" x14ac:dyDescent="0.4"/>
  <cols>
    <col min="1" max="1" width="11.0703125" style="34" bestFit="1" customWidth="1"/>
    <col min="2" max="2" width="9.140625" style="34"/>
    <col min="3" max="3" width="10.78515625" style="34" customWidth="1"/>
    <col min="4" max="16384" width="9.140625" style="34"/>
  </cols>
  <sheetData>
    <row r="1" spans="1:14" ht="22.5" x14ac:dyDescent="0.6">
      <c r="A1" s="129" t="s">
        <v>189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14" x14ac:dyDescent="0.4">
      <c r="A2" s="9"/>
      <c r="B2"/>
      <c r="C2"/>
      <c r="D2"/>
      <c r="E2"/>
      <c r="F2"/>
      <c r="G2"/>
      <c r="H2"/>
      <c r="I2"/>
      <c r="J2"/>
      <c r="K2"/>
      <c r="L2"/>
      <c r="M2"/>
      <c r="N2" s="10"/>
    </row>
    <row r="3" spans="1:14" x14ac:dyDescent="0.4">
      <c r="A3" s="126" t="s">
        <v>205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8"/>
    </row>
    <row r="4" spans="1:14" x14ac:dyDescent="0.4">
      <c r="A4" s="54" t="s">
        <v>206</v>
      </c>
      <c r="B4"/>
      <c r="C4"/>
      <c r="D4"/>
      <c r="E4"/>
      <c r="F4"/>
      <c r="G4"/>
      <c r="H4"/>
      <c r="I4"/>
      <c r="J4"/>
      <c r="K4"/>
      <c r="L4"/>
      <c r="M4"/>
      <c r="N4" s="10"/>
    </row>
    <row r="5" spans="1:14" x14ac:dyDescent="0.4">
      <c r="A5" s="58" t="s">
        <v>207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x14ac:dyDescent="0.4">
      <c r="A6" s="9"/>
      <c r="B6"/>
      <c r="C6"/>
      <c r="D6"/>
      <c r="E6"/>
      <c r="F6"/>
      <c r="G6"/>
      <c r="H6"/>
      <c r="I6"/>
      <c r="J6"/>
      <c r="K6"/>
      <c r="L6"/>
      <c r="M6"/>
      <c r="N6" s="10"/>
    </row>
    <row r="7" spans="1:14" x14ac:dyDescent="0.4">
      <c r="A7" s="126" t="s">
        <v>208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8"/>
    </row>
    <row r="8" spans="1:14" x14ac:dyDescent="0.4">
      <c r="A8" s="54" t="s">
        <v>209</v>
      </c>
      <c r="B8"/>
      <c r="C8"/>
      <c r="D8"/>
      <c r="E8"/>
      <c r="F8"/>
      <c r="G8"/>
      <c r="H8"/>
      <c r="I8"/>
      <c r="J8"/>
      <c r="K8"/>
      <c r="L8"/>
      <c r="M8"/>
      <c r="N8" s="10"/>
    </row>
    <row r="9" spans="1:14" x14ac:dyDescent="0.4">
      <c r="A9" s="58" t="s">
        <v>210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1:14" x14ac:dyDescent="0.4">
      <c r="A10" s="9"/>
      <c r="B10"/>
      <c r="C10"/>
      <c r="D10"/>
      <c r="E10"/>
      <c r="F10"/>
      <c r="G10"/>
      <c r="H10"/>
      <c r="I10"/>
      <c r="J10"/>
      <c r="K10"/>
      <c r="L10"/>
      <c r="M10"/>
      <c r="N10" s="10"/>
    </row>
    <row r="11" spans="1:14" x14ac:dyDescent="0.4">
      <c r="A11" s="126" t="s">
        <v>211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8"/>
    </row>
    <row r="12" spans="1:14" x14ac:dyDescent="0.4">
      <c r="A12" s="54" t="s">
        <v>212</v>
      </c>
      <c r="B12"/>
      <c r="C12"/>
      <c r="D12"/>
      <c r="E12"/>
      <c r="F12"/>
      <c r="G12"/>
      <c r="H12"/>
      <c r="I12"/>
      <c r="J12"/>
      <c r="K12"/>
      <c r="L12"/>
      <c r="M12"/>
      <c r="N12" s="10"/>
    </row>
    <row r="13" spans="1:14" x14ac:dyDescent="0.4">
      <c r="A13" s="58" t="s">
        <v>213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4" x14ac:dyDescent="0.4">
      <c r="A14" s="9"/>
      <c r="B14"/>
      <c r="C14"/>
      <c r="D14"/>
      <c r="E14"/>
      <c r="F14"/>
      <c r="G14"/>
      <c r="H14"/>
      <c r="I14"/>
      <c r="J14"/>
      <c r="K14"/>
      <c r="L14"/>
      <c r="M14"/>
      <c r="N14" s="10"/>
    </row>
    <row r="15" spans="1:14" x14ac:dyDescent="0.4">
      <c r="A15" s="126" t="s">
        <v>214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8"/>
    </row>
    <row r="16" spans="1:14" x14ac:dyDescent="0.4">
      <c r="A16" s="54" t="s">
        <v>215</v>
      </c>
      <c r="B16"/>
      <c r="C16"/>
      <c r="D16"/>
      <c r="E16"/>
      <c r="F16"/>
      <c r="G16"/>
      <c r="H16"/>
      <c r="I16"/>
      <c r="J16"/>
      <c r="K16"/>
      <c r="L16"/>
      <c r="M16"/>
      <c r="N16" s="10"/>
    </row>
    <row r="17" spans="1:14" x14ac:dyDescent="0.4">
      <c r="A17" s="58" t="s">
        <v>216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x14ac:dyDescent="0.4">
      <c r="A18" s="9"/>
      <c r="B18"/>
      <c r="C18"/>
      <c r="D18"/>
      <c r="E18"/>
      <c r="F18"/>
      <c r="G18"/>
      <c r="H18"/>
      <c r="I18"/>
      <c r="J18"/>
      <c r="K18"/>
      <c r="L18"/>
      <c r="M18"/>
      <c r="N18" s="10"/>
    </row>
    <row r="19" spans="1:14" x14ac:dyDescent="0.4">
      <c r="A19" s="126" t="s">
        <v>217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8"/>
    </row>
    <row r="20" spans="1:14" x14ac:dyDescent="0.4">
      <c r="A20" s="44" t="s">
        <v>57</v>
      </c>
      <c r="B20" s="25">
        <v>2019</v>
      </c>
      <c r="C20" s="25">
        <v>2020</v>
      </c>
      <c r="D20" s="25">
        <v>2021</v>
      </c>
      <c r="E20" s="25">
        <v>2022</v>
      </c>
      <c r="F20"/>
      <c r="G20"/>
      <c r="H20"/>
      <c r="I20"/>
      <c r="J20"/>
      <c r="K20"/>
      <c r="L20"/>
      <c r="M20"/>
      <c r="N20" s="10"/>
    </row>
    <row r="21" spans="1:14" x14ac:dyDescent="0.4">
      <c r="A21" s="24" t="s">
        <v>157</v>
      </c>
      <c r="B21" s="64">
        <f>'2. RAW FINANCIALS (CASE)'!B14/'2. RAW FINANCIALS (CASE)'!B5</f>
        <v>6.8114719527625475E-2</v>
      </c>
      <c r="C21" s="64">
        <f>'2. RAW FINANCIALS (CASE)'!C14/'2. RAW FINANCIALS (CASE)'!C5</f>
        <v>6.0327731969523013E-2</v>
      </c>
      <c r="D21" s="64">
        <f>'2. RAW FINANCIALS (CASE)'!D14/'2. RAW FINANCIALS (CASE)'!D5</f>
        <v>0.14455426724957232</v>
      </c>
      <c r="E21" s="64">
        <f>'2. RAW FINANCIALS (CASE)'!E14/'2. RAW FINANCIALS (CASE)'!E5</f>
        <v>0.10535176324650009</v>
      </c>
      <c r="F21"/>
      <c r="G21"/>
      <c r="H21"/>
      <c r="I21"/>
      <c r="J21"/>
      <c r="K21"/>
      <c r="L21"/>
      <c r="M21"/>
      <c r="N21" s="10"/>
    </row>
    <row r="22" spans="1:14" x14ac:dyDescent="0.4">
      <c r="A22" s="9"/>
      <c r="B22"/>
      <c r="C22"/>
      <c r="D22"/>
      <c r="E22" s="10"/>
      <c r="F22"/>
      <c r="G22"/>
      <c r="H22"/>
      <c r="I22"/>
      <c r="J22"/>
      <c r="K22"/>
      <c r="L22"/>
      <c r="M22"/>
      <c r="N22" s="10"/>
    </row>
    <row r="23" spans="1:14" x14ac:dyDescent="0.4">
      <c r="A23" s="11"/>
      <c r="B23" s="66" t="s">
        <v>158</v>
      </c>
      <c r="C23" s="14"/>
      <c r="D23" s="65">
        <f>AVERAGE(B21:E21)</f>
        <v>9.4587120498305227E-2</v>
      </c>
      <c r="E23" s="13"/>
      <c r="F23"/>
      <c r="G23"/>
      <c r="H23"/>
      <c r="I23"/>
      <c r="J23"/>
      <c r="K23"/>
      <c r="L23"/>
      <c r="M23"/>
      <c r="N23" s="10"/>
    </row>
    <row r="24" spans="1:14" x14ac:dyDescent="0.4">
      <c r="A24" s="9"/>
      <c r="B24"/>
      <c r="C24"/>
      <c r="D24"/>
      <c r="E24"/>
      <c r="F24"/>
      <c r="G24"/>
      <c r="H24"/>
      <c r="I24"/>
      <c r="J24"/>
      <c r="K24"/>
      <c r="L24"/>
      <c r="M24"/>
      <c r="N24" s="10"/>
    </row>
    <row r="25" spans="1:14" x14ac:dyDescent="0.4">
      <c r="A25" s="54" t="s">
        <v>218</v>
      </c>
      <c r="B25"/>
      <c r="C25"/>
      <c r="D25"/>
      <c r="E25"/>
      <c r="F25"/>
      <c r="G25"/>
      <c r="H25"/>
      <c r="I25"/>
      <c r="J25"/>
      <c r="K25"/>
      <c r="L25"/>
      <c r="M25"/>
      <c r="N25" s="10"/>
    </row>
    <row r="26" spans="1:14" x14ac:dyDescent="0.4">
      <c r="A26" s="54" t="s">
        <v>219</v>
      </c>
      <c r="B26"/>
      <c r="C26"/>
      <c r="D26"/>
      <c r="E26"/>
      <c r="F26"/>
      <c r="G26"/>
      <c r="H26"/>
      <c r="I26"/>
      <c r="J26"/>
      <c r="K26"/>
      <c r="L26"/>
      <c r="M26"/>
      <c r="N26" s="10"/>
    </row>
    <row r="27" spans="1:14" x14ac:dyDescent="0.4">
      <c r="A27" s="58" t="s">
        <v>220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4" x14ac:dyDescent="0.4">
      <c r="A28" s="9"/>
      <c r="B28"/>
      <c r="C28"/>
      <c r="D28"/>
      <c r="E28"/>
      <c r="F28"/>
      <c r="G28"/>
      <c r="H28"/>
      <c r="I28"/>
      <c r="J28"/>
      <c r="K28"/>
      <c r="L28"/>
      <c r="M28"/>
      <c r="N28" s="10"/>
    </row>
    <row r="29" spans="1:14" x14ac:dyDescent="0.4">
      <c r="A29" s="126" t="s">
        <v>221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</row>
    <row r="30" spans="1:14" x14ac:dyDescent="0.4">
      <c r="A30" s="54" t="s">
        <v>222</v>
      </c>
      <c r="B30"/>
      <c r="C30"/>
      <c r="D30"/>
      <c r="E30"/>
      <c r="F30"/>
      <c r="G30"/>
      <c r="H30"/>
      <c r="I30"/>
      <c r="J30"/>
      <c r="K30"/>
      <c r="L30"/>
      <c r="M30"/>
      <c r="N30" s="10"/>
    </row>
    <row r="31" spans="1:14" x14ac:dyDescent="0.4">
      <c r="A31" s="58" t="s">
        <v>223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spans="1:14" x14ac:dyDescent="0.4">
      <c r="A32" s="9"/>
      <c r="B32"/>
      <c r="C32"/>
      <c r="D32"/>
      <c r="E32"/>
      <c r="F32"/>
      <c r="G32"/>
      <c r="H32"/>
      <c r="I32"/>
      <c r="J32"/>
      <c r="K32"/>
      <c r="L32"/>
      <c r="M32"/>
      <c r="N32" s="10"/>
    </row>
    <row r="33" spans="1:14" x14ac:dyDescent="0.4">
      <c r="A33" s="126" t="s">
        <v>224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8"/>
    </row>
    <row r="34" spans="1:14" x14ac:dyDescent="0.4">
      <c r="A34" s="132" t="s">
        <v>248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4"/>
    </row>
    <row r="35" spans="1:14" x14ac:dyDescent="0.4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7"/>
    </row>
    <row r="36" spans="1:14" x14ac:dyDescent="0.4">
      <c r="A36" s="9"/>
      <c r="B36"/>
      <c r="C36"/>
      <c r="D36"/>
      <c r="E36"/>
      <c r="F36"/>
      <c r="G36"/>
      <c r="H36"/>
      <c r="I36"/>
      <c r="J36"/>
      <c r="K36"/>
      <c r="L36"/>
      <c r="M36"/>
      <c r="N36" s="10"/>
    </row>
    <row r="37" spans="1:14" x14ac:dyDescent="0.4">
      <c r="A37" s="126" t="s">
        <v>225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8"/>
    </row>
    <row r="38" spans="1:14" x14ac:dyDescent="0.4">
      <c r="A38" s="54" t="s">
        <v>226</v>
      </c>
      <c r="B38"/>
      <c r="C38"/>
      <c r="D38"/>
      <c r="E38"/>
      <c r="F38"/>
      <c r="G38"/>
      <c r="H38"/>
      <c r="I38"/>
      <c r="J38"/>
      <c r="K38"/>
      <c r="L38"/>
      <c r="M38"/>
      <c r="N38" s="10"/>
    </row>
    <row r="39" spans="1:14" x14ac:dyDescent="0.4">
      <c r="A39" s="58" t="s">
        <v>227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spans="1:14" x14ac:dyDescent="0.4">
      <c r="A40" s="9"/>
      <c r="B40"/>
      <c r="C40"/>
      <c r="D40"/>
      <c r="E40"/>
      <c r="F40"/>
      <c r="G40"/>
      <c r="H40"/>
      <c r="I40"/>
      <c r="J40"/>
      <c r="K40"/>
      <c r="L40"/>
      <c r="M40"/>
      <c r="N40" s="10"/>
    </row>
    <row r="41" spans="1:14" x14ac:dyDescent="0.4">
      <c r="A41" s="126" t="s">
        <v>228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8"/>
    </row>
    <row r="42" spans="1:14" x14ac:dyDescent="0.4">
      <c r="A42" s="54" t="s">
        <v>229</v>
      </c>
      <c r="B42"/>
      <c r="C42"/>
      <c r="D42"/>
      <c r="E42"/>
      <c r="F42"/>
      <c r="G42"/>
      <c r="H42"/>
      <c r="I42"/>
      <c r="J42"/>
      <c r="K42"/>
      <c r="L42"/>
      <c r="M42"/>
      <c r="N42" s="10"/>
    </row>
    <row r="43" spans="1:14" x14ac:dyDescent="0.4">
      <c r="A43" s="54" t="s">
        <v>230</v>
      </c>
      <c r="B43"/>
      <c r="C43"/>
      <c r="D43"/>
      <c r="E43"/>
      <c r="F43"/>
      <c r="G43"/>
      <c r="H43"/>
      <c r="I43"/>
      <c r="J43"/>
      <c r="K43"/>
      <c r="L43"/>
      <c r="M43"/>
      <c r="N43" s="10"/>
    </row>
    <row r="44" spans="1:14" x14ac:dyDescent="0.4">
      <c r="A44" s="102" t="s">
        <v>231</v>
      </c>
      <c r="B44"/>
      <c r="C44"/>
      <c r="D44"/>
      <c r="E44"/>
      <c r="F44"/>
      <c r="G44"/>
      <c r="H44"/>
      <c r="I44"/>
      <c r="J44"/>
      <c r="K44"/>
      <c r="L44"/>
      <c r="M44"/>
      <c r="N44" s="10"/>
    </row>
    <row r="45" spans="1:14" x14ac:dyDescent="0.4">
      <c r="A45" s="102" t="s">
        <v>232</v>
      </c>
      <c r="B45"/>
      <c r="C45"/>
      <c r="D45"/>
      <c r="E45"/>
      <c r="F45"/>
      <c r="G45"/>
      <c r="H45"/>
      <c r="I45"/>
      <c r="J45"/>
      <c r="K45"/>
      <c r="L45"/>
      <c r="M45"/>
      <c r="N45" s="10"/>
    </row>
    <row r="46" spans="1:14" x14ac:dyDescent="0.4">
      <c r="A46" s="102" t="s">
        <v>233</v>
      </c>
      <c r="B46"/>
      <c r="C46"/>
      <c r="D46"/>
      <c r="E46"/>
      <c r="F46"/>
      <c r="G46"/>
      <c r="H46"/>
      <c r="I46"/>
      <c r="J46"/>
      <c r="K46"/>
      <c r="L46"/>
      <c r="M46"/>
      <c r="N46" s="10"/>
    </row>
    <row r="47" spans="1:14" x14ac:dyDescent="0.4">
      <c r="A47" s="58" t="s">
        <v>234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</row>
  </sheetData>
  <mergeCells count="11">
    <mergeCell ref="A29:N29"/>
    <mergeCell ref="A33:N33"/>
    <mergeCell ref="A37:N37"/>
    <mergeCell ref="A41:N41"/>
    <mergeCell ref="A34:N35"/>
    <mergeCell ref="A19:N19"/>
    <mergeCell ref="A1:N1"/>
    <mergeCell ref="A7:N7"/>
    <mergeCell ref="A3:N3"/>
    <mergeCell ref="A11:N11"/>
    <mergeCell ref="A15:N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3F65-5315-4B97-B38F-9321627ECA5A}">
  <sheetPr>
    <tabColor rgb="FF0070C0"/>
  </sheetPr>
  <dimension ref="A1:AA35"/>
  <sheetViews>
    <sheetView showGridLines="0" zoomScale="70" zoomScaleNormal="70" workbookViewId="0">
      <pane xSplit="10" ySplit="30" topLeftCell="K31" activePane="bottomRight" state="frozen"/>
      <selection pane="topRight" activeCell="K1" sqref="K1"/>
      <selection pane="bottomLeft" activeCell="A31" sqref="A31"/>
      <selection pane="bottomRight" activeCell="K32" sqref="K32"/>
    </sheetView>
  </sheetViews>
  <sheetFormatPr defaultRowHeight="13.15" x14ac:dyDescent="0.4"/>
  <cols>
    <col min="1" max="1" width="30.28515625" style="34" bestFit="1" customWidth="1"/>
    <col min="2" max="2" width="13.7109375" style="34" bestFit="1" customWidth="1"/>
    <col min="3" max="5" width="13.5" style="34" bestFit="1" customWidth="1"/>
    <col min="6" max="6" width="14.640625" style="34" bestFit="1" customWidth="1"/>
    <col min="7" max="7" width="13.5" style="34" bestFit="1" customWidth="1"/>
    <col min="8" max="8" width="14.2109375" style="34" bestFit="1" customWidth="1"/>
    <col min="9" max="9" width="13.5" style="34" bestFit="1" customWidth="1"/>
    <col min="10" max="10" width="14.35546875" style="34" bestFit="1" customWidth="1"/>
    <col min="11" max="27" width="13.5" style="34" bestFit="1" customWidth="1"/>
    <col min="28" max="16384" width="9.140625" style="34"/>
  </cols>
  <sheetData>
    <row r="1" spans="1:27" ht="22.5" x14ac:dyDescent="0.6">
      <c r="A1" s="138" t="s">
        <v>183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spans="1:27" x14ac:dyDescent="0.4">
      <c r="A2" s="81" t="s">
        <v>149</v>
      </c>
      <c r="B2" s="85" t="s">
        <v>147</v>
      </c>
      <c r="C2" s="68" t="s">
        <v>148</v>
      </c>
      <c r="D2" s="68" t="s">
        <v>148</v>
      </c>
      <c r="E2" s="68" t="s">
        <v>148</v>
      </c>
      <c r="F2" s="68" t="s">
        <v>148</v>
      </c>
      <c r="G2" s="68" t="s">
        <v>148</v>
      </c>
      <c r="H2" s="68" t="s">
        <v>148</v>
      </c>
      <c r="I2" s="68" t="s">
        <v>148</v>
      </c>
      <c r="J2" s="68" t="s">
        <v>148</v>
      </c>
      <c r="K2" s="68" t="s">
        <v>148</v>
      </c>
      <c r="L2" s="68" t="s">
        <v>148</v>
      </c>
      <c r="M2" s="68" t="s">
        <v>148</v>
      </c>
      <c r="N2" s="68" t="s">
        <v>148</v>
      </c>
      <c r="O2" s="68" t="s">
        <v>148</v>
      </c>
      <c r="P2" s="68" t="s">
        <v>148</v>
      </c>
      <c r="Q2" s="68" t="s">
        <v>148</v>
      </c>
      <c r="R2" s="68" t="s">
        <v>148</v>
      </c>
      <c r="S2" s="68" t="s">
        <v>148</v>
      </c>
      <c r="T2" s="68" t="s">
        <v>148</v>
      </c>
      <c r="U2" s="68" t="s">
        <v>148</v>
      </c>
      <c r="V2" s="68" t="s">
        <v>148</v>
      </c>
      <c r="W2" s="68" t="s">
        <v>148</v>
      </c>
      <c r="X2" s="68" t="s">
        <v>148</v>
      </c>
      <c r="Y2" s="68" t="s">
        <v>148</v>
      </c>
      <c r="Z2" s="68" t="s">
        <v>148</v>
      </c>
      <c r="AA2" s="68" t="s">
        <v>148</v>
      </c>
    </row>
    <row r="3" spans="1:27" x14ac:dyDescent="0.4">
      <c r="A3" s="47" t="s">
        <v>145</v>
      </c>
      <c r="B3" s="86">
        <v>2022</v>
      </c>
      <c r="C3" s="43">
        <f>B3+1</f>
        <v>2023</v>
      </c>
      <c r="D3" s="43">
        <f t="shared" ref="D3:R3" si="0">C3+1</f>
        <v>2024</v>
      </c>
      <c r="E3" s="43">
        <f t="shared" si="0"/>
        <v>2025</v>
      </c>
      <c r="F3" s="43">
        <f t="shared" si="0"/>
        <v>2026</v>
      </c>
      <c r="G3" s="43">
        <f t="shared" si="0"/>
        <v>2027</v>
      </c>
      <c r="H3" s="43">
        <f t="shared" si="0"/>
        <v>2028</v>
      </c>
      <c r="I3" s="43">
        <f t="shared" si="0"/>
        <v>2029</v>
      </c>
      <c r="J3" s="43">
        <f t="shared" si="0"/>
        <v>2030</v>
      </c>
      <c r="K3" s="43">
        <f t="shared" si="0"/>
        <v>2031</v>
      </c>
      <c r="L3" s="43">
        <f t="shared" si="0"/>
        <v>2032</v>
      </c>
      <c r="M3" s="43">
        <f t="shared" si="0"/>
        <v>2033</v>
      </c>
      <c r="N3" s="43">
        <f t="shared" si="0"/>
        <v>2034</v>
      </c>
      <c r="O3" s="43">
        <f t="shared" si="0"/>
        <v>2035</v>
      </c>
      <c r="P3" s="43">
        <f t="shared" si="0"/>
        <v>2036</v>
      </c>
      <c r="Q3" s="43">
        <f t="shared" si="0"/>
        <v>2037</v>
      </c>
      <c r="R3" s="43">
        <f t="shared" si="0"/>
        <v>2038</v>
      </c>
      <c r="S3" s="43">
        <f t="shared" ref="S3:X3" si="1">R3+1</f>
        <v>2039</v>
      </c>
      <c r="T3" s="43">
        <f t="shared" si="1"/>
        <v>2040</v>
      </c>
      <c r="U3" s="43">
        <f t="shared" si="1"/>
        <v>2041</v>
      </c>
      <c r="V3" s="43">
        <f t="shared" si="1"/>
        <v>2042</v>
      </c>
      <c r="W3" s="43">
        <f t="shared" si="1"/>
        <v>2043</v>
      </c>
      <c r="X3" s="43">
        <f t="shared" si="1"/>
        <v>2044</v>
      </c>
      <c r="Y3" s="43">
        <f t="shared" ref="Y3:AA3" si="2">X3+1</f>
        <v>2045</v>
      </c>
      <c r="Z3" s="43">
        <f t="shared" si="2"/>
        <v>2046</v>
      </c>
      <c r="AA3" s="43">
        <f t="shared" si="2"/>
        <v>2047</v>
      </c>
    </row>
    <row r="4" spans="1:27" x14ac:dyDescent="0.4">
      <c r="A4" s="49" t="s">
        <v>190</v>
      </c>
      <c r="B4" s="50">
        <f>'2. RAW FINANCIALS (CASE)'!E5</f>
        <v>112860</v>
      </c>
      <c r="C4" s="62">
        <f>B4*(1+'1. INPUTS'!$B$19)</f>
        <v>120195.9</v>
      </c>
      <c r="D4" s="62">
        <f>C4*(1+'1. INPUTS'!$B$19)</f>
        <v>128008.63349999998</v>
      </c>
      <c r="E4" s="62">
        <f>D4*(1+'1. INPUTS'!$B$19)</f>
        <v>136329.19467749997</v>
      </c>
      <c r="F4" s="62">
        <f>E4*(1+'1. INPUTS'!$B$19)</f>
        <v>145190.59233153745</v>
      </c>
      <c r="G4" s="62">
        <f>F4*(1+'1. INPUTS'!$B$19)</f>
        <v>154627.98083308738</v>
      </c>
      <c r="H4" s="62">
        <f>G4*(1+'1. INPUTS'!$B$19)</f>
        <v>164678.79958723806</v>
      </c>
      <c r="I4" s="62">
        <f>H4*(1+'1. INPUTS'!$B$19)</f>
        <v>175382.92156040852</v>
      </c>
      <c r="J4" s="62">
        <f>I4*(1+'1. INPUTS'!$B$19)</f>
        <v>186782.81146183505</v>
      </c>
      <c r="K4" s="62">
        <f>J4*(1+'1. INPUTS'!$B$19)</f>
        <v>198923.69420685433</v>
      </c>
      <c r="L4" s="62">
        <f>K4*(1+'1. INPUTS'!$B$19)</f>
        <v>211853.73433029986</v>
      </c>
      <c r="M4" s="62">
        <f>L4*(1+'1. INPUTS'!$B$19)</f>
        <v>225624.22706176934</v>
      </c>
      <c r="N4" s="62">
        <f>M4*(1+'1. INPUTS'!$B$19)</f>
        <v>240289.80182078434</v>
      </c>
      <c r="O4" s="62">
        <f>N4*(1+'1. INPUTS'!$B$19)</f>
        <v>255908.6389391353</v>
      </c>
      <c r="P4" s="62">
        <f>O4*(1+'1. INPUTS'!$B$19)</f>
        <v>272542.70047017909</v>
      </c>
      <c r="Q4" s="62">
        <f>P4*(1+'1. INPUTS'!$B$19)</f>
        <v>290257.97600074072</v>
      </c>
      <c r="R4" s="62">
        <f>Q4*(1+'1. INPUTS'!$B$19)</f>
        <v>309124.74444078887</v>
      </c>
      <c r="S4" s="62">
        <f>R4*(1+'1. INPUTS'!$B$19)</f>
        <v>329217.85282944015</v>
      </c>
      <c r="T4" s="62">
        <f>S4*(1+'1. INPUTS'!$B$19)</f>
        <v>350617.01326335373</v>
      </c>
      <c r="U4" s="62">
        <f>T4*(1+'1. INPUTS'!$B$19)</f>
        <v>373407.11912547168</v>
      </c>
      <c r="V4" s="62">
        <f>U4*(1+'1. INPUTS'!$B$19)</f>
        <v>397678.58186862734</v>
      </c>
      <c r="W4" s="62">
        <f>V4*(1+'1. INPUTS'!$B$19)</f>
        <v>423527.6896900881</v>
      </c>
      <c r="X4" s="62">
        <f>W4*(1+'1. INPUTS'!$B$19)</f>
        <v>451056.98951994377</v>
      </c>
      <c r="Y4" s="62">
        <f>X4*(1+'1. INPUTS'!$B$19)</f>
        <v>480375.69383874012</v>
      </c>
      <c r="Z4" s="62">
        <f>Y4*(1+'1. INPUTS'!$B$19)</f>
        <v>511600.1139382582</v>
      </c>
      <c r="AA4" s="62">
        <f>Z4*(1+'1. INPUTS'!$B$19)</f>
        <v>544854.12134424492</v>
      </c>
    </row>
    <row r="5" spans="1:27" x14ac:dyDescent="0.4">
      <c r="A5" s="49" t="s">
        <v>191</v>
      </c>
      <c r="B5" s="50">
        <f>'2. RAW FINANCIALS (CASE)'!E14</f>
        <v>11890</v>
      </c>
      <c r="C5" s="62">
        <f>C4*'3. KEY ASSUMPTIONS &amp; DRIVERS'!$D$23</f>
        <v>11368.984076702245</v>
      </c>
      <c r="D5" s="62">
        <f>D4*'3. KEY ASSUMPTIONS &amp; DRIVERS'!$D$23</f>
        <v>12107.968041687889</v>
      </c>
      <c r="E5" s="62">
        <f>E4*'3. KEY ASSUMPTIONS &amp; DRIVERS'!$D$23</f>
        <v>12894.985964397601</v>
      </c>
      <c r="F5" s="62">
        <f>F4*'3. KEY ASSUMPTIONS &amp; DRIVERS'!$D$23</f>
        <v>13733.160052083444</v>
      </c>
      <c r="G5" s="62">
        <f>G4*'3. KEY ASSUMPTIONS &amp; DRIVERS'!$D$23</f>
        <v>14625.815455468866</v>
      </c>
      <c r="H5" s="62">
        <f>H4*'3. KEY ASSUMPTIONS &amp; DRIVERS'!$D$23</f>
        <v>15576.493460074344</v>
      </c>
      <c r="I5" s="62">
        <f>I4*'3. KEY ASSUMPTIONS &amp; DRIVERS'!$D$23</f>
        <v>16588.965534979176</v>
      </c>
      <c r="J5" s="62">
        <f>J4*'3. KEY ASSUMPTIONS &amp; DRIVERS'!$D$23</f>
        <v>17667.248294752819</v>
      </c>
      <c r="K5" s="62">
        <f>K4*'3. KEY ASSUMPTIONS &amp; DRIVERS'!$D$23</f>
        <v>18815.61943391175</v>
      </c>
      <c r="L5" s="62">
        <f>L4*'3. KEY ASSUMPTIONS &amp; DRIVERS'!$D$23</f>
        <v>20038.634697116016</v>
      </c>
      <c r="M5" s="62">
        <f>M4*'3. KEY ASSUMPTIONS &amp; DRIVERS'!$D$23</f>
        <v>21341.145952428556</v>
      </c>
      <c r="N5" s="62">
        <f>N4*'3. KEY ASSUMPTIONS &amp; DRIVERS'!$D$23</f>
        <v>22728.32043933641</v>
      </c>
      <c r="O5" s="62">
        <f>O4*'3. KEY ASSUMPTIONS &amp; DRIVERS'!$D$23</f>
        <v>24205.661267893276</v>
      </c>
      <c r="P5" s="62">
        <f>P4*'3. KEY ASSUMPTIONS &amp; DRIVERS'!$D$23</f>
        <v>25779.029250306339</v>
      </c>
      <c r="Q5" s="62">
        <f>Q4*'3. KEY ASSUMPTIONS &amp; DRIVERS'!$D$23</f>
        <v>27454.66615157625</v>
      </c>
      <c r="R5" s="62">
        <f>R4*'3. KEY ASSUMPTIONS &amp; DRIVERS'!$D$23</f>
        <v>29239.219451428704</v>
      </c>
      <c r="S5" s="62">
        <f>S4*'3. KEY ASSUMPTIONS &amp; DRIVERS'!$D$23</f>
        <v>31139.76871577157</v>
      </c>
      <c r="T5" s="62">
        <f>T4*'3. KEY ASSUMPTIONS &amp; DRIVERS'!$D$23</f>
        <v>33163.853682296722</v>
      </c>
      <c r="U5" s="62">
        <f>U4*'3. KEY ASSUMPTIONS &amp; DRIVERS'!$D$23</f>
        <v>35319.504171646004</v>
      </c>
      <c r="V5" s="62">
        <f>V4*'3. KEY ASSUMPTIONS &amp; DRIVERS'!$D$23</f>
        <v>37615.271942802996</v>
      </c>
      <c r="W5" s="62">
        <f>W4*'3. KEY ASSUMPTIONS &amp; DRIVERS'!$D$23</f>
        <v>40060.264619085188</v>
      </c>
      <c r="X5" s="62">
        <f>X4*'3. KEY ASSUMPTIONS &amp; DRIVERS'!$D$23</f>
        <v>42664.18181932572</v>
      </c>
      <c r="Y5" s="62">
        <f>Y4*'3. KEY ASSUMPTIONS &amp; DRIVERS'!$D$23</f>
        <v>45437.353637581895</v>
      </c>
      <c r="Z5" s="62">
        <f>Z4*'3. KEY ASSUMPTIONS &amp; DRIVERS'!$D$23</f>
        <v>48390.781624024712</v>
      </c>
      <c r="AA5" s="62">
        <f>AA4*'3. KEY ASSUMPTIONS &amp; DRIVERS'!$D$23</f>
        <v>51536.182429586312</v>
      </c>
    </row>
    <row r="6" spans="1:27" x14ac:dyDescent="0.4">
      <c r="A6" s="49" t="s">
        <v>192</v>
      </c>
      <c r="B6" s="50">
        <f>-'2. RAW FINANCIALS (CASE)'!E13</f>
        <v>12370</v>
      </c>
      <c r="C6" s="62">
        <f>-AVERAGE('2. RAW FINANCIALS (CASE)'!B13:E13)</f>
        <v>13307.5</v>
      </c>
      <c r="D6" s="62" cm="1">
        <f t="array" ref="D6">AVERAGE(C6,-'2. RAW FINANCIALS (CASE)'!C13:E13)</f>
        <v>13394.375</v>
      </c>
      <c r="E6" s="62" cm="1">
        <f t="array" ref="E6">AVERAGE(C6:D6,-'2. RAW FINANCIALS (CASE)'!D13:E13)</f>
        <v>12922.96875</v>
      </c>
      <c r="F6" s="62">
        <f>AVERAGE(B6:E6)</f>
        <v>12998.7109375</v>
      </c>
      <c r="G6" s="62">
        <f t="shared" ref="G6:AA6" si="3">AVERAGE(C6:F6)</f>
        <v>13155.888671875</v>
      </c>
      <c r="H6" s="62">
        <f t="shared" si="3"/>
        <v>13117.98583984375</v>
      </c>
      <c r="I6" s="62">
        <f t="shared" si="3"/>
        <v>13048.888549804688</v>
      </c>
      <c r="J6" s="62">
        <f t="shared" si="3"/>
        <v>13080.368499755859</v>
      </c>
      <c r="K6" s="62">
        <f t="shared" si="3"/>
        <v>13100.782890319824</v>
      </c>
      <c r="L6" s="62">
        <f t="shared" si="3"/>
        <v>13087.00644493103</v>
      </c>
      <c r="M6" s="62">
        <f t="shared" si="3"/>
        <v>13079.26159620285</v>
      </c>
      <c r="N6" s="62">
        <f t="shared" si="3"/>
        <v>13086.854857802391</v>
      </c>
      <c r="O6" s="62">
        <f t="shared" si="3"/>
        <v>13088.476447314024</v>
      </c>
      <c r="P6" s="62">
        <f t="shared" si="3"/>
        <v>13085.399836562574</v>
      </c>
      <c r="Q6" s="62">
        <f t="shared" si="3"/>
        <v>13084.99818447046</v>
      </c>
      <c r="R6" s="62">
        <f t="shared" si="3"/>
        <v>13086.432331537362</v>
      </c>
      <c r="S6" s="62">
        <f t="shared" si="3"/>
        <v>13086.326699971105</v>
      </c>
      <c r="T6" s="62">
        <f t="shared" si="3"/>
        <v>13085.789263135375</v>
      </c>
      <c r="U6" s="62">
        <f t="shared" si="3"/>
        <v>13085.886619778576</v>
      </c>
      <c r="V6" s="62">
        <f t="shared" si="3"/>
        <v>13086.108728605604</v>
      </c>
      <c r="W6" s="62">
        <f t="shared" si="3"/>
        <v>13086.027827872666</v>
      </c>
      <c r="X6" s="62">
        <f t="shared" si="3"/>
        <v>13085.953109848055</v>
      </c>
      <c r="Y6" s="62">
        <f t="shared" si="3"/>
        <v>13085.994071526224</v>
      </c>
      <c r="Z6" s="62">
        <f t="shared" si="3"/>
        <v>13086.020934463137</v>
      </c>
      <c r="AA6" s="62">
        <f t="shared" si="3"/>
        <v>13085.998985927521</v>
      </c>
    </row>
    <row r="7" spans="1:27" x14ac:dyDescent="0.4">
      <c r="A7" s="49" t="s">
        <v>193</v>
      </c>
      <c r="B7" s="50">
        <f>'4A. CAPEX &amp; WC WORKINGS'!E18</f>
        <v>18600</v>
      </c>
      <c r="C7" s="62">
        <f>B7*(1+'1. INPUTS'!$B$26)</f>
        <v>18786</v>
      </c>
      <c r="D7" s="62">
        <f>C7*(1+'1. INPUTS'!$B$26)</f>
        <v>18973.86</v>
      </c>
      <c r="E7" s="62">
        <f>D7*(1+'1. INPUTS'!$B$26)</f>
        <v>19163.598600000001</v>
      </c>
      <c r="F7" s="62">
        <f>E7*(1+'1. INPUTS'!$B$26)</f>
        <v>19355.234586000002</v>
      </c>
      <c r="G7" s="62">
        <f>F7*(1+'1. INPUTS'!$B$26)</f>
        <v>19548.786931860002</v>
      </c>
      <c r="H7" s="62">
        <f>G7*(1+'1. INPUTS'!$B$26)</f>
        <v>19744.274801178603</v>
      </c>
      <c r="I7" s="62">
        <f>H7*(1+'1. INPUTS'!$B$26)</f>
        <v>19941.717549190387</v>
      </c>
      <c r="J7" s="62">
        <f>I7*(1+'1. INPUTS'!$B$26)</f>
        <v>20141.134724682292</v>
      </c>
      <c r="K7" s="62">
        <f>J7*(1+'1. INPUTS'!$B$26)</f>
        <v>20342.546071929115</v>
      </c>
      <c r="L7" s="62">
        <f>K7*(1+'1. INPUTS'!$B$26)</f>
        <v>20545.971532648407</v>
      </c>
      <c r="M7" s="62">
        <f>L7*(1+'1. INPUTS'!$B$26)</f>
        <v>20751.431247974891</v>
      </c>
      <c r="N7" s="62">
        <f>M7*(1+'1. INPUTS'!$B$26)</f>
        <v>20958.945560454642</v>
      </c>
      <c r="O7" s="62">
        <f>N7*(1+'1. INPUTS'!$B$26)</f>
        <v>21168.535016059188</v>
      </c>
      <c r="P7" s="62">
        <f>O7*(1+'1. INPUTS'!$B$26)</f>
        <v>21380.220366219779</v>
      </c>
      <c r="Q7" s="62">
        <f>P7*(1+'1. INPUTS'!$B$26)</f>
        <v>21594.022569881978</v>
      </c>
      <c r="R7" s="62">
        <f>Q7*(1+'1. INPUTS'!$B$26)</f>
        <v>21809.962795580799</v>
      </c>
      <c r="S7" s="62">
        <f>R7*(1+'1. INPUTS'!$B$26)</f>
        <v>22028.062423536609</v>
      </c>
      <c r="T7" s="62">
        <f>S7*(1+'1. INPUTS'!$B$26)</f>
        <v>22248.343047771974</v>
      </c>
      <c r="U7" s="62">
        <f>T7*(1+'1. INPUTS'!$B$26)</f>
        <v>22470.826478249695</v>
      </c>
      <c r="V7" s="62">
        <f>U7*(1+'1. INPUTS'!$B$26)</f>
        <v>22695.534743032193</v>
      </c>
      <c r="W7" s="62">
        <f>V7*(1+'1. INPUTS'!$B$26)</f>
        <v>22922.490090462514</v>
      </c>
      <c r="X7" s="62">
        <f>W7*(1+'1. INPUTS'!$B$26)</f>
        <v>23151.714991367138</v>
      </c>
      <c r="Y7" s="62">
        <f>X7*(1+'1. INPUTS'!$B$26)</f>
        <v>23383.232141280809</v>
      </c>
      <c r="Z7" s="62">
        <f>Y7*(1+'1. INPUTS'!$B$26)</f>
        <v>23617.064462693615</v>
      </c>
      <c r="AA7" s="62">
        <f>Z7*(1+'1. INPUTS'!$B$26)</f>
        <v>23853.235107320554</v>
      </c>
    </row>
    <row r="8" spans="1:27" x14ac:dyDescent="0.4">
      <c r="A8" s="49" t="s">
        <v>194</v>
      </c>
      <c r="B8" s="50">
        <f>'4A. CAPEX &amp; WC WORKINGS'!E14</f>
        <v>9260</v>
      </c>
      <c r="C8" s="62">
        <f>B8*(1+'1. INPUTS'!$B$27)</f>
        <v>9445.2000000000007</v>
      </c>
      <c r="D8" s="62">
        <f>C8*(1+'1. INPUTS'!$B$27)</f>
        <v>9634.1040000000012</v>
      </c>
      <c r="E8" s="62">
        <f>D8*(1+'1. INPUTS'!$B$27)</f>
        <v>9826.7860800000017</v>
      </c>
      <c r="F8" s="62">
        <f>E8*(1+'1. INPUTS'!$B$27)</f>
        <v>10023.321801600001</v>
      </c>
      <c r="G8" s="62">
        <f>F8*(1+'1. INPUTS'!$B$27)</f>
        <v>10223.788237632001</v>
      </c>
      <c r="H8" s="62">
        <f>G8*(1+'1. INPUTS'!$B$27)</f>
        <v>10428.264002384642</v>
      </c>
      <c r="I8" s="62">
        <f>H8*(1+'1. INPUTS'!$B$27)</f>
        <v>10636.829282432334</v>
      </c>
      <c r="J8" s="62">
        <f>I8*(1+'1. INPUTS'!$B$27)</f>
        <v>10849.565868080981</v>
      </c>
      <c r="K8" s="62">
        <f>J8*(1+'1. INPUTS'!$B$27)</f>
        <v>11066.557185442602</v>
      </c>
      <c r="L8" s="62">
        <f>K8*(1+'1. INPUTS'!$B$27)</f>
        <v>11287.888329151454</v>
      </c>
      <c r="M8" s="62">
        <f>L8*(1+'1. INPUTS'!$B$27)</f>
        <v>11513.646095734483</v>
      </c>
      <c r="N8" s="62">
        <f>M8*(1+'1. INPUTS'!$B$27)</f>
        <v>11743.919017649172</v>
      </c>
      <c r="O8" s="62">
        <f>N8*(1+'1. INPUTS'!$B$27)</f>
        <v>11978.797398002156</v>
      </c>
      <c r="P8" s="62">
        <f>O8*(1+'1. INPUTS'!$B$27)</f>
        <v>12218.3733459622</v>
      </c>
      <c r="Q8" s="62">
        <f>P8*(1+'1. INPUTS'!$B$27)</f>
        <v>12462.740812881444</v>
      </c>
      <c r="R8" s="62">
        <f>Q8*(1+'1. INPUTS'!$B$27)</f>
        <v>12711.995629139074</v>
      </c>
      <c r="S8" s="62">
        <f>R8*(1+'1. INPUTS'!$B$27)</f>
        <v>12966.235541721855</v>
      </c>
      <c r="T8" s="62">
        <f>S8*(1+'1. INPUTS'!$B$27)</f>
        <v>13225.560252556292</v>
      </c>
      <c r="U8" s="62">
        <f>T8*(1+'1. INPUTS'!$B$27)</f>
        <v>13490.071457607417</v>
      </c>
      <c r="V8" s="62">
        <f>U8*(1+'1. INPUTS'!$B$27)</f>
        <v>13759.872886759566</v>
      </c>
      <c r="W8" s="62">
        <f>V8*(1+'1. INPUTS'!$B$27)</f>
        <v>14035.070344494758</v>
      </c>
      <c r="X8" s="62">
        <f>W8*(1+'1. INPUTS'!$B$27)</f>
        <v>14315.771751384653</v>
      </c>
      <c r="Y8" s="62">
        <f>X8*(1+'1. INPUTS'!$B$27)</f>
        <v>14602.087186412346</v>
      </c>
      <c r="Z8" s="62">
        <f>Y8*(1+'1. INPUTS'!$B$27)</f>
        <v>14894.128930140592</v>
      </c>
      <c r="AA8" s="62">
        <f>Z8*(1+'1. INPUTS'!$B$27)</f>
        <v>15192.011508743404</v>
      </c>
    </row>
    <row r="9" spans="1:27" x14ac:dyDescent="0.4">
      <c r="A9" s="49" t="s">
        <v>195</v>
      </c>
      <c r="B9" s="50">
        <f>'2. RAW FINANCIALS (CASE)'!E24</f>
        <v>8370</v>
      </c>
      <c r="C9" s="62">
        <f>C5*(1-'1. INPUTS'!$B$11)</f>
        <v>8526.7380575266834</v>
      </c>
      <c r="D9" s="62">
        <f>D5*(1-'1. INPUTS'!$B$11)</f>
        <v>9080.9760312659164</v>
      </c>
      <c r="E9" s="62">
        <f>E5*(1-'1. INPUTS'!$B$11)</f>
        <v>9671.2394732982011</v>
      </c>
      <c r="F9" s="62">
        <f>F5*(1-'1. INPUTS'!$B$11)</f>
        <v>10299.870039062582</v>
      </c>
      <c r="G9" s="62">
        <f>G5*(1-'1. INPUTS'!$B$11)</f>
        <v>10969.36159160165</v>
      </c>
      <c r="H9" s="62">
        <f>H5*(1-'1. INPUTS'!$B$11)</f>
        <v>11682.370095055758</v>
      </c>
      <c r="I9" s="62">
        <f>I5*(1-'1. INPUTS'!$B$11)</f>
        <v>12441.724151234383</v>
      </c>
      <c r="J9" s="62">
        <f>J5*(1-'1. INPUTS'!$B$11)</f>
        <v>13250.436221064614</v>
      </c>
      <c r="K9" s="62">
        <f>K5*(1-'1. INPUTS'!$B$11)</f>
        <v>14111.714575433813</v>
      </c>
      <c r="L9" s="62">
        <f>L5*(1-'1. INPUTS'!$B$11)</f>
        <v>15028.976022837012</v>
      </c>
      <c r="M9" s="62">
        <f>M5*(1-'1. INPUTS'!$B$11)</f>
        <v>16005.859464321416</v>
      </c>
      <c r="N9" s="62">
        <f>N5*(1-'1. INPUTS'!$B$11)</f>
        <v>17046.240329502307</v>
      </c>
      <c r="O9" s="62">
        <f>O5*(1-'1. INPUTS'!$B$11)</f>
        <v>18154.245950919958</v>
      </c>
      <c r="P9" s="62">
        <f>P5*(1-'1. INPUTS'!$B$11)</f>
        <v>19334.271937729754</v>
      </c>
      <c r="Q9" s="62">
        <f>Q5*(1-'1. INPUTS'!$B$11)</f>
        <v>20590.999613682186</v>
      </c>
      <c r="R9" s="62">
        <f>R5*(1-'1. INPUTS'!$B$11)</f>
        <v>21929.414588571526</v>
      </c>
      <c r="S9" s="62">
        <f>S5*(1-'1. INPUTS'!$B$11)</f>
        <v>23354.826536828677</v>
      </c>
      <c r="T9" s="62">
        <f>T5*(1-'1. INPUTS'!$B$11)</f>
        <v>24872.890261722539</v>
      </c>
      <c r="U9" s="62">
        <f>U5*(1-'1. INPUTS'!$B$11)</f>
        <v>26489.628128734505</v>
      </c>
      <c r="V9" s="62">
        <f>V5*(1-'1. INPUTS'!$B$11)</f>
        <v>28211.453957102247</v>
      </c>
      <c r="W9" s="62">
        <f>W5*(1-'1. INPUTS'!$B$11)</f>
        <v>30045.198464313893</v>
      </c>
      <c r="X9" s="62">
        <f>X5*(1-'1. INPUTS'!$B$11)</f>
        <v>31998.13636449429</v>
      </c>
      <c r="Y9" s="62">
        <f>Y5*(1-'1. INPUTS'!$B$11)</f>
        <v>34078.015228186421</v>
      </c>
      <c r="Z9" s="62">
        <f>Z5*(1-'1. INPUTS'!$B$11)</f>
        <v>36293.086218018536</v>
      </c>
      <c r="AA9" s="62">
        <f>AA5*(1-'1. INPUTS'!$B$11)</f>
        <v>38652.136822189736</v>
      </c>
    </row>
    <row r="10" spans="1:27" x14ac:dyDescent="0.4">
      <c r="A10" s="49" t="s">
        <v>196</v>
      </c>
      <c r="B10" s="50">
        <f t="shared" ref="B10:AA10" si="4">B9+B6-B7-B8</f>
        <v>-7120</v>
      </c>
      <c r="C10" s="62">
        <f t="shared" si="4"/>
        <v>-6396.9619424733173</v>
      </c>
      <c r="D10" s="62">
        <f t="shared" si="4"/>
        <v>-6132.6129687340854</v>
      </c>
      <c r="E10" s="62">
        <f t="shared" si="4"/>
        <v>-6396.1764567018035</v>
      </c>
      <c r="F10" s="62">
        <f t="shared" si="4"/>
        <v>-6079.9754110374215</v>
      </c>
      <c r="G10" s="62">
        <f t="shared" si="4"/>
        <v>-5647.3249060153539</v>
      </c>
      <c r="H10" s="62">
        <f t="shared" si="4"/>
        <v>-5372.1828686637364</v>
      </c>
      <c r="I10" s="62">
        <f t="shared" si="4"/>
        <v>-5087.9341305836515</v>
      </c>
      <c r="J10" s="62">
        <f t="shared" si="4"/>
        <v>-4659.8958719427992</v>
      </c>
      <c r="K10" s="62">
        <f t="shared" si="4"/>
        <v>-4196.6057916180798</v>
      </c>
      <c r="L10" s="62">
        <f t="shared" si="4"/>
        <v>-3717.8773940318169</v>
      </c>
      <c r="M10" s="62">
        <f t="shared" si="4"/>
        <v>-3179.9562831851072</v>
      </c>
      <c r="N10" s="62">
        <f t="shared" si="4"/>
        <v>-2569.7693907991161</v>
      </c>
      <c r="O10" s="62">
        <f t="shared" si="4"/>
        <v>-1904.6100158273621</v>
      </c>
      <c r="P10" s="62">
        <f t="shared" si="4"/>
        <v>-1178.9219378896505</v>
      </c>
      <c r="Q10" s="62">
        <f t="shared" si="4"/>
        <v>-380.76558461077548</v>
      </c>
      <c r="R10" s="62">
        <f t="shared" si="4"/>
        <v>493.88849538901559</v>
      </c>
      <c r="S10" s="62">
        <f t="shared" si="4"/>
        <v>1446.8552715413225</v>
      </c>
      <c r="T10" s="62">
        <f t="shared" si="4"/>
        <v>2484.776224529649</v>
      </c>
      <c r="U10" s="62">
        <f t="shared" si="4"/>
        <v>3614.6168126559678</v>
      </c>
      <c r="V10" s="62">
        <f t="shared" si="4"/>
        <v>4842.1550559160951</v>
      </c>
      <c r="W10" s="62">
        <f t="shared" si="4"/>
        <v>6173.6658572292909</v>
      </c>
      <c r="X10" s="62">
        <f t="shared" si="4"/>
        <v>7616.6027315905503</v>
      </c>
      <c r="Y10" s="62">
        <f t="shared" si="4"/>
        <v>9178.6899720194942</v>
      </c>
      <c r="Z10" s="62">
        <f t="shared" si="4"/>
        <v>10867.913759647465</v>
      </c>
      <c r="AA10" s="62">
        <f t="shared" si="4"/>
        <v>12692.889192053301</v>
      </c>
    </row>
    <row r="11" spans="1:27" x14ac:dyDescent="0.4">
      <c r="A11" s="49" t="s">
        <v>146</v>
      </c>
      <c r="B11" s="48">
        <f>1/(1+'1. INPUTS'!$B$17)^1</f>
        <v>0.8923052919245511</v>
      </c>
      <c r="C11" s="46">
        <f>1/(1+'1. INPUTS'!$B$17)^1</f>
        <v>0.8923052919245511</v>
      </c>
      <c r="D11" s="46">
        <f>1/(1+'1. INPUTS'!$B$17)^1</f>
        <v>0.8923052919245511</v>
      </c>
      <c r="E11" s="46">
        <f>1/(1+'1. INPUTS'!$B$17)^1</f>
        <v>0.8923052919245511</v>
      </c>
      <c r="F11" s="46">
        <f>1/(1+'1. INPUTS'!$B$17)^1</f>
        <v>0.8923052919245511</v>
      </c>
      <c r="G11" s="46">
        <f>1/(1+'1. INPUTS'!$B$17)^1</f>
        <v>0.8923052919245511</v>
      </c>
      <c r="H11" s="46">
        <f>1/(1+'1. INPUTS'!$B$17)^1</f>
        <v>0.8923052919245511</v>
      </c>
      <c r="I11" s="46">
        <f>1/(1+'1. INPUTS'!$B$17)^1</f>
        <v>0.8923052919245511</v>
      </c>
      <c r="J11" s="46">
        <f>1/(1+'1. INPUTS'!$B$17)^1</f>
        <v>0.8923052919245511</v>
      </c>
      <c r="K11" s="46">
        <f>1/(1+'1. INPUTS'!$B$17)^1</f>
        <v>0.8923052919245511</v>
      </c>
      <c r="L11" s="46">
        <f>1/(1+'1. INPUTS'!$B$17)^1</f>
        <v>0.8923052919245511</v>
      </c>
      <c r="M11" s="46">
        <f>1/(1+'1. INPUTS'!$B$17)^1</f>
        <v>0.8923052919245511</v>
      </c>
      <c r="N11" s="46">
        <f>1/(1+'1. INPUTS'!$B$17)^1</f>
        <v>0.8923052919245511</v>
      </c>
      <c r="O11" s="46">
        <f>1/(1+'1. INPUTS'!$B$17)^1</f>
        <v>0.8923052919245511</v>
      </c>
      <c r="P11" s="46">
        <f>1/(1+'1. INPUTS'!$B$17)^1</f>
        <v>0.8923052919245511</v>
      </c>
      <c r="Q11" s="46">
        <f>1/(1+'1. INPUTS'!$B$17)^1</f>
        <v>0.8923052919245511</v>
      </c>
      <c r="R11" s="46">
        <f>1/(1+'1. INPUTS'!$B$17)^1</f>
        <v>0.8923052919245511</v>
      </c>
      <c r="S11" s="46">
        <f>1/(1+'1. INPUTS'!$B$17)^1</f>
        <v>0.8923052919245511</v>
      </c>
      <c r="T11" s="46">
        <f>1/(1+'1. INPUTS'!$B$17)^1</f>
        <v>0.8923052919245511</v>
      </c>
      <c r="U11" s="46">
        <f>1/(1+'1. INPUTS'!$B$17)^1</f>
        <v>0.8923052919245511</v>
      </c>
      <c r="V11" s="46">
        <f>1/(1+'1. INPUTS'!$B$17)^1</f>
        <v>0.8923052919245511</v>
      </c>
      <c r="W11" s="46">
        <f>1/(1+'1. INPUTS'!$B$17)^1</f>
        <v>0.8923052919245511</v>
      </c>
      <c r="X11" s="46">
        <f>1/(1+'1. INPUTS'!$B$17)^1</f>
        <v>0.8923052919245511</v>
      </c>
      <c r="Y11" s="46">
        <f>1/(1+'1. INPUTS'!$B$17)^1</f>
        <v>0.8923052919245511</v>
      </c>
      <c r="Z11" s="46">
        <f>1/(1+'1. INPUTS'!$B$17)^1</f>
        <v>0.8923052919245511</v>
      </c>
      <c r="AA11" s="46">
        <f>1/(1+'1. INPUTS'!$B$17)^1</f>
        <v>0.8923052919245511</v>
      </c>
    </row>
    <row r="12" spans="1:27" x14ac:dyDescent="0.4">
      <c r="A12" s="49" t="s">
        <v>197</v>
      </c>
      <c r="B12" s="50">
        <f>B10*B11</f>
        <v>-6353.2136785028042</v>
      </c>
      <c r="C12" s="62">
        <f t="shared" ref="C12:AA12" si="5">C10*C11</f>
        <v>-5708.0429935088969</v>
      </c>
      <c r="D12" s="62">
        <f t="shared" si="5"/>
        <v>-5472.1630053265562</v>
      </c>
      <c r="E12" s="62">
        <f t="shared" si="5"/>
        <v>-5707.3421003982439</v>
      </c>
      <c r="F12" s="62">
        <f t="shared" si="5"/>
        <v>-5425.1942340398391</v>
      </c>
      <c r="G12" s="62">
        <f t="shared" si="5"/>
        <v>-5039.1378988548186</v>
      </c>
      <c r="H12" s="62">
        <f t="shared" si="5"/>
        <v>-4793.627202895068</v>
      </c>
      <c r="I12" s="62">
        <f t="shared" si="5"/>
        <v>-4539.9905496833326</v>
      </c>
      <c r="J12" s="62">
        <f t="shared" si="5"/>
        <v>-4158.0497463519305</v>
      </c>
      <c r="K12" s="62">
        <f t="shared" si="5"/>
        <v>-3744.6535559820327</v>
      </c>
      <c r="L12" s="62">
        <f t="shared" si="5"/>
        <v>-3317.4816734212495</v>
      </c>
      <c r="M12" s="62">
        <f t="shared" si="5"/>
        <v>-2837.4918195747978</v>
      </c>
      <c r="N12" s="62">
        <f t="shared" si="5"/>
        <v>-2293.0188264357812</v>
      </c>
      <c r="O12" s="62">
        <f t="shared" si="5"/>
        <v>-1699.4935961752583</v>
      </c>
      <c r="P12" s="62">
        <f t="shared" si="5"/>
        <v>-1051.9582839448822</v>
      </c>
      <c r="Q12" s="62">
        <f t="shared" si="5"/>
        <v>-339.75914613094039</v>
      </c>
      <c r="R12" s="62">
        <f t="shared" si="5"/>
        <v>440.69931805627289</v>
      </c>
      <c r="S12" s="62">
        <f t="shared" si="5"/>
        <v>1291.0366154452554</v>
      </c>
      <c r="T12" s="62">
        <f t="shared" si="5"/>
        <v>2217.1789743961122</v>
      </c>
      <c r="U12" s="62">
        <f t="shared" si="5"/>
        <v>3225.341710212374</v>
      </c>
      <c r="V12" s="62">
        <f t="shared" si="5"/>
        <v>4320.6805807131523</v>
      </c>
      <c r="W12" s="62">
        <f t="shared" si="5"/>
        <v>5508.7947149796164</v>
      </c>
      <c r="X12" s="62">
        <f t="shared" si="5"/>
        <v>6796.3349238852397</v>
      </c>
      <c r="Y12" s="62">
        <f t="shared" si="5"/>
        <v>8190.1936349678044</v>
      </c>
      <c r="Z12" s="62">
        <f t="shared" si="5"/>
        <v>9697.4969599130764</v>
      </c>
      <c r="AA12" s="62">
        <f t="shared" si="5"/>
        <v>11325.9321958811</v>
      </c>
    </row>
    <row r="13" spans="1:27" x14ac:dyDescent="0.4">
      <c r="A13" s="9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s="10"/>
    </row>
    <row r="14" spans="1:27" ht="22.5" x14ac:dyDescent="0.4">
      <c r="A14" s="9"/>
      <c r="B14" s="98"/>
      <c r="C14"/>
      <c r="D14"/>
      <c r="E14" s="145" t="s">
        <v>160</v>
      </c>
      <c r="F14" s="146"/>
      <c r="G14" s="146"/>
      <c r="H14" s="146"/>
      <c r="I14" s="146"/>
      <c r="J14" s="147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s="10"/>
    </row>
    <row r="15" spans="1:27" x14ac:dyDescent="0.4">
      <c r="A15" s="49" t="s">
        <v>198</v>
      </c>
      <c r="B15" s="70">
        <f>AA10*(1+B22)/(B21-B22)</f>
        <v>242723.62963414754</v>
      </c>
      <c r="C15"/>
      <c r="D15"/>
      <c r="E15" s="9"/>
      <c r="F15"/>
      <c r="G15"/>
      <c r="H15"/>
      <c r="I15"/>
      <c r="J15" s="10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s="10"/>
    </row>
    <row r="16" spans="1:27" x14ac:dyDescent="0.4">
      <c r="A16" s="49" t="s">
        <v>199</v>
      </c>
      <c r="B16" s="70">
        <f>B15/(1+B21)^COUNT(C3:AA3)</f>
        <v>14058.816860966504</v>
      </c>
      <c r="C16"/>
      <c r="D16"/>
      <c r="E16" s="9"/>
      <c r="F16" s="55"/>
      <c r="G16" s="55"/>
      <c r="H16" s="142" t="s">
        <v>17</v>
      </c>
      <c r="I16" s="143"/>
      <c r="J16" s="144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s="10"/>
    </row>
    <row r="17" spans="1:27" x14ac:dyDescent="0.4">
      <c r="A17" s="49" t="s">
        <v>200</v>
      </c>
      <c r="B17" s="70">
        <f>B16+SUM(C12:AA12)</f>
        <v>10945.101856692883</v>
      </c>
      <c r="C17"/>
      <c r="D17"/>
      <c r="E17" s="9"/>
      <c r="F17" s="55"/>
      <c r="G17" s="99"/>
      <c r="H17" s="74" t="s">
        <v>161</v>
      </c>
      <c r="I17" s="74" t="s">
        <v>162</v>
      </c>
      <c r="J17" s="74" t="s">
        <v>163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s="10"/>
    </row>
    <row r="18" spans="1:27" x14ac:dyDescent="0.4">
      <c r="A18" s="49" t="s">
        <v>201</v>
      </c>
      <c r="B18" s="70">
        <f>'1. INPUTS'!B20</f>
        <v>1875.6516099999999</v>
      </c>
      <c r="C18"/>
      <c r="D18"/>
      <c r="E18" s="9"/>
      <c r="F18"/>
      <c r="G18" s="75">
        <f>B17/B18</f>
        <v>5.8353597215705131</v>
      </c>
      <c r="H18" s="83">
        <v>0.1157</v>
      </c>
      <c r="I18" s="83">
        <f>'1. INPUTS'!B17</f>
        <v>0.12069266993045574</v>
      </c>
      <c r="J18" s="83">
        <v>0.12570000000000001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s="10"/>
    </row>
    <row r="19" spans="1:27" x14ac:dyDescent="0.4">
      <c r="A19" s="49" t="s">
        <v>202</v>
      </c>
      <c r="B19" s="71">
        <f>B17/B18</f>
        <v>5.8353597215705131</v>
      </c>
      <c r="C19"/>
      <c r="D19"/>
      <c r="E19" s="139" t="s">
        <v>164</v>
      </c>
      <c r="F19" s="97" t="s">
        <v>165</v>
      </c>
      <c r="G19" s="84">
        <v>0.06</v>
      </c>
      <c r="H19" s="73">
        <f t="dataTable" ref="H19:J21" dt2D="1" dtr="1" r1="B21" r2="B22"/>
        <v>6.6800653956546219</v>
      </c>
      <c r="I19" s="73">
        <v>5.1855783082991094</v>
      </c>
      <c r="J19" s="73">
        <v>3.9968765418030867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s="10"/>
    </row>
    <row r="20" spans="1:27" x14ac:dyDescent="0.4">
      <c r="A20" s="9"/>
      <c r="B20"/>
      <c r="C20"/>
      <c r="D20"/>
      <c r="E20" s="140"/>
      <c r="F20" s="97" t="s">
        <v>166</v>
      </c>
      <c r="G20" s="84">
        <v>6.5000000000000002E-2</v>
      </c>
      <c r="H20" s="73">
        <v>7.5457840395503348</v>
      </c>
      <c r="I20" s="73">
        <v>5.8353597215705131</v>
      </c>
      <c r="J20" s="73">
        <v>4.491734173216452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s="10"/>
    </row>
    <row r="21" spans="1:27" x14ac:dyDescent="0.4">
      <c r="A21" s="49" t="s">
        <v>17</v>
      </c>
      <c r="B21" s="63">
        <f>'1. INPUTS'!B8*'1. INPUTS'!B14+'1. INPUTS'!B12*'1. INPUTS'!B15</f>
        <v>0.12069266993045574</v>
      </c>
      <c r="C21"/>
      <c r="D21"/>
      <c r="E21" s="141"/>
      <c r="F21" s="97" t="s">
        <v>167</v>
      </c>
      <c r="G21" s="84">
        <v>7.0000000000000007E-2</v>
      </c>
      <c r="H21" s="73">
        <v>8.6009378352831831</v>
      </c>
      <c r="I21" s="73">
        <v>6.6133216812922866</v>
      </c>
      <c r="J21" s="73">
        <v>5.0754351854939772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s="10"/>
    </row>
    <row r="22" spans="1:27" x14ac:dyDescent="0.4">
      <c r="A22" s="49" t="s">
        <v>159</v>
      </c>
      <c r="B22" s="69">
        <f>'1. INPUTS'!B19</f>
        <v>6.5000000000000002E-2</v>
      </c>
      <c r="C22"/>
      <c r="D22"/>
      <c r="E22" s="9"/>
      <c r="F22"/>
      <c r="G22"/>
      <c r="H22"/>
      <c r="I22"/>
      <c r="J22" s="1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 s="10"/>
    </row>
    <row r="23" spans="1:27" x14ac:dyDescent="0.4">
      <c r="A23" s="9"/>
      <c r="B23"/>
      <c r="C23"/>
      <c r="D23"/>
      <c r="E23" s="9"/>
      <c r="F23"/>
      <c r="G23"/>
      <c r="H23"/>
      <c r="I23"/>
      <c r="J23" s="1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s="10"/>
    </row>
    <row r="24" spans="1:27" x14ac:dyDescent="0.4">
      <c r="A24" s="9"/>
      <c r="B24"/>
      <c r="C24"/>
      <c r="D24"/>
      <c r="E24" s="9"/>
      <c r="F24"/>
      <c r="G24"/>
      <c r="H24"/>
      <c r="I24"/>
      <c r="J24" s="10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s="10"/>
    </row>
    <row r="25" spans="1:27" ht="25.5" x14ac:dyDescent="0.4">
      <c r="A25" s="9"/>
      <c r="B25"/>
      <c r="C25"/>
      <c r="D25"/>
      <c r="E25" s="80" t="s">
        <v>168</v>
      </c>
      <c r="F25" s="80" t="s">
        <v>17</v>
      </c>
      <c r="G25" s="80" t="s">
        <v>159</v>
      </c>
      <c r="H25" s="80" t="s">
        <v>169</v>
      </c>
      <c r="I25" s="100"/>
      <c r="J25" s="10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 s="10"/>
    </row>
    <row r="26" spans="1:27" x14ac:dyDescent="0.4">
      <c r="A26" s="9"/>
      <c r="B26"/>
      <c r="C26"/>
      <c r="D26"/>
      <c r="E26" s="76" t="s">
        <v>170</v>
      </c>
      <c r="F26" s="72">
        <v>0.11070000000000001</v>
      </c>
      <c r="G26" s="72">
        <v>0.06</v>
      </c>
      <c r="H26" s="77">
        <f>J19</f>
        <v>3.9968765418030867</v>
      </c>
      <c r="I26" s="101"/>
      <c r="J26" s="1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s="10"/>
    </row>
    <row r="27" spans="1:27" x14ac:dyDescent="0.4">
      <c r="A27" s="9"/>
      <c r="B27"/>
      <c r="C27"/>
      <c r="D27"/>
      <c r="E27" s="76" t="s">
        <v>171</v>
      </c>
      <c r="F27" s="72">
        <v>0.11070000000000001</v>
      </c>
      <c r="G27" s="72">
        <v>6.5000000000000002E-2</v>
      </c>
      <c r="H27" s="77">
        <f>J20</f>
        <v>4.491734173216452</v>
      </c>
      <c r="I27" s="101"/>
      <c r="J27" s="10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s="10"/>
    </row>
    <row r="28" spans="1:27" x14ac:dyDescent="0.4">
      <c r="A28" s="9"/>
      <c r="B28"/>
      <c r="C28"/>
      <c r="D28"/>
      <c r="E28" s="76" t="s">
        <v>172</v>
      </c>
      <c r="F28" s="72">
        <v>0.1057</v>
      </c>
      <c r="G28" s="72">
        <v>6.5000000000000002E-2</v>
      </c>
      <c r="H28" s="77">
        <f>I20</f>
        <v>5.8353597215705131</v>
      </c>
      <c r="I28" s="101"/>
      <c r="J28" s="10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s="10"/>
    </row>
    <row r="29" spans="1:27" x14ac:dyDescent="0.4">
      <c r="A29" s="9"/>
      <c r="B29"/>
      <c r="C29"/>
      <c r="D29"/>
      <c r="E29" s="76" t="s">
        <v>173</v>
      </c>
      <c r="F29" s="72">
        <v>0.1057</v>
      </c>
      <c r="G29" s="72">
        <v>7.0000000000000007E-2</v>
      </c>
      <c r="H29" s="77">
        <f>H20</f>
        <v>7.5457840395503348</v>
      </c>
      <c r="I29" s="101"/>
      <c r="J29" s="10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s="10"/>
    </row>
    <row r="30" spans="1:27" x14ac:dyDescent="0.4">
      <c r="A30" s="11"/>
      <c r="B30" s="12"/>
      <c r="C30" s="12"/>
      <c r="D30" s="12"/>
      <c r="E30" s="76" t="s">
        <v>174</v>
      </c>
      <c r="F30" s="72">
        <v>0.1007</v>
      </c>
      <c r="G30" s="72">
        <v>7.0000000000000007E-2</v>
      </c>
      <c r="H30" s="77">
        <f>H21</f>
        <v>8.6009378352831831</v>
      </c>
      <c r="I30" s="78"/>
      <c r="J30" s="1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</row>
    <row r="31" spans="1:27" ht="13.15" customHeight="1" x14ac:dyDescent="1.55">
      <c r="A31" s="148" t="s">
        <v>185</v>
      </c>
      <c r="B31" s="148"/>
      <c r="C31" s="148"/>
      <c r="D31" s="148"/>
      <c r="E31" s="148"/>
      <c r="F31" s="148"/>
      <c r="G31" s="148"/>
      <c r="H31" s="148"/>
      <c r="I31" s="148"/>
      <c r="J31" s="148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</row>
    <row r="32" spans="1:27" ht="13.15" customHeight="1" x14ac:dyDescent="1.5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 spans="1:21" ht="13.15" customHeight="1" x14ac:dyDescent="1.5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</row>
    <row r="34" spans="1:21" ht="13.15" customHeight="1" x14ac:dyDescent="1.5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</row>
    <row r="35" spans="1:21" ht="13.15" customHeight="1" x14ac:dyDescent="1.5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</sheetData>
  <mergeCells count="5">
    <mergeCell ref="A1:AA1"/>
    <mergeCell ref="E19:E21"/>
    <mergeCell ref="H16:J16"/>
    <mergeCell ref="E14:J14"/>
    <mergeCell ref="A31:J35"/>
  </mergeCells>
  <pageMargins left="0.7" right="0.7" top="0.75" bottom="0.75" header="0.3" footer="0.3"/>
  <ignoredErrors>
    <ignoredError sqref="D6:E6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2695-4787-4E75-A3E3-53652123B280}">
  <sheetPr>
    <tabColor rgb="FF0070C0"/>
  </sheetPr>
  <dimension ref="A1:L19"/>
  <sheetViews>
    <sheetView showGridLines="0" zoomScale="130" zoomScaleNormal="130" workbookViewId="0">
      <pane xSplit="12" ySplit="19" topLeftCell="M20" activePane="bottomRight" state="frozen"/>
      <selection pane="topRight" activeCell="M1" sqref="M1"/>
      <selection pane="bottomLeft" activeCell="A20" sqref="A20"/>
      <selection pane="bottomRight" activeCell="M20" sqref="M20"/>
    </sheetView>
  </sheetViews>
  <sheetFormatPr defaultRowHeight="13.15" x14ac:dyDescent="0.4"/>
  <cols>
    <col min="1" max="1" width="31.0703125" style="61" customWidth="1"/>
    <col min="2" max="2" width="10.42578125" style="61" bestFit="1" customWidth="1"/>
    <col min="3" max="5" width="11.28515625" style="61" bestFit="1" customWidth="1"/>
    <col min="6" max="16384" width="9.140625" style="61"/>
  </cols>
  <sheetData>
    <row r="1" spans="1:12" ht="22.5" x14ac:dyDescent="0.6">
      <c r="A1" s="150" t="s">
        <v>155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2"/>
    </row>
    <row r="2" spans="1:12" x14ac:dyDescent="0.4">
      <c r="A2" s="54"/>
      <c r="B2" s="149" t="s">
        <v>153</v>
      </c>
      <c r="C2" s="149"/>
      <c r="D2" s="149"/>
      <c r="E2" s="149"/>
      <c r="F2" s="55"/>
      <c r="G2" s="55"/>
      <c r="H2" s="55"/>
      <c r="I2" s="55"/>
      <c r="J2" s="55"/>
      <c r="K2" s="55"/>
      <c r="L2" s="56"/>
    </row>
    <row r="3" spans="1:12" x14ac:dyDescent="0.4">
      <c r="A3" s="45" t="s">
        <v>57</v>
      </c>
      <c r="B3" s="45">
        <v>2019</v>
      </c>
      <c r="C3" s="45">
        <v>2020</v>
      </c>
      <c r="D3" s="45">
        <v>2021</v>
      </c>
      <c r="E3" s="45">
        <v>2022</v>
      </c>
      <c r="F3" s="55"/>
      <c r="G3" s="55"/>
      <c r="H3" s="55"/>
      <c r="I3" s="55"/>
      <c r="J3" s="55"/>
      <c r="K3" s="55"/>
      <c r="L3" s="56"/>
    </row>
    <row r="4" spans="1:12" x14ac:dyDescent="0.4">
      <c r="A4" s="51" t="str">
        <f>'2. RAW FINANCIALS (CASE)'!A45</f>
        <v>Fixed Assets</v>
      </c>
      <c r="B4" s="53">
        <f>'2. RAW FINANCIALS (CASE)'!B45</f>
        <v>95870</v>
      </c>
      <c r="C4" s="53">
        <f>'2. RAW FINANCIALS (CASE)'!C45</f>
        <v>102890</v>
      </c>
      <c r="D4" s="53">
        <f>'2. RAW FINANCIALS (CASE)'!D45</f>
        <v>110570</v>
      </c>
      <c r="E4" s="53">
        <f>'2. RAW FINANCIALS (CASE)'!E45</f>
        <v>116800</v>
      </c>
      <c r="F4" s="55"/>
      <c r="G4" s="55"/>
      <c r="H4" s="55"/>
      <c r="I4" s="55"/>
      <c r="J4" s="55"/>
      <c r="K4" s="55"/>
      <c r="L4" s="56"/>
    </row>
    <row r="5" spans="1:12" x14ac:dyDescent="0.4">
      <c r="A5" s="51" t="str">
        <f>'2. RAW FINANCIALS (CASE)'!A44</f>
        <v>Current Assets</v>
      </c>
      <c r="B5" s="53">
        <f>'2. RAW FINANCIALS (CASE)'!B44</f>
        <v>51880</v>
      </c>
      <c r="C5" s="53">
        <f>'2. RAW FINANCIALS (CASE)'!C44</f>
        <v>53440</v>
      </c>
      <c r="D5" s="53">
        <f>'2. RAW FINANCIALS (CASE)'!D44</f>
        <v>48630</v>
      </c>
      <c r="E5" s="53">
        <f>'2. RAW FINANCIALS (CASE)'!E44</f>
        <v>55200</v>
      </c>
      <c r="F5" s="55"/>
      <c r="G5" s="55"/>
      <c r="H5" s="55"/>
      <c r="I5" s="55"/>
      <c r="J5" s="55"/>
      <c r="K5" s="55"/>
      <c r="L5" s="56"/>
    </row>
    <row r="6" spans="1:12" x14ac:dyDescent="0.4">
      <c r="A6" s="51" t="str">
        <f>'2. RAW FINANCIALS (CASE)'!A57</f>
        <v>Current Liabilities</v>
      </c>
      <c r="B6" s="53">
        <f>'2. RAW FINANCIALS (CASE)'!B57</f>
        <v>44650</v>
      </c>
      <c r="C6" s="53">
        <f>'2. RAW FINANCIALS (CASE)'!C57</f>
        <v>51030</v>
      </c>
      <c r="D6" s="53">
        <f>'2. RAW FINANCIALS (CASE)'!D57</f>
        <v>53000</v>
      </c>
      <c r="E6" s="53">
        <f>'2. RAW FINANCIALS (CASE)'!E57</f>
        <v>50310</v>
      </c>
      <c r="F6" s="55"/>
      <c r="G6" s="55"/>
      <c r="H6" s="55"/>
      <c r="I6" s="55"/>
      <c r="J6" s="55"/>
      <c r="K6" s="55"/>
      <c r="L6" s="56"/>
    </row>
    <row r="7" spans="1:12" x14ac:dyDescent="0.4">
      <c r="A7" s="51" t="str">
        <f>'2. RAW FINANCIALS (CASE)'!A13</f>
        <v>Depreciation / Amortization</v>
      </c>
      <c r="B7" s="53">
        <f>-'2. RAW FINANCIALS (CASE)'!B13</f>
        <v>12960</v>
      </c>
      <c r="C7" s="53">
        <f>-'2. RAW FINANCIALS (CASE)'!C13</f>
        <v>15280</v>
      </c>
      <c r="D7" s="53">
        <f>-'2. RAW FINANCIALS (CASE)'!D13</f>
        <v>12620</v>
      </c>
      <c r="E7" s="53">
        <f>-'2. RAW FINANCIALS (CASE)'!E13</f>
        <v>12370</v>
      </c>
      <c r="F7" s="55"/>
      <c r="G7" s="55"/>
      <c r="H7" s="55"/>
      <c r="I7" s="55"/>
      <c r="J7" s="55"/>
      <c r="K7" s="55"/>
      <c r="L7" s="56"/>
    </row>
    <row r="8" spans="1:12" x14ac:dyDescent="0.4">
      <c r="A8" s="51" t="str">
        <f>'2. RAW FINANCIALS (CASE)'!A70</f>
        <v>Total Debt</v>
      </c>
      <c r="B8" s="53">
        <f>'2. RAW FINANCIALS (CASE)'!B70</f>
        <v>60070</v>
      </c>
      <c r="C8" s="53">
        <f>'2. RAW FINANCIALS (CASE)'!C70</f>
        <v>60900</v>
      </c>
      <c r="D8" s="53">
        <f>'2. RAW FINANCIALS (CASE)'!D70</f>
        <v>38480</v>
      </c>
      <c r="E8" s="53">
        <f>'2. RAW FINANCIALS (CASE)'!E70</f>
        <v>32440</v>
      </c>
      <c r="F8" s="55"/>
      <c r="G8" s="55"/>
      <c r="H8" s="55"/>
      <c r="I8" s="55"/>
      <c r="J8" s="55"/>
      <c r="K8" s="55"/>
      <c r="L8" s="56"/>
    </row>
    <row r="9" spans="1:12" x14ac:dyDescent="0.4">
      <c r="A9" s="51" t="str">
        <f>'2. RAW FINANCIALS (CASE)'!A40</f>
        <v>Cash &amp; Equivalents</v>
      </c>
      <c r="B9" s="53">
        <f>'2. RAW FINANCIALS (CASE)'!B40</f>
        <v>16360</v>
      </c>
      <c r="C9" s="53">
        <f>'2. RAW FINANCIALS (CASE)'!C40</f>
        <v>22470</v>
      </c>
      <c r="D9" s="53">
        <f>'2. RAW FINANCIALS (CASE)'!D40</f>
        <v>15290</v>
      </c>
      <c r="E9" s="53">
        <f>'2. RAW FINANCIALS (CASE)'!E40</f>
        <v>15680</v>
      </c>
      <c r="F9" s="55"/>
      <c r="G9" s="55"/>
      <c r="H9" s="55"/>
      <c r="I9" s="55"/>
      <c r="J9" s="55"/>
      <c r="K9" s="55"/>
      <c r="L9" s="56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4">
      <c r="A11" s="29" t="s">
        <v>150</v>
      </c>
      <c r="B11" s="29"/>
      <c r="C11" s="29"/>
      <c r="D11" s="29"/>
      <c r="E11" s="29"/>
      <c r="F11" s="55"/>
      <c r="G11" s="55"/>
      <c r="H11" s="55"/>
      <c r="I11" s="55"/>
      <c r="J11" s="55"/>
      <c r="K11" s="55"/>
      <c r="L11" s="56"/>
    </row>
    <row r="12" spans="1:12" x14ac:dyDescent="0.4">
      <c r="A12" s="45" t="s">
        <v>57</v>
      </c>
      <c r="B12" s="45">
        <v>2019</v>
      </c>
      <c r="C12" s="45">
        <v>2020</v>
      </c>
      <c r="D12" s="45">
        <v>2021</v>
      </c>
      <c r="E12" s="45">
        <v>2022</v>
      </c>
      <c r="F12" s="55"/>
      <c r="G12" s="55"/>
      <c r="H12" s="55"/>
      <c r="I12" s="55"/>
      <c r="J12" s="55"/>
      <c r="K12" s="55"/>
      <c r="L12" s="56"/>
    </row>
    <row r="13" spans="1:12" x14ac:dyDescent="0.4">
      <c r="A13" s="51" t="s">
        <v>203</v>
      </c>
      <c r="B13" s="53">
        <f>'4A. CAPEX &amp; WC WORKINGS'!B5-'4A. CAPEX &amp; WC WORKINGS'!B6</f>
        <v>7230</v>
      </c>
      <c r="C13" s="53">
        <f>'4A. CAPEX &amp; WC WORKINGS'!C5-'4A. CAPEX &amp; WC WORKINGS'!C6</f>
        <v>2410</v>
      </c>
      <c r="D13" s="53">
        <f>'4A. CAPEX &amp; WC WORKINGS'!D5-'4A. CAPEX &amp; WC WORKINGS'!D6</f>
        <v>-4370</v>
      </c>
      <c r="E13" s="53">
        <f>'4A. CAPEX &amp; WC WORKINGS'!E5-'4A. CAPEX &amp; WC WORKINGS'!E6</f>
        <v>4890</v>
      </c>
      <c r="F13" s="57" t="s">
        <v>156</v>
      </c>
      <c r="G13" s="55"/>
      <c r="H13" s="55"/>
      <c r="I13" s="55"/>
      <c r="J13" s="55"/>
      <c r="K13" s="55"/>
      <c r="L13" s="56"/>
    </row>
    <row r="14" spans="1:12" x14ac:dyDescent="0.4">
      <c r="A14" s="51" t="s">
        <v>194</v>
      </c>
      <c r="B14" s="52">
        <f>0-B13</f>
        <v>-7230</v>
      </c>
      <c r="C14" s="52">
        <f>C13-B13</f>
        <v>-4820</v>
      </c>
      <c r="D14" s="52">
        <f t="shared" ref="D14:E14" si="0">D13-C13</f>
        <v>-6780</v>
      </c>
      <c r="E14" s="52">
        <f t="shared" si="0"/>
        <v>9260</v>
      </c>
      <c r="F14" s="57" t="s">
        <v>154</v>
      </c>
      <c r="G14" s="55"/>
      <c r="H14" s="55"/>
      <c r="I14" s="55"/>
      <c r="J14" s="55"/>
      <c r="K14" s="55"/>
      <c r="L14" s="56"/>
    </row>
    <row r="15" spans="1:12" x14ac:dyDescent="0.4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x14ac:dyDescent="0.4">
      <c r="A16" s="29" t="s">
        <v>151</v>
      </c>
      <c r="B16" s="29"/>
      <c r="C16" s="29"/>
      <c r="D16" s="29"/>
      <c r="E16" s="29"/>
      <c r="F16" s="55"/>
      <c r="G16" s="55"/>
      <c r="H16" s="55"/>
      <c r="I16" s="55"/>
      <c r="J16" s="55"/>
      <c r="K16" s="55"/>
      <c r="L16" s="56"/>
    </row>
    <row r="17" spans="1:12" x14ac:dyDescent="0.4">
      <c r="A17" s="45" t="s">
        <v>57</v>
      </c>
      <c r="B17" s="45">
        <v>2019</v>
      </c>
      <c r="C17" s="45">
        <v>2020</v>
      </c>
      <c r="D17" s="45">
        <v>2021</v>
      </c>
      <c r="E17" s="45">
        <v>2022</v>
      </c>
      <c r="F17" s="55"/>
      <c r="G17" s="55"/>
      <c r="H17" s="55"/>
      <c r="I17" s="55"/>
      <c r="J17" s="55"/>
      <c r="K17" s="55"/>
      <c r="L17" s="56"/>
    </row>
    <row r="18" spans="1:12" x14ac:dyDescent="0.4">
      <c r="A18" s="51" t="s">
        <v>204</v>
      </c>
      <c r="B18" s="82">
        <v>0</v>
      </c>
      <c r="C18" s="53">
        <f>C4-B4+C7</f>
        <v>22300</v>
      </c>
      <c r="D18" s="53">
        <f t="shared" ref="D18:E18" si="1">D4-C4+D7</f>
        <v>20300</v>
      </c>
      <c r="E18" s="53">
        <f t="shared" si="1"/>
        <v>18600</v>
      </c>
      <c r="F18" s="57" t="s">
        <v>152</v>
      </c>
      <c r="G18" s="55"/>
      <c r="H18" s="55"/>
      <c r="I18" s="55"/>
      <c r="J18" s="55"/>
      <c r="K18" s="55"/>
      <c r="L18" s="56"/>
    </row>
    <row r="19" spans="1:12" x14ac:dyDescent="0.4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</row>
  </sheetData>
  <mergeCells count="2">
    <mergeCell ref="B2:E2"/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9CB1-3B6D-439A-AF19-F3699A267357}">
  <sheetPr>
    <tabColor theme="5" tint="0.39997558519241921"/>
  </sheetPr>
  <dimension ref="A1:Z21"/>
  <sheetViews>
    <sheetView showGridLines="0" zoomScale="90" zoomScaleNormal="90" workbookViewId="0">
      <pane xSplit="12" ySplit="16" topLeftCell="M17" activePane="bottomRight" state="frozen"/>
      <selection pane="topRight" activeCell="M1" sqref="M1"/>
      <selection pane="bottomLeft" activeCell="A17" sqref="A17"/>
      <selection pane="bottomRight" activeCell="M22" sqref="M22"/>
    </sheetView>
  </sheetViews>
  <sheetFormatPr defaultRowHeight="13.15" x14ac:dyDescent="0.4"/>
  <cols>
    <col min="1" max="1" width="28.7109375" style="34" bestFit="1" customWidth="1"/>
    <col min="2" max="26" width="13.5" style="34" bestFit="1" customWidth="1"/>
    <col min="27" max="16384" width="9.140625" style="34"/>
  </cols>
  <sheetData>
    <row r="1" spans="1:26" ht="22.5" x14ac:dyDescent="0.6">
      <c r="A1" s="153" t="s">
        <v>175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x14ac:dyDescent="0.4">
      <c r="A2" s="81" t="s">
        <v>149</v>
      </c>
      <c r="B2" s="68" t="s">
        <v>148</v>
      </c>
      <c r="C2" s="68" t="s">
        <v>148</v>
      </c>
      <c r="D2" s="68" t="s">
        <v>148</v>
      </c>
      <c r="E2" s="68" t="s">
        <v>148</v>
      </c>
      <c r="F2" s="68" t="s">
        <v>148</v>
      </c>
      <c r="G2" s="68" t="s">
        <v>148</v>
      </c>
      <c r="H2" s="68" t="s">
        <v>148</v>
      </c>
      <c r="I2" s="68" t="s">
        <v>148</v>
      </c>
      <c r="J2" s="68" t="s">
        <v>148</v>
      </c>
      <c r="K2" s="68" t="s">
        <v>148</v>
      </c>
      <c r="L2" s="68" t="s">
        <v>148</v>
      </c>
      <c r="M2" s="68" t="s">
        <v>148</v>
      </c>
      <c r="N2" s="68" t="s">
        <v>148</v>
      </c>
      <c r="O2" s="68" t="s">
        <v>148</v>
      </c>
      <c r="P2" s="68" t="s">
        <v>148</v>
      </c>
      <c r="Q2" s="68" t="s">
        <v>148</v>
      </c>
      <c r="R2" s="68" t="s">
        <v>148</v>
      </c>
      <c r="S2" s="68" t="s">
        <v>148</v>
      </c>
      <c r="T2" s="68" t="s">
        <v>148</v>
      </c>
      <c r="U2" s="68" t="s">
        <v>148</v>
      </c>
      <c r="V2" s="68" t="s">
        <v>148</v>
      </c>
      <c r="W2" s="68" t="s">
        <v>148</v>
      </c>
      <c r="X2" s="68" t="s">
        <v>148</v>
      </c>
      <c r="Y2" s="68" t="s">
        <v>148</v>
      </c>
      <c r="Z2" s="68" t="s">
        <v>148</v>
      </c>
    </row>
    <row r="3" spans="1:26" x14ac:dyDescent="0.4">
      <c r="A3" s="47" t="s">
        <v>145</v>
      </c>
      <c r="B3" s="43">
        <f>2022+1</f>
        <v>2023</v>
      </c>
      <c r="C3" s="43">
        <f t="shared" ref="C3:Z3" si="0">B3+1</f>
        <v>2024</v>
      </c>
      <c r="D3" s="43">
        <f t="shared" si="0"/>
        <v>2025</v>
      </c>
      <c r="E3" s="43">
        <f t="shared" si="0"/>
        <v>2026</v>
      </c>
      <c r="F3" s="43">
        <f t="shared" si="0"/>
        <v>2027</v>
      </c>
      <c r="G3" s="43">
        <f t="shared" si="0"/>
        <v>2028</v>
      </c>
      <c r="H3" s="43">
        <f t="shared" si="0"/>
        <v>2029</v>
      </c>
      <c r="I3" s="43">
        <f t="shared" si="0"/>
        <v>2030</v>
      </c>
      <c r="J3" s="43">
        <f t="shared" si="0"/>
        <v>2031</v>
      </c>
      <c r="K3" s="43">
        <f t="shared" si="0"/>
        <v>2032</v>
      </c>
      <c r="L3" s="43">
        <f t="shared" si="0"/>
        <v>2033</v>
      </c>
      <c r="M3" s="43">
        <f t="shared" si="0"/>
        <v>2034</v>
      </c>
      <c r="N3" s="43">
        <f t="shared" si="0"/>
        <v>2035</v>
      </c>
      <c r="O3" s="43">
        <f t="shared" si="0"/>
        <v>2036</v>
      </c>
      <c r="P3" s="43">
        <f t="shared" si="0"/>
        <v>2037</v>
      </c>
      <c r="Q3" s="43">
        <f t="shared" si="0"/>
        <v>2038</v>
      </c>
      <c r="R3" s="43">
        <f t="shared" si="0"/>
        <v>2039</v>
      </c>
      <c r="S3" s="43">
        <f t="shared" si="0"/>
        <v>2040</v>
      </c>
      <c r="T3" s="43">
        <f t="shared" si="0"/>
        <v>2041</v>
      </c>
      <c r="U3" s="43">
        <f t="shared" si="0"/>
        <v>2042</v>
      </c>
      <c r="V3" s="43">
        <f t="shared" si="0"/>
        <v>2043</v>
      </c>
      <c r="W3" s="43">
        <f t="shared" si="0"/>
        <v>2044</v>
      </c>
      <c r="X3" s="43">
        <f t="shared" si="0"/>
        <v>2045</v>
      </c>
      <c r="Y3" s="43">
        <f t="shared" si="0"/>
        <v>2046</v>
      </c>
      <c r="Z3" s="43">
        <f t="shared" si="0"/>
        <v>2047</v>
      </c>
    </row>
    <row r="4" spans="1:26" x14ac:dyDescent="0.4">
      <c r="A4" s="49" t="s">
        <v>196</v>
      </c>
      <c r="B4" s="62">
        <f>'4. FCFF BUILD-UP &amp; SENSITIVITY'!C10</f>
        <v>-6396.9619424733173</v>
      </c>
      <c r="C4" s="62">
        <f>'4. FCFF BUILD-UP &amp; SENSITIVITY'!D10</f>
        <v>-6132.6129687340854</v>
      </c>
      <c r="D4" s="62">
        <f>'4. FCFF BUILD-UP &amp; SENSITIVITY'!E10</f>
        <v>-6396.1764567018035</v>
      </c>
      <c r="E4" s="62">
        <f>'4. FCFF BUILD-UP &amp; SENSITIVITY'!F10</f>
        <v>-6079.9754110374215</v>
      </c>
      <c r="F4" s="62">
        <f>'4. FCFF BUILD-UP &amp; SENSITIVITY'!G10</f>
        <v>-5647.3249060153539</v>
      </c>
      <c r="G4" s="62">
        <f>'4. FCFF BUILD-UP &amp; SENSITIVITY'!H10</f>
        <v>-5372.1828686637364</v>
      </c>
      <c r="H4" s="62">
        <f>'4. FCFF BUILD-UP &amp; SENSITIVITY'!I10</f>
        <v>-5087.9341305836515</v>
      </c>
      <c r="I4" s="62">
        <f>'4. FCFF BUILD-UP &amp; SENSITIVITY'!J10</f>
        <v>-4659.8958719427992</v>
      </c>
      <c r="J4" s="62">
        <f>'4. FCFF BUILD-UP &amp; SENSITIVITY'!K10</f>
        <v>-4196.6057916180798</v>
      </c>
      <c r="K4" s="62">
        <f>'4. FCFF BUILD-UP &amp; SENSITIVITY'!L10</f>
        <v>-3717.8773940318169</v>
      </c>
      <c r="L4" s="62">
        <f>'4. FCFF BUILD-UP &amp; SENSITIVITY'!M10</f>
        <v>-3179.9562831851072</v>
      </c>
      <c r="M4" s="62">
        <f>'4. FCFF BUILD-UP &amp; SENSITIVITY'!N10</f>
        <v>-2569.7693907991161</v>
      </c>
      <c r="N4" s="62">
        <f>'4. FCFF BUILD-UP &amp; SENSITIVITY'!O10</f>
        <v>-1904.6100158273621</v>
      </c>
      <c r="O4" s="62">
        <f>'4. FCFF BUILD-UP &amp; SENSITIVITY'!P10</f>
        <v>-1178.9219378896505</v>
      </c>
      <c r="P4" s="62">
        <f>'4. FCFF BUILD-UP &amp; SENSITIVITY'!Q10</f>
        <v>-380.76558461077548</v>
      </c>
      <c r="Q4" s="62">
        <f>'4. FCFF BUILD-UP &amp; SENSITIVITY'!R10</f>
        <v>493.88849538901559</v>
      </c>
      <c r="R4" s="62">
        <f>'4. FCFF BUILD-UP &amp; SENSITIVITY'!S10</f>
        <v>1446.8552715413225</v>
      </c>
      <c r="S4" s="62">
        <f>'4. FCFF BUILD-UP &amp; SENSITIVITY'!T10</f>
        <v>2484.776224529649</v>
      </c>
      <c r="T4" s="62">
        <f>'4. FCFF BUILD-UP &amp; SENSITIVITY'!U10</f>
        <v>3614.6168126559678</v>
      </c>
      <c r="U4" s="62">
        <f>'4. FCFF BUILD-UP &amp; SENSITIVITY'!V10</f>
        <v>4842.1550559160951</v>
      </c>
      <c r="V4" s="62">
        <f>'4. FCFF BUILD-UP &amp; SENSITIVITY'!W10</f>
        <v>6173.6658572292909</v>
      </c>
      <c r="W4" s="62">
        <f>'4. FCFF BUILD-UP &amp; SENSITIVITY'!X10</f>
        <v>7616.6027315905503</v>
      </c>
      <c r="X4" s="62">
        <f>'4. FCFF BUILD-UP &amp; SENSITIVITY'!Y10</f>
        <v>9178.6899720194942</v>
      </c>
      <c r="Y4" s="62">
        <f>'4. FCFF BUILD-UP &amp; SENSITIVITY'!Z10</f>
        <v>10867.913759647465</v>
      </c>
      <c r="Z4" s="62">
        <f>'4. FCFF BUILD-UP &amp; SENSITIVITY'!AA10</f>
        <v>12692.889192053301</v>
      </c>
    </row>
    <row r="5" spans="1:26" x14ac:dyDescent="0.4">
      <c r="A5" s="49" t="s">
        <v>246</v>
      </c>
      <c r="B5" s="62">
        <f>B4*(1-'1. INPUTS'!$B$22)</f>
        <v>-6077.1138453496515</v>
      </c>
      <c r="C5" s="62">
        <f>C4*(1-'1. INPUTS'!$B$22)</f>
        <v>-5825.9823202973812</v>
      </c>
      <c r="D5" s="62">
        <f>D4*(1-'1. INPUTS'!$B$22)</f>
        <v>-6076.3676338667128</v>
      </c>
      <c r="E5" s="62">
        <f>E4*(1-'1. INPUTS'!$B$22)</f>
        <v>-5775.97664048555</v>
      </c>
      <c r="F5" s="62">
        <f>F4*(1-'1. INPUTS'!$B$22)</f>
        <v>-5364.9586607145857</v>
      </c>
      <c r="G5" s="62">
        <f>G4*(1-'1. INPUTS'!$B$22)</f>
        <v>-5103.5737252305489</v>
      </c>
      <c r="H5" s="62">
        <f>H4*(1-'1. INPUTS'!$B$22)</f>
        <v>-4833.5374240544688</v>
      </c>
      <c r="I5" s="62">
        <f>I4*(1-'1. INPUTS'!$B$22)</f>
        <v>-4426.9010783456588</v>
      </c>
      <c r="J5" s="62">
        <f>J4*(1-'1. INPUTS'!$B$22)</f>
        <v>-3986.7755020371756</v>
      </c>
      <c r="K5" s="62">
        <f>K4*(1-'1. INPUTS'!$B$22)</f>
        <v>-3531.9835243302259</v>
      </c>
      <c r="L5" s="62">
        <f>L4*(1-'1. INPUTS'!$B$22)</f>
        <v>-3020.9584690258516</v>
      </c>
      <c r="M5" s="62">
        <f>M4*(1-'1. INPUTS'!$B$22)</f>
        <v>-2441.2809212591601</v>
      </c>
      <c r="N5" s="62">
        <f>N4*(1-'1. INPUTS'!$B$22)</f>
        <v>-1809.3795150359938</v>
      </c>
      <c r="O5" s="62">
        <f>O4*(1-'1. INPUTS'!$B$22)</f>
        <v>-1119.975840995168</v>
      </c>
      <c r="P5" s="62">
        <f>P4*(1-'1. INPUTS'!$B$22)</f>
        <v>-361.72730538023671</v>
      </c>
      <c r="Q5" s="62">
        <f>Q4*(1-'1. INPUTS'!$B$22)</f>
        <v>469.1940706195648</v>
      </c>
      <c r="R5" s="62">
        <f>R4*(1-'1. INPUTS'!$B$22)</f>
        <v>1374.5125079642564</v>
      </c>
      <c r="S5" s="62">
        <f>S4*(1-'1. INPUTS'!$B$22)</f>
        <v>2360.5374133031664</v>
      </c>
      <c r="T5" s="62">
        <f>T4*(1-'1. INPUTS'!$B$22)</f>
        <v>3433.8859720231694</v>
      </c>
      <c r="U5" s="62">
        <f>U4*(1-'1. INPUTS'!$B$22)</f>
        <v>4600.0473031202901</v>
      </c>
      <c r="V5" s="62">
        <f>V4*(1-'1. INPUTS'!$B$22)</f>
        <v>5864.9825643678259</v>
      </c>
      <c r="W5" s="62">
        <f>W4*(1-'1. INPUTS'!$B$22)</f>
        <v>7235.7725950110225</v>
      </c>
      <c r="X5" s="62">
        <f>X4*(1-'1. INPUTS'!$B$22)</f>
        <v>8719.7554734185196</v>
      </c>
      <c r="Y5" s="62">
        <f>Y4*(1-'1. INPUTS'!$B$22)</f>
        <v>10324.51807166509</v>
      </c>
      <c r="Z5" s="62">
        <f>Z4*(1-'1. INPUTS'!$B$22)</f>
        <v>12058.244732450636</v>
      </c>
    </row>
    <row r="6" spans="1:26" x14ac:dyDescent="0.4">
      <c r="A6" s="49" t="s">
        <v>146</v>
      </c>
      <c r="B6" s="46">
        <f>1/(1+'1. INPUTS'!$B$17)^1</f>
        <v>0.8923052919245511</v>
      </c>
      <c r="C6" s="46">
        <f>1/(1+'1. INPUTS'!$B$17)^1</f>
        <v>0.8923052919245511</v>
      </c>
      <c r="D6" s="46">
        <f>1/(1+'1. INPUTS'!$B$17)^1</f>
        <v>0.8923052919245511</v>
      </c>
      <c r="E6" s="46">
        <f>1/(1+'1. INPUTS'!$B$17)^1</f>
        <v>0.8923052919245511</v>
      </c>
      <c r="F6" s="46">
        <f>1/(1+'1. INPUTS'!$B$17)^1</f>
        <v>0.8923052919245511</v>
      </c>
      <c r="G6" s="46">
        <f>1/(1+'1. INPUTS'!$B$17)^1</f>
        <v>0.8923052919245511</v>
      </c>
      <c r="H6" s="46">
        <f>1/(1+'1. INPUTS'!$B$17)^1</f>
        <v>0.8923052919245511</v>
      </c>
      <c r="I6" s="46">
        <f>1/(1+'1. INPUTS'!$B$17)^1</f>
        <v>0.8923052919245511</v>
      </c>
      <c r="J6" s="46">
        <f>1/(1+'1. INPUTS'!$B$17)^1</f>
        <v>0.8923052919245511</v>
      </c>
      <c r="K6" s="46">
        <f>1/(1+'1. INPUTS'!$B$17)^1</f>
        <v>0.8923052919245511</v>
      </c>
      <c r="L6" s="46">
        <f>1/(1+'1. INPUTS'!$B$17)^1</f>
        <v>0.8923052919245511</v>
      </c>
      <c r="M6" s="46">
        <f>1/(1+'1. INPUTS'!$B$17)^1</f>
        <v>0.8923052919245511</v>
      </c>
      <c r="N6" s="46">
        <f>1/(1+'1. INPUTS'!$B$17)^1</f>
        <v>0.8923052919245511</v>
      </c>
      <c r="O6" s="46">
        <f>1/(1+'1. INPUTS'!$B$17)^1</f>
        <v>0.8923052919245511</v>
      </c>
      <c r="P6" s="46">
        <f>1/(1+'1. INPUTS'!$B$17)^1</f>
        <v>0.8923052919245511</v>
      </c>
      <c r="Q6" s="46">
        <f>1/(1+'1. INPUTS'!$B$17)^1</f>
        <v>0.8923052919245511</v>
      </c>
      <c r="R6" s="46">
        <f>1/(1+'1. INPUTS'!$B$17)^1</f>
        <v>0.8923052919245511</v>
      </c>
      <c r="S6" s="46">
        <f>1/(1+'1. INPUTS'!$B$17)^1</f>
        <v>0.8923052919245511</v>
      </c>
      <c r="T6" s="46">
        <f>1/(1+'1. INPUTS'!$B$17)^1</f>
        <v>0.8923052919245511</v>
      </c>
      <c r="U6" s="46">
        <f>1/(1+'1. INPUTS'!$B$17)^1</f>
        <v>0.8923052919245511</v>
      </c>
      <c r="V6" s="46">
        <f>1/(1+'1. INPUTS'!$B$17)^1</f>
        <v>0.8923052919245511</v>
      </c>
      <c r="W6" s="46">
        <f>1/(1+'1. INPUTS'!$B$17)^1</f>
        <v>0.8923052919245511</v>
      </c>
      <c r="X6" s="46">
        <f>1/(1+'1. INPUTS'!$B$17)^1</f>
        <v>0.8923052919245511</v>
      </c>
      <c r="Y6" s="46">
        <f>1/(1+'1. INPUTS'!$B$17)^1</f>
        <v>0.8923052919245511</v>
      </c>
      <c r="Z6" s="46">
        <f>1/(1+'1. INPUTS'!$B$17)^1</f>
        <v>0.8923052919245511</v>
      </c>
    </row>
    <row r="7" spans="1:26" x14ac:dyDescent="0.4">
      <c r="A7" s="49" t="s">
        <v>197</v>
      </c>
      <c r="B7" s="62">
        <f>B5*B6</f>
        <v>-5422.640843833452</v>
      </c>
      <c r="C7" s="62">
        <f t="shared" ref="C7:Z7" si="1">C5*C6</f>
        <v>-5198.554855060228</v>
      </c>
      <c r="D7" s="62">
        <f t="shared" si="1"/>
        <v>-5421.9749953783312</v>
      </c>
      <c r="E7" s="62">
        <f t="shared" si="1"/>
        <v>-5153.9345223378468</v>
      </c>
      <c r="F7" s="62">
        <f t="shared" si="1"/>
        <v>-4787.1810039120774</v>
      </c>
      <c r="G7" s="62">
        <f t="shared" si="1"/>
        <v>-4553.9458427503141</v>
      </c>
      <c r="H7" s="62">
        <f t="shared" si="1"/>
        <v>-4312.9910221991659</v>
      </c>
      <c r="I7" s="62">
        <f t="shared" si="1"/>
        <v>-3950.1472590343333</v>
      </c>
      <c r="J7" s="62">
        <f t="shared" si="1"/>
        <v>-3557.4208781829307</v>
      </c>
      <c r="K7" s="62">
        <f t="shared" si="1"/>
        <v>-3151.6075897501869</v>
      </c>
      <c r="L7" s="62">
        <f t="shared" si="1"/>
        <v>-2695.6172285960574</v>
      </c>
      <c r="M7" s="62">
        <f t="shared" si="1"/>
        <v>-2178.3678851139921</v>
      </c>
      <c r="N7" s="62">
        <f t="shared" si="1"/>
        <v>-1614.5189163664952</v>
      </c>
      <c r="O7" s="62">
        <f t="shared" si="1"/>
        <v>-999.36036974763806</v>
      </c>
      <c r="P7" s="62">
        <f t="shared" si="1"/>
        <v>-322.77118882439339</v>
      </c>
      <c r="Q7" s="62">
        <f t="shared" si="1"/>
        <v>418.66435215345922</v>
      </c>
      <c r="R7" s="62">
        <f t="shared" si="1"/>
        <v>1226.4847846729926</v>
      </c>
      <c r="S7" s="62">
        <f t="shared" si="1"/>
        <v>2106.3200256763066</v>
      </c>
      <c r="T7" s="62">
        <f t="shared" si="1"/>
        <v>3064.0746247017551</v>
      </c>
      <c r="U7" s="62">
        <f t="shared" si="1"/>
        <v>4104.6465516774942</v>
      </c>
      <c r="V7" s="62">
        <f t="shared" si="1"/>
        <v>5233.3549792306349</v>
      </c>
      <c r="W7" s="62">
        <f t="shared" si="1"/>
        <v>6456.5181776909767</v>
      </c>
      <c r="X7" s="62">
        <f t="shared" si="1"/>
        <v>7780.6839532194144</v>
      </c>
      <c r="Y7" s="62">
        <f t="shared" si="1"/>
        <v>9212.6221119174224</v>
      </c>
      <c r="Z7" s="62">
        <f t="shared" si="1"/>
        <v>10759.635586087044</v>
      </c>
    </row>
    <row r="8" spans="1:26" x14ac:dyDescent="0.4">
      <c r="A8" s="9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s="10"/>
    </row>
    <row r="9" spans="1:26" x14ac:dyDescent="0.4">
      <c r="A9" s="49" t="s">
        <v>198</v>
      </c>
      <c r="B9" s="70">
        <f>Z5*(1+B16)/(B15-B16)</f>
        <v>230587.44815244016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s="10"/>
    </row>
    <row r="10" spans="1:26" x14ac:dyDescent="0.4">
      <c r="A10" s="49" t="s">
        <v>199</v>
      </c>
      <c r="B10" s="70">
        <f>B9/(1+B15)^COUNT(B3:Z3)</f>
        <v>13355.876017918179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s="10"/>
    </row>
    <row r="11" spans="1:26" x14ac:dyDescent="0.4">
      <c r="A11" s="49" t="s">
        <v>200</v>
      </c>
      <c r="B11" s="70">
        <f>B10+SUM(B7:Z7)</f>
        <v>10397.846763858233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10"/>
    </row>
    <row r="12" spans="1:26" x14ac:dyDescent="0.4">
      <c r="A12" s="49" t="s">
        <v>247</v>
      </c>
      <c r="B12" s="70">
        <f>'1. INPUTS'!B20</f>
        <v>1875.6516099999999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0"/>
    </row>
    <row r="13" spans="1:26" x14ac:dyDescent="0.4">
      <c r="A13" s="49" t="s">
        <v>202</v>
      </c>
      <c r="B13" s="26">
        <f>B11/B12</f>
        <v>5.5435917354919839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0"/>
    </row>
    <row r="14" spans="1:26" x14ac:dyDescent="0.4">
      <c r="A14" s="9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0"/>
    </row>
    <row r="15" spans="1:26" x14ac:dyDescent="0.4">
      <c r="A15" s="49" t="s">
        <v>17</v>
      </c>
      <c r="B15" s="63">
        <f>'4. FCFF BUILD-UP &amp; SENSITIVITY'!B21</f>
        <v>0.12069266993045574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0"/>
    </row>
    <row r="16" spans="1:26" x14ac:dyDescent="0.4">
      <c r="A16" s="49" t="s">
        <v>159</v>
      </c>
      <c r="B16" s="69">
        <f>'4. FCFF BUILD-UP &amp; SENSITIVITY'!B22</f>
        <v>6.5000000000000002E-2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spans="1:10" x14ac:dyDescent="0.4">
      <c r="A17" s="148" t="s">
        <v>185</v>
      </c>
      <c r="B17" s="148"/>
      <c r="C17" s="148"/>
      <c r="D17" s="148"/>
      <c r="E17" s="148"/>
      <c r="F17" s="148"/>
      <c r="G17" s="148"/>
      <c r="H17" s="148"/>
      <c r="I17" s="148"/>
      <c r="J17" s="148"/>
    </row>
    <row r="18" spans="1:10" x14ac:dyDescent="0.4">
      <c r="A18" s="117"/>
      <c r="B18" s="117"/>
      <c r="C18" s="117"/>
      <c r="D18" s="117"/>
      <c r="E18" s="117"/>
      <c r="F18" s="117"/>
      <c r="G18" s="117"/>
      <c r="H18" s="117"/>
      <c r="I18" s="117"/>
      <c r="J18" s="117"/>
    </row>
    <row r="19" spans="1:10" x14ac:dyDescent="0.4">
      <c r="A19" s="117"/>
      <c r="B19" s="117"/>
      <c r="C19" s="117"/>
      <c r="D19" s="117"/>
      <c r="E19" s="117"/>
      <c r="F19" s="117"/>
      <c r="G19" s="117"/>
      <c r="H19" s="117"/>
      <c r="I19" s="117"/>
      <c r="J19" s="117"/>
    </row>
    <row r="20" spans="1:10" x14ac:dyDescent="0.4">
      <c r="A20" s="117"/>
      <c r="B20" s="117"/>
      <c r="C20" s="117"/>
      <c r="D20" s="117"/>
      <c r="E20" s="117"/>
      <c r="F20" s="117"/>
      <c r="G20" s="117"/>
      <c r="H20" s="117"/>
      <c r="I20" s="117"/>
      <c r="J20" s="117"/>
    </row>
    <row r="21" spans="1:10" x14ac:dyDescent="0.4">
      <c r="A21" s="117"/>
      <c r="B21" s="117"/>
      <c r="C21" s="117"/>
      <c r="D21" s="117"/>
      <c r="E21" s="117"/>
      <c r="F21" s="117"/>
      <c r="G21" s="117"/>
      <c r="H21" s="117"/>
      <c r="I21" s="117"/>
      <c r="J21" s="117"/>
    </row>
  </sheetData>
  <mergeCells count="2">
    <mergeCell ref="A1:Z1"/>
    <mergeCell ref="A17:J21"/>
  </mergeCells>
  <pageMargins left="0.7" right="0.7" top="0.75" bottom="0.75" header="0.3" footer="0.3"/>
  <ignoredErrors>
    <ignoredError sqref="A3:Z3" evalError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A6B0-B3C5-4450-B9D4-8C9E4DDD3876}">
  <sheetPr>
    <tabColor theme="5" tint="0.39997558519241921"/>
  </sheetPr>
  <dimension ref="A1:Z21"/>
  <sheetViews>
    <sheetView showGridLines="0" zoomScale="90" zoomScaleNormal="90" workbookViewId="0">
      <pane xSplit="12" ySplit="16" topLeftCell="M17" activePane="bottomRight" state="frozen"/>
      <selection pane="topRight" activeCell="M1" sqref="M1"/>
      <selection pane="bottomLeft" activeCell="A17" sqref="A17"/>
      <selection pane="bottomRight" activeCell="M18" sqref="M18"/>
    </sheetView>
  </sheetViews>
  <sheetFormatPr defaultRowHeight="13.15" x14ac:dyDescent="0.4"/>
  <cols>
    <col min="1" max="1" width="29.85546875" style="34" bestFit="1" customWidth="1"/>
    <col min="2" max="26" width="13.5" style="34" bestFit="1" customWidth="1"/>
    <col min="27" max="16384" width="9.140625" style="34"/>
  </cols>
  <sheetData>
    <row r="1" spans="1:26" ht="22.5" x14ac:dyDescent="0.6">
      <c r="A1" s="153" t="s">
        <v>180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x14ac:dyDescent="0.4">
      <c r="A2" s="81" t="s">
        <v>149</v>
      </c>
      <c r="B2" s="68" t="s">
        <v>148</v>
      </c>
      <c r="C2" s="68" t="s">
        <v>148</v>
      </c>
      <c r="D2" s="68" t="s">
        <v>148</v>
      </c>
      <c r="E2" s="68" t="s">
        <v>148</v>
      </c>
      <c r="F2" s="68" t="s">
        <v>148</v>
      </c>
      <c r="G2" s="68" t="s">
        <v>148</v>
      </c>
      <c r="H2" s="68" t="s">
        <v>148</v>
      </c>
      <c r="I2" s="68" t="s">
        <v>148</v>
      </c>
      <c r="J2" s="68" t="s">
        <v>148</v>
      </c>
      <c r="K2" s="68" t="s">
        <v>148</v>
      </c>
      <c r="L2" s="68" t="s">
        <v>148</v>
      </c>
      <c r="M2" s="68" t="s">
        <v>148</v>
      </c>
      <c r="N2" s="68" t="s">
        <v>148</v>
      </c>
      <c r="O2" s="68" t="s">
        <v>148</v>
      </c>
      <c r="P2" s="68" t="s">
        <v>148</v>
      </c>
      <c r="Q2" s="68" t="s">
        <v>148</v>
      </c>
      <c r="R2" s="68" t="s">
        <v>148</v>
      </c>
      <c r="S2" s="68" t="s">
        <v>148</v>
      </c>
      <c r="T2" s="68" t="s">
        <v>148</v>
      </c>
      <c r="U2" s="68" t="s">
        <v>148</v>
      </c>
      <c r="V2" s="68" t="s">
        <v>148</v>
      </c>
      <c r="W2" s="68" t="s">
        <v>148</v>
      </c>
      <c r="X2" s="68" t="s">
        <v>148</v>
      </c>
      <c r="Y2" s="68" t="s">
        <v>148</v>
      </c>
      <c r="Z2" s="68" t="s">
        <v>148</v>
      </c>
    </row>
    <row r="3" spans="1:26" x14ac:dyDescent="0.4">
      <c r="A3" s="47" t="s">
        <v>145</v>
      </c>
      <c r="B3" s="43">
        <f>2022+1</f>
        <v>2023</v>
      </c>
      <c r="C3" s="43">
        <f t="shared" ref="C3:Z3" si="0">B3+1</f>
        <v>2024</v>
      </c>
      <c r="D3" s="43">
        <f t="shared" si="0"/>
        <v>2025</v>
      </c>
      <c r="E3" s="43">
        <f t="shared" si="0"/>
        <v>2026</v>
      </c>
      <c r="F3" s="43">
        <f t="shared" si="0"/>
        <v>2027</v>
      </c>
      <c r="G3" s="43">
        <f t="shared" si="0"/>
        <v>2028</v>
      </c>
      <c r="H3" s="43">
        <f t="shared" si="0"/>
        <v>2029</v>
      </c>
      <c r="I3" s="43">
        <f t="shared" si="0"/>
        <v>2030</v>
      </c>
      <c r="J3" s="43">
        <f t="shared" si="0"/>
        <v>2031</v>
      </c>
      <c r="K3" s="43">
        <f t="shared" si="0"/>
        <v>2032</v>
      </c>
      <c r="L3" s="43">
        <f t="shared" si="0"/>
        <v>2033</v>
      </c>
      <c r="M3" s="43">
        <f t="shared" si="0"/>
        <v>2034</v>
      </c>
      <c r="N3" s="43">
        <f t="shared" si="0"/>
        <v>2035</v>
      </c>
      <c r="O3" s="43">
        <f t="shared" si="0"/>
        <v>2036</v>
      </c>
      <c r="P3" s="43">
        <f t="shared" si="0"/>
        <v>2037</v>
      </c>
      <c r="Q3" s="43">
        <f t="shared" si="0"/>
        <v>2038</v>
      </c>
      <c r="R3" s="43">
        <f t="shared" si="0"/>
        <v>2039</v>
      </c>
      <c r="S3" s="43">
        <f t="shared" si="0"/>
        <v>2040</v>
      </c>
      <c r="T3" s="43">
        <f t="shared" si="0"/>
        <v>2041</v>
      </c>
      <c r="U3" s="43">
        <f t="shared" si="0"/>
        <v>2042</v>
      </c>
      <c r="V3" s="43">
        <f t="shared" si="0"/>
        <v>2043</v>
      </c>
      <c r="W3" s="43">
        <f t="shared" si="0"/>
        <v>2044</v>
      </c>
      <c r="X3" s="43">
        <f t="shared" si="0"/>
        <v>2045</v>
      </c>
      <c r="Y3" s="43">
        <f t="shared" si="0"/>
        <v>2046</v>
      </c>
      <c r="Z3" s="43">
        <f t="shared" si="0"/>
        <v>2047</v>
      </c>
    </row>
    <row r="4" spans="1:26" x14ac:dyDescent="0.4">
      <c r="A4" s="49" t="s">
        <v>196</v>
      </c>
      <c r="B4" s="62">
        <f>'4. FCFF BUILD-UP &amp; SENSITIVITY'!C10</f>
        <v>-6396.9619424733173</v>
      </c>
      <c r="C4" s="62">
        <f>'4. FCFF BUILD-UP &amp; SENSITIVITY'!D10</f>
        <v>-6132.6129687340854</v>
      </c>
      <c r="D4" s="62">
        <f>'4. FCFF BUILD-UP &amp; SENSITIVITY'!E10</f>
        <v>-6396.1764567018035</v>
      </c>
      <c r="E4" s="62">
        <f>'4. FCFF BUILD-UP &amp; SENSITIVITY'!F10</f>
        <v>-6079.9754110374215</v>
      </c>
      <c r="F4" s="62">
        <f>'4. FCFF BUILD-UP &amp; SENSITIVITY'!G10</f>
        <v>-5647.3249060153539</v>
      </c>
      <c r="G4" s="62">
        <f>'4. FCFF BUILD-UP &amp; SENSITIVITY'!H10</f>
        <v>-5372.1828686637364</v>
      </c>
      <c r="H4" s="62">
        <f>'4. FCFF BUILD-UP &amp; SENSITIVITY'!I10</f>
        <v>-5087.9341305836515</v>
      </c>
      <c r="I4" s="62">
        <f>'4. FCFF BUILD-UP &amp; SENSITIVITY'!J10</f>
        <v>-4659.8958719427992</v>
      </c>
      <c r="J4" s="62">
        <f>'4. FCFF BUILD-UP &amp; SENSITIVITY'!K10</f>
        <v>-4196.6057916180798</v>
      </c>
      <c r="K4" s="62">
        <f>'4. FCFF BUILD-UP &amp; SENSITIVITY'!L10</f>
        <v>-3717.8773940318169</v>
      </c>
      <c r="L4" s="62">
        <f>'4. FCFF BUILD-UP &amp; SENSITIVITY'!M10</f>
        <v>-3179.9562831851072</v>
      </c>
      <c r="M4" s="62">
        <f>'4. FCFF BUILD-UP &amp; SENSITIVITY'!N10</f>
        <v>-2569.7693907991161</v>
      </c>
      <c r="N4" s="62">
        <f>'4. FCFF BUILD-UP &amp; SENSITIVITY'!O10</f>
        <v>-1904.6100158273621</v>
      </c>
      <c r="O4" s="62">
        <f>'4. FCFF BUILD-UP &amp; SENSITIVITY'!P10</f>
        <v>-1178.9219378896505</v>
      </c>
      <c r="P4" s="62">
        <f>'4. FCFF BUILD-UP &amp; SENSITIVITY'!Q10</f>
        <v>-380.76558461077548</v>
      </c>
      <c r="Q4" s="62">
        <f>'4. FCFF BUILD-UP &amp; SENSITIVITY'!R10</f>
        <v>493.88849538901559</v>
      </c>
      <c r="R4" s="62">
        <f>'4. FCFF BUILD-UP &amp; SENSITIVITY'!S10</f>
        <v>1446.8552715413225</v>
      </c>
      <c r="S4" s="62">
        <f>'4. FCFF BUILD-UP &amp; SENSITIVITY'!T10</f>
        <v>2484.776224529649</v>
      </c>
      <c r="T4" s="62">
        <f>'4. FCFF BUILD-UP &amp; SENSITIVITY'!U10</f>
        <v>3614.6168126559678</v>
      </c>
      <c r="U4" s="62">
        <f>'4. FCFF BUILD-UP &amp; SENSITIVITY'!V10</f>
        <v>4842.1550559160951</v>
      </c>
      <c r="V4" s="62">
        <f>'4. FCFF BUILD-UP &amp; SENSITIVITY'!W10</f>
        <v>6173.6658572292909</v>
      </c>
      <c r="W4" s="62">
        <f>'4. FCFF BUILD-UP &amp; SENSITIVITY'!X10</f>
        <v>7616.6027315905503</v>
      </c>
      <c r="X4" s="62">
        <f>'4. FCFF BUILD-UP &amp; SENSITIVITY'!Y10</f>
        <v>9178.6899720194942</v>
      </c>
      <c r="Y4" s="62">
        <f>'4. FCFF BUILD-UP &amp; SENSITIVITY'!Z10</f>
        <v>10867.913759647465</v>
      </c>
      <c r="Z4" s="62">
        <f>'4. FCFF BUILD-UP &amp; SENSITIVITY'!AA10</f>
        <v>12692.889192053301</v>
      </c>
    </row>
    <row r="5" spans="1:26" x14ac:dyDescent="0.4">
      <c r="A5" s="49" t="s">
        <v>246</v>
      </c>
      <c r="B5" s="62">
        <f>B4*(1-'1. INPUTS'!$B$23)</f>
        <v>-5437.4176511023197</v>
      </c>
      <c r="C5" s="62">
        <f>C4*(1-'1. INPUTS'!$B$23)</f>
        <v>-5212.7210234239728</v>
      </c>
      <c r="D5" s="62">
        <f>D4*(1-'1. INPUTS'!$B$23)</f>
        <v>-5436.7499881965332</v>
      </c>
      <c r="E5" s="62">
        <f>E4*(1-'1. INPUTS'!$B$23)</f>
        <v>-5167.9790993818078</v>
      </c>
      <c r="F5" s="62">
        <f>F4*(1-'1. INPUTS'!$B$23)</f>
        <v>-4800.226170113051</v>
      </c>
      <c r="G5" s="62">
        <f>G4*(1-'1. INPUTS'!$B$23)</f>
        <v>-4566.3554383641758</v>
      </c>
      <c r="H5" s="62">
        <f>H4*(1-'1. INPUTS'!$B$23)</f>
        <v>-4324.7440109961035</v>
      </c>
      <c r="I5" s="62">
        <f>I4*(1-'1. INPUTS'!$B$23)</f>
        <v>-3960.9114911513793</v>
      </c>
      <c r="J5" s="62">
        <f>J4*(1-'1. INPUTS'!$B$23)</f>
        <v>-3567.1149228753679</v>
      </c>
      <c r="K5" s="62">
        <f>K4*(1-'1. INPUTS'!$B$23)</f>
        <v>-3160.1957849270443</v>
      </c>
      <c r="L5" s="62">
        <f>L4*(1-'1. INPUTS'!$B$23)</f>
        <v>-2702.962840707341</v>
      </c>
      <c r="M5" s="62">
        <f>M4*(1-'1. INPUTS'!$B$23)</f>
        <v>-2184.3039821792486</v>
      </c>
      <c r="N5" s="62">
        <f>N4*(1-'1. INPUTS'!$B$23)</f>
        <v>-1618.9185134532577</v>
      </c>
      <c r="O5" s="62">
        <f>O4*(1-'1. INPUTS'!$B$23)</f>
        <v>-1002.083647206203</v>
      </c>
      <c r="P5" s="62">
        <f>P4*(1-'1. INPUTS'!$B$23)</f>
        <v>-323.65074691915913</v>
      </c>
      <c r="Q5" s="62">
        <f>Q4*(1-'1. INPUTS'!$B$23)</f>
        <v>419.80522108066322</v>
      </c>
      <c r="R5" s="62">
        <f>R4*(1-'1. INPUTS'!$B$23)</f>
        <v>1229.826980810124</v>
      </c>
      <c r="S5" s="62">
        <f>S4*(1-'1. INPUTS'!$B$23)</f>
        <v>2112.0597908502014</v>
      </c>
      <c r="T5" s="62">
        <f>T4*(1-'1. INPUTS'!$B$23)</f>
        <v>3072.4242907575726</v>
      </c>
      <c r="U5" s="62">
        <f>U4*(1-'1. INPUTS'!$B$23)</f>
        <v>4115.8317975286809</v>
      </c>
      <c r="V5" s="62">
        <f>V4*(1-'1. INPUTS'!$B$23)</f>
        <v>5247.615978644897</v>
      </c>
      <c r="W5" s="62">
        <f>W4*(1-'1. INPUTS'!$B$23)</f>
        <v>6474.1123218519679</v>
      </c>
      <c r="X5" s="62">
        <f>X4*(1-'1. INPUTS'!$B$23)</f>
        <v>7801.8864762165695</v>
      </c>
      <c r="Y5" s="62">
        <f>Y4*(1-'1. INPUTS'!$B$23)</f>
        <v>9237.7266957003449</v>
      </c>
      <c r="Z5" s="62">
        <f>Z4*(1-'1. INPUTS'!$B$23)</f>
        <v>10788.955813245306</v>
      </c>
    </row>
    <row r="6" spans="1:26" x14ac:dyDescent="0.4">
      <c r="A6" s="49" t="s">
        <v>146</v>
      </c>
      <c r="B6" s="46">
        <f>1/(1+'1. INPUTS'!$B$17)^1</f>
        <v>0.8923052919245511</v>
      </c>
      <c r="C6" s="46">
        <f>1/(1+'1. INPUTS'!$B$17)^1</f>
        <v>0.8923052919245511</v>
      </c>
      <c r="D6" s="46">
        <f>1/(1+'1. INPUTS'!$B$17)^1</f>
        <v>0.8923052919245511</v>
      </c>
      <c r="E6" s="46">
        <f>1/(1+'1. INPUTS'!$B$17)^1</f>
        <v>0.8923052919245511</v>
      </c>
      <c r="F6" s="46">
        <f>1/(1+'1. INPUTS'!$B$17)^1</f>
        <v>0.8923052919245511</v>
      </c>
      <c r="G6" s="46">
        <f>1/(1+'1. INPUTS'!$B$17)^1</f>
        <v>0.8923052919245511</v>
      </c>
      <c r="H6" s="46">
        <f>1/(1+'1. INPUTS'!$B$17)^1</f>
        <v>0.8923052919245511</v>
      </c>
      <c r="I6" s="46">
        <f>1/(1+'1. INPUTS'!$B$17)^1</f>
        <v>0.8923052919245511</v>
      </c>
      <c r="J6" s="46">
        <f>1/(1+'1. INPUTS'!$B$17)^1</f>
        <v>0.8923052919245511</v>
      </c>
      <c r="K6" s="46">
        <f>1/(1+'1. INPUTS'!$B$17)^1</f>
        <v>0.8923052919245511</v>
      </c>
      <c r="L6" s="46">
        <f>1/(1+'1. INPUTS'!$B$17)^1</f>
        <v>0.8923052919245511</v>
      </c>
      <c r="M6" s="46">
        <f>1/(1+'1. INPUTS'!$B$17)^1</f>
        <v>0.8923052919245511</v>
      </c>
      <c r="N6" s="46">
        <f>1/(1+'1. INPUTS'!$B$17)^1</f>
        <v>0.8923052919245511</v>
      </c>
      <c r="O6" s="46">
        <f>1/(1+'1. INPUTS'!$B$17)^1</f>
        <v>0.8923052919245511</v>
      </c>
      <c r="P6" s="46">
        <f>1/(1+'1. INPUTS'!$B$17)^1</f>
        <v>0.8923052919245511</v>
      </c>
      <c r="Q6" s="46">
        <f>1/(1+'1. INPUTS'!$B$17)^1</f>
        <v>0.8923052919245511</v>
      </c>
      <c r="R6" s="46">
        <f>1/(1+'1. INPUTS'!$B$17)^1</f>
        <v>0.8923052919245511</v>
      </c>
      <c r="S6" s="46">
        <f>1/(1+'1. INPUTS'!$B$17)^1</f>
        <v>0.8923052919245511</v>
      </c>
      <c r="T6" s="46">
        <f>1/(1+'1. INPUTS'!$B$17)^1</f>
        <v>0.8923052919245511</v>
      </c>
      <c r="U6" s="46">
        <f>1/(1+'1. INPUTS'!$B$17)^1</f>
        <v>0.8923052919245511</v>
      </c>
      <c r="V6" s="46">
        <f>1/(1+'1. INPUTS'!$B$17)^1</f>
        <v>0.8923052919245511</v>
      </c>
      <c r="W6" s="46">
        <f>1/(1+'1. INPUTS'!$B$17)^1</f>
        <v>0.8923052919245511</v>
      </c>
      <c r="X6" s="46">
        <f>1/(1+'1. INPUTS'!$B$17)^1</f>
        <v>0.8923052919245511</v>
      </c>
      <c r="Y6" s="46">
        <f>1/(1+'1. INPUTS'!$B$17)^1</f>
        <v>0.8923052919245511</v>
      </c>
      <c r="Z6" s="46">
        <f>1/(1+'1. INPUTS'!$B$17)^1</f>
        <v>0.8923052919245511</v>
      </c>
    </row>
    <row r="7" spans="1:26" x14ac:dyDescent="0.4">
      <c r="A7" s="49" t="s">
        <v>197</v>
      </c>
      <c r="B7" s="62">
        <f>B5*B6</f>
        <v>-4851.8365444825622</v>
      </c>
      <c r="C7" s="62">
        <f t="shared" ref="C7:Z7" si="1">C5*C6</f>
        <v>-4651.3385545275733</v>
      </c>
      <c r="D7" s="62">
        <f t="shared" si="1"/>
        <v>-4851.2407853385075</v>
      </c>
      <c r="E7" s="62">
        <f t="shared" si="1"/>
        <v>-4611.4150989338623</v>
      </c>
      <c r="F7" s="62">
        <f t="shared" si="1"/>
        <v>-4283.2672140265959</v>
      </c>
      <c r="G7" s="62">
        <f t="shared" si="1"/>
        <v>-4074.5831224608073</v>
      </c>
      <c r="H7" s="62">
        <f t="shared" si="1"/>
        <v>-3858.991967230832</v>
      </c>
      <c r="I7" s="62">
        <f t="shared" si="1"/>
        <v>-3534.3422843991407</v>
      </c>
      <c r="J7" s="62">
        <f t="shared" si="1"/>
        <v>-3182.955522584728</v>
      </c>
      <c r="K7" s="62">
        <f t="shared" si="1"/>
        <v>-2819.8594224080621</v>
      </c>
      <c r="L7" s="62">
        <f t="shared" si="1"/>
        <v>-2411.8680466385777</v>
      </c>
      <c r="M7" s="62">
        <f t="shared" si="1"/>
        <v>-1949.0660024704139</v>
      </c>
      <c r="N7" s="62">
        <f t="shared" si="1"/>
        <v>-1444.5695567489695</v>
      </c>
      <c r="O7" s="62">
        <f t="shared" si="1"/>
        <v>-894.16454135314984</v>
      </c>
      <c r="P7" s="62">
        <f t="shared" si="1"/>
        <v>-288.79527421129927</v>
      </c>
      <c r="Q7" s="62">
        <f t="shared" si="1"/>
        <v>374.59442034783189</v>
      </c>
      <c r="R7" s="62">
        <f t="shared" si="1"/>
        <v>1097.3811231284672</v>
      </c>
      <c r="S7" s="62">
        <f t="shared" si="1"/>
        <v>1884.6021282366953</v>
      </c>
      <c r="T7" s="62">
        <f t="shared" si="1"/>
        <v>2741.5404536805177</v>
      </c>
      <c r="U7" s="62">
        <f t="shared" si="1"/>
        <v>3672.5784936061796</v>
      </c>
      <c r="V7" s="62">
        <f t="shared" si="1"/>
        <v>4682.4755077326736</v>
      </c>
      <c r="W7" s="62">
        <f t="shared" si="1"/>
        <v>5776.8846853024534</v>
      </c>
      <c r="X7" s="62">
        <f t="shared" si="1"/>
        <v>6961.6645897226335</v>
      </c>
      <c r="Y7" s="62">
        <f t="shared" si="1"/>
        <v>8242.8724159261146</v>
      </c>
      <c r="Z7" s="62">
        <f t="shared" si="1"/>
        <v>9627.0423664989357</v>
      </c>
    </row>
    <row r="8" spans="1:26" x14ac:dyDescent="0.4">
      <c r="A8" s="9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s="10"/>
    </row>
    <row r="9" spans="1:26" x14ac:dyDescent="0.4">
      <c r="A9" s="49" t="s">
        <v>198</v>
      </c>
      <c r="B9" s="70">
        <f>Z5*(1+B16)/(B15-B16)</f>
        <v>206315.08518902541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s="10"/>
    </row>
    <row r="10" spans="1:26" x14ac:dyDescent="0.4">
      <c r="A10" s="49" t="s">
        <v>199</v>
      </c>
      <c r="B10" s="70">
        <f>B9/(1+B15)^COUNT(B3:Z3)</f>
        <v>11949.994331821528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s="10"/>
    </row>
    <row r="11" spans="1:26" x14ac:dyDescent="0.4">
      <c r="A11" s="49" t="s">
        <v>200</v>
      </c>
      <c r="B11" s="70">
        <f>B10+SUM(B7:Z7)</f>
        <v>9303.3365781889461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10"/>
    </row>
    <row r="12" spans="1:26" x14ac:dyDescent="0.4">
      <c r="A12" s="49" t="s">
        <v>247</v>
      </c>
      <c r="B12" s="70">
        <f>'1. INPUTS'!B20</f>
        <v>1875.6516099999999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0"/>
    </row>
    <row r="13" spans="1:26" x14ac:dyDescent="0.4">
      <c r="A13" s="49" t="s">
        <v>202</v>
      </c>
      <c r="B13" s="26">
        <f>B11/B12</f>
        <v>4.9600557633349336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0"/>
    </row>
    <row r="14" spans="1:26" x14ac:dyDescent="0.4">
      <c r="A14" s="9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0"/>
    </row>
    <row r="15" spans="1:26" x14ac:dyDescent="0.4">
      <c r="A15" s="49" t="s">
        <v>17</v>
      </c>
      <c r="B15" s="63">
        <f>'4. FCFF BUILD-UP &amp; SENSITIVITY'!B21</f>
        <v>0.12069266993045574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0"/>
    </row>
    <row r="16" spans="1:26" x14ac:dyDescent="0.4">
      <c r="A16" s="49" t="s">
        <v>159</v>
      </c>
      <c r="B16" s="69">
        <f>'4. FCFF BUILD-UP &amp; SENSITIVITY'!B22</f>
        <v>6.5000000000000002E-2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spans="1:10" x14ac:dyDescent="0.4">
      <c r="A17" s="148" t="s">
        <v>185</v>
      </c>
      <c r="B17" s="148"/>
      <c r="C17" s="148"/>
      <c r="D17" s="148"/>
      <c r="E17" s="148"/>
      <c r="F17" s="148"/>
      <c r="G17" s="148"/>
      <c r="H17" s="148"/>
      <c r="I17" s="148"/>
      <c r="J17" s="148"/>
    </row>
    <row r="18" spans="1:10" x14ac:dyDescent="0.4">
      <c r="A18" s="117"/>
      <c r="B18" s="117"/>
      <c r="C18" s="117"/>
      <c r="D18" s="117"/>
      <c r="E18" s="117"/>
      <c r="F18" s="117"/>
      <c r="G18" s="117"/>
      <c r="H18" s="117"/>
      <c r="I18" s="117"/>
      <c r="J18" s="117"/>
    </row>
    <row r="19" spans="1:10" x14ac:dyDescent="0.4">
      <c r="A19" s="117"/>
      <c r="B19" s="117"/>
      <c r="C19" s="117"/>
      <c r="D19" s="117"/>
      <c r="E19" s="117"/>
      <c r="F19" s="117"/>
      <c r="G19" s="117"/>
      <c r="H19" s="117"/>
      <c r="I19" s="117"/>
      <c r="J19" s="117"/>
    </row>
    <row r="20" spans="1:10" x14ac:dyDescent="0.4">
      <c r="A20" s="117"/>
      <c r="B20" s="117"/>
      <c r="C20" s="117"/>
      <c r="D20" s="117"/>
      <c r="E20" s="117"/>
      <c r="F20" s="117"/>
      <c r="G20" s="117"/>
      <c r="H20" s="117"/>
      <c r="I20" s="117"/>
      <c r="J20" s="117"/>
    </row>
    <row r="21" spans="1:10" x14ac:dyDescent="0.4">
      <c r="A21" s="117"/>
      <c r="B21" s="117"/>
      <c r="C21" s="117"/>
      <c r="D21" s="117"/>
      <c r="E21" s="117"/>
      <c r="F21" s="117"/>
      <c r="G21" s="117"/>
      <c r="H21" s="117"/>
      <c r="I21" s="117"/>
      <c r="J21" s="117"/>
    </row>
  </sheetData>
  <mergeCells count="2">
    <mergeCell ref="A1:Z1"/>
    <mergeCell ref="A17:J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BC05-58D9-4E78-96FE-6C413D6BB143}">
  <sheetPr>
    <tabColor theme="5" tint="0.39997558519241921"/>
  </sheetPr>
  <dimension ref="A1:Z22"/>
  <sheetViews>
    <sheetView showGridLines="0" zoomScale="90" zoomScaleNormal="90" workbookViewId="0">
      <pane xSplit="12" ySplit="16" topLeftCell="M17" activePane="bottomRight" state="frozen"/>
      <selection pane="topRight" activeCell="M1" sqref="M1"/>
      <selection pane="bottomLeft" activeCell="A17" sqref="A17"/>
      <selection pane="bottomRight" activeCell="M20" sqref="M20"/>
    </sheetView>
  </sheetViews>
  <sheetFormatPr defaultRowHeight="13.15" x14ac:dyDescent="0.4"/>
  <cols>
    <col min="1" max="1" width="30.42578125" style="34" bestFit="1" customWidth="1"/>
    <col min="2" max="26" width="13.5" style="34" bestFit="1" customWidth="1"/>
    <col min="27" max="16384" width="9.140625" style="34"/>
  </cols>
  <sheetData>
    <row r="1" spans="1:26" ht="22.5" x14ac:dyDescent="0.6">
      <c r="A1" s="153" t="s">
        <v>181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x14ac:dyDescent="0.4">
      <c r="A2" s="81" t="s">
        <v>149</v>
      </c>
      <c r="B2" s="68" t="s">
        <v>148</v>
      </c>
      <c r="C2" s="68" t="s">
        <v>148</v>
      </c>
      <c r="D2" s="68" t="s">
        <v>148</v>
      </c>
      <c r="E2" s="68" t="s">
        <v>148</v>
      </c>
      <c r="F2" s="68" t="s">
        <v>148</v>
      </c>
      <c r="G2" s="68" t="s">
        <v>148</v>
      </c>
      <c r="H2" s="68" t="s">
        <v>148</v>
      </c>
      <c r="I2" s="68" t="s">
        <v>148</v>
      </c>
      <c r="J2" s="68" t="s">
        <v>148</v>
      </c>
      <c r="K2" s="68" t="s">
        <v>148</v>
      </c>
      <c r="L2" s="68" t="s">
        <v>148</v>
      </c>
      <c r="M2" s="68" t="s">
        <v>148</v>
      </c>
      <c r="N2" s="68" t="s">
        <v>148</v>
      </c>
      <c r="O2" s="68" t="s">
        <v>148</v>
      </c>
      <c r="P2" s="68" t="s">
        <v>148</v>
      </c>
      <c r="Q2" s="68" t="s">
        <v>148</v>
      </c>
      <c r="R2" s="68" t="s">
        <v>148</v>
      </c>
      <c r="S2" s="68" t="s">
        <v>148</v>
      </c>
      <c r="T2" s="68" t="s">
        <v>148</v>
      </c>
      <c r="U2" s="68" t="s">
        <v>148</v>
      </c>
      <c r="V2" s="68" t="s">
        <v>148</v>
      </c>
      <c r="W2" s="68" t="s">
        <v>148</v>
      </c>
      <c r="X2" s="68" t="s">
        <v>148</v>
      </c>
      <c r="Y2" s="68" t="s">
        <v>148</v>
      </c>
      <c r="Z2" s="68" t="s">
        <v>148</v>
      </c>
    </row>
    <row r="3" spans="1:26" x14ac:dyDescent="0.4">
      <c r="A3" s="47" t="s">
        <v>145</v>
      </c>
      <c r="B3" s="43">
        <f>2022+1</f>
        <v>2023</v>
      </c>
      <c r="C3" s="43">
        <f t="shared" ref="C3:Z3" si="0">B3+1</f>
        <v>2024</v>
      </c>
      <c r="D3" s="43">
        <f t="shared" si="0"/>
        <v>2025</v>
      </c>
      <c r="E3" s="43">
        <f t="shared" si="0"/>
        <v>2026</v>
      </c>
      <c r="F3" s="43">
        <f t="shared" si="0"/>
        <v>2027</v>
      </c>
      <c r="G3" s="43">
        <f t="shared" si="0"/>
        <v>2028</v>
      </c>
      <c r="H3" s="43">
        <f t="shared" si="0"/>
        <v>2029</v>
      </c>
      <c r="I3" s="43">
        <f t="shared" si="0"/>
        <v>2030</v>
      </c>
      <c r="J3" s="43">
        <f t="shared" si="0"/>
        <v>2031</v>
      </c>
      <c r="K3" s="43">
        <f t="shared" si="0"/>
        <v>2032</v>
      </c>
      <c r="L3" s="43">
        <f t="shared" si="0"/>
        <v>2033</v>
      </c>
      <c r="M3" s="43">
        <f t="shared" si="0"/>
        <v>2034</v>
      </c>
      <c r="N3" s="43">
        <f t="shared" si="0"/>
        <v>2035</v>
      </c>
      <c r="O3" s="43">
        <f t="shared" si="0"/>
        <v>2036</v>
      </c>
      <c r="P3" s="43">
        <f t="shared" si="0"/>
        <v>2037</v>
      </c>
      <c r="Q3" s="43">
        <f t="shared" si="0"/>
        <v>2038</v>
      </c>
      <c r="R3" s="43">
        <f t="shared" si="0"/>
        <v>2039</v>
      </c>
      <c r="S3" s="43">
        <f t="shared" si="0"/>
        <v>2040</v>
      </c>
      <c r="T3" s="43">
        <f t="shared" si="0"/>
        <v>2041</v>
      </c>
      <c r="U3" s="43">
        <f t="shared" si="0"/>
        <v>2042</v>
      </c>
      <c r="V3" s="43">
        <f t="shared" si="0"/>
        <v>2043</v>
      </c>
      <c r="W3" s="43">
        <f t="shared" si="0"/>
        <v>2044</v>
      </c>
      <c r="X3" s="43">
        <f t="shared" si="0"/>
        <v>2045</v>
      </c>
      <c r="Y3" s="43">
        <f t="shared" si="0"/>
        <v>2046</v>
      </c>
      <c r="Z3" s="43">
        <f t="shared" si="0"/>
        <v>2047</v>
      </c>
    </row>
    <row r="4" spans="1:26" x14ac:dyDescent="0.4">
      <c r="A4" s="49" t="s">
        <v>196</v>
      </c>
      <c r="B4" s="62">
        <f>'4. FCFF BUILD-UP &amp; SENSITIVITY'!C10</f>
        <v>-6396.9619424733173</v>
      </c>
      <c r="C4" s="62">
        <f>'4. FCFF BUILD-UP &amp; SENSITIVITY'!D10</f>
        <v>-6132.6129687340854</v>
      </c>
      <c r="D4" s="62">
        <f>'4. FCFF BUILD-UP &amp; SENSITIVITY'!E10</f>
        <v>-6396.1764567018035</v>
      </c>
      <c r="E4" s="62">
        <f>'4. FCFF BUILD-UP &amp; SENSITIVITY'!F10</f>
        <v>-6079.9754110374215</v>
      </c>
      <c r="F4" s="62">
        <f>'4. FCFF BUILD-UP &amp; SENSITIVITY'!G10</f>
        <v>-5647.3249060153539</v>
      </c>
      <c r="G4" s="62">
        <f>'4. FCFF BUILD-UP &amp; SENSITIVITY'!H10</f>
        <v>-5372.1828686637364</v>
      </c>
      <c r="H4" s="62">
        <f>'4. FCFF BUILD-UP &amp; SENSITIVITY'!I10</f>
        <v>-5087.9341305836515</v>
      </c>
      <c r="I4" s="62">
        <f>'4. FCFF BUILD-UP &amp; SENSITIVITY'!J10</f>
        <v>-4659.8958719427992</v>
      </c>
      <c r="J4" s="62">
        <f>'4. FCFF BUILD-UP &amp; SENSITIVITY'!K10</f>
        <v>-4196.6057916180798</v>
      </c>
      <c r="K4" s="62">
        <f>'4. FCFF BUILD-UP &amp; SENSITIVITY'!L10</f>
        <v>-3717.8773940318169</v>
      </c>
      <c r="L4" s="62">
        <f>'4. FCFF BUILD-UP &amp; SENSITIVITY'!M10</f>
        <v>-3179.9562831851072</v>
      </c>
      <c r="M4" s="62">
        <f>'4. FCFF BUILD-UP &amp; SENSITIVITY'!N10</f>
        <v>-2569.7693907991161</v>
      </c>
      <c r="N4" s="62">
        <f>'4. FCFF BUILD-UP &amp; SENSITIVITY'!O10</f>
        <v>-1904.6100158273621</v>
      </c>
      <c r="O4" s="62">
        <f>'4. FCFF BUILD-UP &amp; SENSITIVITY'!P10</f>
        <v>-1178.9219378896505</v>
      </c>
      <c r="P4" s="62">
        <f>'4. FCFF BUILD-UP &amp; SENSITIVITY'!Q10</f>
        <v>-380.76558461077548</v>
      </c>
      <c r="Q4" s="62">
        <f>'4. FCFF BUILD-UP &amp; SENSITIVITY'!R10</f>
        <v>493.88849538901559</v>
      </c>
      <c r="R4" s="62">
        <f>'4. FCFF BUILD-UP &amp; SENSITIVITY'!S10</f>
        <v>1446.8552715413225</v>
      </c>
      <c r="S4" s="62">
        <f>'4. FCFF BUILD-UP &amp; SENSITIVITY'!T10</f>
        <v>2484.776224529649</v>
      </c>
      <c r="T4" s="62">
        <f>'4. FCFF BUILD-UP &amp; SENSITIVITY'!U10</f>
        <v>3614.6168126559678</v>
      </c>
      <c r="U4" s="62">
        <f>'4. FCFF BUILD-UP &amp; SENSITIVITY'!V10</f>
        <v>4842.1550559160951</v>
      </c>
      <c r="V4" s="62">
        <f>'4. FCFF BUILD-UP &amp; SENSITIVITY'!W10</f>
        <v>6173.6658572292909</v>
      </c>
      <c r="W4" s="62">
        <f>'4. FCFF BUILD-UP &amp; SENSITIVITY'!X10</f>
        <v>7616.6027315905503</v>
      </c>
      <c r="X4" s="62">
        <f>'4. FCFF BUILD-UP &amp; SENSITIVITY'!Y10</f>
        <v>9178.6899720194942</v>
      </c>
      <c r="Y4" s="62">
        <f>'4. FCFF BUILD-UP &amp; SENSITIVITY'!Z10</f>
        <v>10867.913759647465</v>
      </c>
      <c r="Z4" s="62">
        <f>'4. FCFF BUILD-UP &amp; SENSITIVITY'!AA10</f>
        <v>12692.889192053301</v>
      </c>
    </row>
    <row r="5" spans="1:26" x14ac:dyDescent="0.4">
      <c r="A5" s="49" t="s">
        <v>246</v>
      </c>
      <c r="B5" s="62">
        <f>B4*(1-'1. INPUTS'!$B$24)</f>
        <v>-4797.721456854988</v>
      </c>
      <c r="C5" s="62">
        <f>C4*(1-'1. INPUTS'!$B$24)</f>
        <v>-4599.4597265505636</v>
      </c>
      <c r="D5" s="62">
        <f>D4*(1-'1. INPUTS'!$B$24)</f>
        <v>-4797.1323425263527</v>
      </c>
      <c r="E5" s="62">
        <f>E4*(1-'1. INPUTS'!$B$24)</f>
        <v>-4559.9815582780666</v>
      </c>
      <c r="F5" s="62">
        <f>F4*(1-'1. INPUTS'!$B$24)</f>
        <v>-4235.4936795115154</v>
      </c>
      <c r="G5" s="62">
        <f>G4*(1-'1. INPUTS'!$B$24)</f>
        <v>-4029.1371514978023</v>
      </c>
      <c r="H5" s="62">
        <f>H4*(1-'1. INPUTS'!$B$24)</f>
        <v>-3815.9505979377386</v>
      </c>
      <c r="I5" s="62">
        <f>I4*(1-'1. INPUTS'!$B$24)</f>
        <v>-3494.9219039570994</v>
      </c>
      <c r="J5" s="62">
        <f>J4*(1-'1. INPUTS'!$B$24)</f>
        <v>-3147.4543437135599</v>
      </c>
      <c r="K5" s="62">
        <f>K4*(1-'1. INPUTS'!$B$24)</f>
        <v>-2788.4080455238627</v>
      </c>
      <c r="L5" s="62">
        <f>L4*(1-'1. INPUTS'!$B$24)</f>
        <v>-2384.9672123888304</v>
      </c>
      <c r="M5" s="62">
        <f>M4*(1-'1. INPUTS'!$B$24)</f>
        <v>-1927.3270430993371</v>
      </c>
      <c r="N5" s="62">
        <f>N4*(1-'1. INPUTS'!$B$24)</f>
        <v>-1428.4575118705216</v>
      </c>
      <c r="O5" s="62">
        <f>O4*(1-'1. INPUTS'!$B$24)</f>
        <v>-884.19145341723788</v>
      </c>
      <c r="P5" s="62">
        <f>P4*(1-'1. INPUTS'!$B$24)</f>
        <v>-285.57418845808161</v>
      </c>
      <c r="Q5" s="62">
        <f>Q4*(1-'1. INPUTS'!$B$24)</f>
        <v>370.41637154176169</v>
      </c>
      <c r="R5" s="62">
        <f>R4*(1-'1. INPUTS'!$B$24)</f>
        <v>1085.1414536559919</v>
      </c>
      <c r="S5" s="62">
        <f>S4*(1-'1. INPUTS'!$B$24)</f>
        <v>1863.5821683972367</v>
      </c>
      <c r="T5" s="62">
        <f>T4*(1-'1. INPUTS'!$B$24)</f>
        <v>2710.9626094919759</v>
      </c>
      <c r="U5" s="62">
        <f>U4*(1-'1. INPUTS'!$B$24)</f>
        <v>3631.6162919370713</v>
      </c>
      <c r="V5" s="62">
        <f>V4*(1-'1. INPUTS'!$B$24)</f>
        <v>4630.2493929219681</v>
      </c>
      <c r="W5" s="62">
        <f>W4*(1-'1. INPUTS'!$B$24)</f>
        <v>5712.4520486929123</v>
      </c>
      <c r="X5" s="62">
        <f>X4*(1-'1. INPUTS'!$B$24)</f>
        <v>6884.0174790146211</v>
      </c>
      <c r="Y5" s="62">
        <f>Y4*(1-'1. INPUTS'!$B$24)</f>
        <v>8150.9353197355986</v>
      </c>
      <c r="Z5" s="62">
        <f>Z4*(1-'1. INPUTS'!$B$24)</f>
        <v>9519.6668940399759</v>
      </c>
    </row>
    <row r="6" spans="1:26" x14ac:dyDescent="0.4">
      <c r="A6" s="49" t="s">
        <v>146</v>
      </c>
      <c r="B6" s="46">
        <f>1/(1+'1. INPUTS'!$B$17)^1</f>
        <v>0.8923052919245511</v>
      </c>
      <c r="C6" s="46">
        <f>1/(1+'1. INPUTS'!$B$17)^1</f>
        <v>0.8923052919245511</v>
      </c>
      <c r="D6" s="46">
        <f>1/(1+'1. INPUTS'!$B$17)^1</f>
        <v>0.8923052919245511</v>
      </c>
      <c r="E6" s="46">
        <f>1/(1+'1. INPUTS'!$B$17)^1</f>
        <v>0.8923052919245511</v>
      </c>
      <c r="F6" s="46">
        <f>1/(1+'1. INPUTS'!$B$17)^1</f>
        <v>0.8923052919245511</v>
      </c>
      <c r="G6" s="46">
        <f>1/(1+'1. INPUTS'!$B$17)^1</f>
        <v>0.8923052919245511</v>
      </c>
      <c r="H6" s="46">
        <f>1/(1+'1. INPUTS'!$B$17)^1</f>
        <v>0.8923052919245511</v>
      </c>
      <c r="I6" s="46">
        <f>1/(1+'1. INPUTS'!$B$17)^1</f>
        <v>0.8923052919245511</v>
      </c>
      <c r="J6" s="46">
        <f>1/(1+'1. INPUTS'!$B$17)^1</f>
        <v>0.8923052919245511</v>
      </c>
      <c r="K6" s="46">
        <f>1/(1+'1. INPUTS'!$B$17)^1</f>
        <v>0.8923052919245511</v>
      </c>
      <c r="L6" s="46">
        <f>1/(1+'1. INPUTS'!$B$17)^1</f>
        <v>0.8923052919245511</v>
      </c>
      <c r="M6" s="46">
        <f>1/(1+'1. INPUTS'!$B$17)^1</f>
        <v>0.8923052919245511</v>
      </c>
      <c r="N6" s="46">
        <f>1/(1+'1. INPUTS'!$B$17)^1</f>
        <v>0.8923052919245511</v>
      </c>
      <c r="O6" s="46">
        <f>1/(1+'1. INPUTS'!$B$17)^1</f>
        <v>0.8923052919245511</v>
      </c>
      <c r="P6" s="46">
        <f>1/(1+'1. INPUTS'!$B$17)^1</f>
        <v>0.8923052919245511</v>
      </c>
      <c r="Q6" s="46">
        <f>1/(1+'1. INPUTS'!$B$17)^1</f>
        <v>0.8923052919245511</v>
      </c>
      <c r="R6" s="46">
        <f>1/(1+'1. INPUTS'!$B$17)^1</f>
        <v>0.8923052919245511</v>
      </c>
      <c r="S6" s="46">
        <f>1/(1+'1. INPUTS'!$B$17)^1</f>
        <v>0.8923052919245511</v>
      </c>
      <c r="T6" s="46">
        <f>1/(1+'1. INPUTS'!$B$17)^1</f>
        <v>0.8923052919245511</v>
      </c>
      <c r="U6" s="46">
        <f>1/(1+'1. INPUTS'!$B$17)^1</f>
        <v>0.8923052919245511</v>
      </c>
      <c r="V6" s="46">
        <f>1/(1+'1. INPUTS'!$B$17)^1</f>
        <v>0.8923052919245511</v>
      </c>
      <c r="W6" s="46">
        <f>1/(1+'1. INPUTS'!$B$17)^1</f>
        <v>0.8923052919245511</v>
      </c>
      <c r="X6" s="46">
        <f>1/(1+'1. INPUTS'!$B$17)^1</f>
        <v>0.8923052919245511</v>
      </c>
      <c r="Y6" s="46">
        <f>1/(1+'1. INPUTS'!$B$17)^1</f>
        <v>0.8923052919245511</v>
      </c>
      <c r="Z6" s="46">
        <f>1/(1+'1. INPUTS'!$B$17)^1</f>
        <v>0.8923052919245511</v>
      </c>
    </row>
    <row r="7" spans="1:26" x14ac:dyDescent="0.4">
      <c r="A7" s="49" t="s">
        <v>197</v>
      </c>
      <c r="B7" s="62">
        <f>B5*B6</f>
        <v>-4281.0322451316724</v>
      </c>
      <c r="C7" s="62">
        <f t="shared" ref="C7:Z7" si="1">C5*C6</f>
        <v>-4104.1222539949167</v>
      </c>
      <c r="D7" s="62">
        <f t="shared" si="1"/>
        <v>-4280.5065752986829</v>
      </c>
      <c r="E7" s="62">
        <f t="shared" si="1"/>
        <v>-4068.8956755298796</v>
      </c>
      <c r="F7" s="62">
        <f t="shared" si="1"/>
        <v>-3779.3534241411139</v>
      </c>
      <c r="G7" s="62">
        <f t="shared" si="1"/>
        <v>-3595.2204021713005</v>
      </c>
      <c r="H7" s="62">
        <f t="shared" si="1"/>
        <v>-3404.992912262499</v>
      </c>
      <c r="I7" s="62">
        <f t="shared" si="1"/>
        <v>-3118.5373097639476</v>
      </c>
      <c r="J7" s="62">
        <f t="shared" si="1"/>
        <v>-2808.4901669865244</v>
      </c>
      <c r="K7" s="62">
        <f t="shared" si="1"/>
        <v>-2488.1112550659373</v>
      </c>
      <c r="L7" s="62">
        <f t="shared" si="1"/>
        <v>-2128.1188646810983</v>
      </c>
      <c r="M7" s="62">
        <f t="shared" si="1"/>
        <v>-1719.7641198268359</v>
      </c>
      <c r="N7" s="62">
        <f t="shared" si="1"/>
        <v>-1274.6201971314435</v>
      </c>
      <c r="O7" s="62">
        <f t="shared" si="1"/>
        <v>-788.96871295866163</v>
      </c>
      <c r="P7" s="62">
        <f t="shared" si="1"/>
        <v>-254.81935959820527</v>
      </c>
      <c r="Q7" s="62">
        <f t="shared" si="1"/>
        <v>330.52448854220467</v>
      </c>
      <c r="R7" s="62">
        <f t="shared" si="1"/>
        <v>968.27746158394154</v>
      </c>
      <c r="S7" s="62">
        <f t="shared" si="1"/>
        <v>1662.8842307970842</v>
      </c>
      <c r="T7" s="62">
        <f t="shared" si="1"/>
        <v>2419.0062826592803</v>
      </c>
      <c r="U7" s="62">
        <f t="shared" si="1"/>
        <v>3240.5104355348644</v>
      </c>
      <c r="V7" s="62">
        <f t="shared" si="1"/>
        <v>4131.5960362347123</v>
      </c>
      <c r="W7" s="62">
        <f t="shared" si="1"/>
        <v>5097.2511929139291</v>
      </c>
      <c r="X7" s="62">
        <f t="shared" si="1"/>
        <v>6142.6452262258535</v>
      </c>
      <c r="Y7" s="62">
        <f t="shared" si="1"/>
        <v>7273.1227199348077</v>
      </c>
      <c r="Z7" s="62">
        <f t="shared" si="1"/>
        <v>8494.4491469108252</v>
      </c>
    </row>
    <row r="8" spans="1:26" x14ac:dyDescent="0.4">
      <c r="A8" s="9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s="10"/>
    </row>
    <row r="9" spans="1:26" x14ac:dyDescent="0.4">
      <c r="A9" s="49" t="s">
        <v>198</v>
      </c>
      <c r="B9" s="70">
        <f>Z5*(1+B16)/(B15-B16)</f>
        <v>182042.72222561063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s="10"/>
    </row>
    <row r="10" spans="1:26" x14ac:dyDescent="0.4">
      <c r="A10" s="49" t="s">
        <v>199</v>
      </c>
      <c r="B10" s="70">
        <f>B9/(1+B15)^COUNT(B3:Z3)</f>
        <v>10544.112645724876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s="10"/>
    </row>
    <row r="11" spans="1:26" x14ac:dyDescent="0.4">
      <c r="A11" s="49" t="s">
        <v>200</v>
      </c>
      <c r="B11" s="70">
        <f>B10+SUM(B7:Z7)</f>
        <v>8208.8263925196661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10"/>
    </row>
    <row r="12" spans="1:26" x14ac:dyDescent="0.4">
      <c r="A12" s="49" t="s">
        <v>247</v>
      </c>
      <c r="B12" s="70">
        <f>'1. INPUTS'!B20</f>
        <v>1875.6516099999999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0"/>
    </row>
    <row r="13" spans="1:26" x14ac:dyDescent="0.4">
      <c r="A13" s="49" t="s">
        <v>202</v>
      </c>
      <c r="B13" s="26">
        <f>B11/B12</f>
        <v>4.3765197911778868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0"/>
    </row>
    <row r="14" spans="1:26" x14ac:dyDescent="0.4">
      <c r="A14" s="9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0"/>
    </row>
    <row r="15" spans="1:26" x14ac:dyDescent="0.4">
      <c r="A15" s="49" t="s">
        <v>17</v>
      </c>
      <c r="B15" s="63">
        <f>'4. FCFF BUILD-UP &amp; SENSITIVITY'!B21</f>
        <v>0.12069266993045574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0"/>
    </row>
    <row r="16" spans="1:26" x14ac:dyDescent="0.4">
      <c r="A16" s="49" t="s">
        <v>159</v>
      </c>
      <c r="B16" s="69">
        <f>'4. FCFF BUILD-UP &amp; SENSITIVITY'!B22</f>
        <v>6.5000000000000002E-2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8" spans="1:10" x14ac:dyDescent="0.4">
      <c r="A18" s="148" t="s">
        <v>185</v>
      </c>
      <c r="B18" s="148"/>
      <c r="C18" s="148"/>
      <c r="D18" s="148"/>
      <c r="E18" s="148"/>
      <c r="F18" s="148"/>
      <c r="G18" s="148"/>
      <c r="H18" s="148"/>
      <c r="I18" s="148"/>
      <c r="J18" s="148"/>
    </row>
    <row r="19" spans="1:10" x14ac:dyDescent="0.4">
      <c r="A19" s="117"/>
      <c r="B19" s="117"/>
      <c r="C19" s="117"/>
      <c r="D19" s="117"/>
      <c r="E19" s="117"/>
      <c r="F19" s="117"/>
      <c r="G19" s="117"/>
      <c r="H19" s="117"/>
      <c r="I19" s="117"/>
      <c r="J19" s="117"/>
    </row>
    <row r="20" spans="1:10" x14ac:dyDescent="0.4">
      <c r="A20" s="117"/>
      <c r="B20" s="117"/>
      <c r="C20" s="117"/>
      <c r="D20" s="117"/>
      <c r="E20" s="117"/>
      <c r="F20" s="117"/>
      <c r="G20" s="117"/>
      <c r="H20" s="117"/>
      <c r="I20" s="117"/>
      <c r="J20" s="117"/>
    </row>
    <row r="21" spans="1:10" x14ac:dyDescent="0.4">
      <c r="A21" s="117"/>
      <c r="B21" s="117"/>
      <c r="C21" s="117"/>
      <c r="D21" s="117"/>
      <c r="E21" s="117"/>
      <c r="F21" s="117"/>
      <c r="G21" s="117"/>
      <c r="H21" s="117"/>
      <c r="I21" s="117"/>
      <c r="J21" s="117"/>
    </row>
    <row r="22" spans="1:10" x14ac:dyDescent="0.4">
      <c r="A22" s="117"/>
      <c r="B22" s="117"/>
      <c r="C22" s="117"/>
      <c r="D22" s="117"/>
      <c r="E22" s="117"/>
      <c r="F22" s="117"/>
      <c r="G22" s="117"/>
      <c r="H22" s="117"/>
      <c r="I22" s="117"/>
      <c r="J22" s="117"/>
    </row>
  </sheetData>
  <mergeCells count="2">
    <mergeCell ref="A1:Z1"/>
    <mergeCell ref="A18:J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9454-5652-4F4B-82CC-7405112B0ACA}">
  <sheetPr>
    <tabColor theme="8" tint="0.39997558519241921"/>
  </sheetPr>
  <dimension ref="A1:L20"/>
  <sheetViews>
    <sheetView showGridLines="0" zoomScale="120" zoomScaleNormal="120" workbookViewId="0">
      <pane xSplit="12" ySplit="20" topLeftCell="M21" activePane="bottomRight" state="frozen"/>
      <selection pane="topRight" activeCell="M1" sqref="M1"/>
      <selection pane="bottomLeft" activeCell="A22" sqref="A22"/>
      <selection pane="bottomRight" activeCell="M21" sqref="M21"/>
    </sheetView>
  </sheetViews>
  <sheetFormatPr defaultRowHeight="13.15" x14ac:dyDescent="0.4"/>
  <cols>
    <col min="1" max="16384" width="9.140625" style="34"/>
  </cols>
  <sheetData>
    <row r="1" spans="1:12" ht="22.5" x14ac:dyDescent="0.6">
      <c r="A1" s="154" t="s">
        <v>235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13.15" customHeight="1" x14ac:dyDescent="0.4">
      <c r="A2" s="156" t="s">
        <v>236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ht="13.15" customHeight="1" x14ac:dyDescent="0.4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1:12" ht="13.15" customHeight="1" x14ac:dyDescent="0.4">
      <c r="A4" s="156" t="s">
        <v>249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</row>
    <row r="5" spans="1:12" x14ac:dyDescent="0.4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</row>
    <row r="6" spans="1:12" x14ac:dyDescent="0.4">
      <c r="A6" s="155" t="s">
        <v>237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</row>
    <row r="7" spans="1:12" x14ac:dyDescent="0.4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</row>
    <row r="8" spans="1:12" x14ac:dyDescent="0.4">
      <c r="A8" s="155" t="s">
        <v>238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</row>
    <row r="9" spans="1:12" x14ac:dyDescent="0.4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</row>
    <row r="10" spans="1:12" x14ac:dyDescent="0.4">
      <c r="A10" s="158" t="s">
        <v>239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60"/>
    </row>
    <row r="11" spans="1:12" x14ac:dyDescent="0.4">
      <c r="A11" s="161" t="s">
        <v>240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3"/>
    </row>
    <row r="12" spans="1:12" x14ac:dyDescent="0.4">
      <c r="A12" s="164" t="s">
        <v>241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6"/>
    </row>
    <row r="13" spans="1:12" x14ac:dyDescent="0.4">
      <c r="A13" s="157" t="s">
        <v>242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spans="1:12" x14ac:dyDescent="0.4">
      <c r="A14" s="155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</row>
    <row r="15" spans="1:12" x14ac:dyDescent="0.4">
      <c r="A15" s="155" t="s">
        <v>243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</row>
    <row r="16" spans="1:12" x14ac:dyDescent="0.4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</row>
    <row r="17" spans="1:12" x14ac:dyDescent="0.4">
      <c r="A17" s="155" t="s">
        <v>244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</row>
    <row r="18" spans="1:12" x14ac:dyDescent="0.4">
      <c r="A18" s="155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spans="1:12" x14ac:dyDescent="0.4">
      <c r="A19" s="155" t="s">
        <v>245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</row>
    <row r="20" spans="1:12" x14ac:dyDescent="0.4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</row>
  </sheetData>
  <mergeCells count="12">
    <mergeCell ref="A15:L16"/>
    <mergeCell ref="A17:L18"/>
    <mergeCell ref="A19:L20"/>
    <mergeCell ref="A10:L10"/>
    <mergeCell ref="A11:L11"/>
    <mergeCell ref="A12:L12"/>
    <mergeCell ref="A1:L1"/>
    <mergeCell ref="A6:L7"/>
    <mergeCell ref="A4:L5"/>
    <mergeCell ref="A2:L3"/>
    <mergeCell ref="A13:L14"/>
    <mergeCell ref="A8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ASSIGNMENT DETAILS</vt:lpstr>
      <vt:lpstr>1. INPUTS</vt:lpstr>
      <vt:lpstr>1A. MARKET RETURNS CALCULATION</vt:lpstr>
      <vt:lpstr>1B. SNIPS OF INPUTS FROM SOURCE</vt:lpstr>
      <vt:lpstr>2. RAW FINANCIALS (CASE)</vt:lpstr>
      <vt:lpstr>3. KEY ASSUMPTIONS &amp; DRIVERS</vt:lpstr>
      <vt:lpstr>4. FCFF BUILD-UP &amp; SENSITIVITY</vt:lpstr>
      <vt:lpstr>4A. CAPEX &amp; WC WORKINGS</vt:lpstr>
      <vt:lpstr>5A. MILD ESG SCENARIO</vt:lpstr>
      <vt:lpstr>5B. MODERATE ESG SCENARIO</vt:lpstr>
      <vt:lpstr>5C. SEVERE ESG SCENARIO</vt:lpstr>
      <vt:lpstr>6. 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2026-01-03T07:36:46Z</dcterms:created>
  <dcterms:modified xsi:type="dcterms:W3CDTF">2026-03-03T10:52:01Z</dcterms:modified>
</cp:coreProperties>
</file>