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b\OneDrive\Documents\Harvard Case\"/>
    </mc:Choice>
  </mc:AlternateContent>
  <xr:revisionPtr revIDLastSave="0" documentId="13_ncr:1_{E559646C-8669-495B-9964-5B715388A9C9}" xr6:coauthVersionLast="47" xr6:coauthVersionMax="47" xr10:uidLastSave="{00000000-0000-0000-0000-000000000000}"/>
  <bookViews>
    <workbookView xWindow="28680" yWindow="-120" windowWidth="29040" windowHeight="15720" xr2:uid="{E58FFA54-040F-4DEC-B768-03DCAA9263D7}"/>
  </bookViews>
  <sheets>
    <sheet name="DCF" sheetId="1" r:id="rId1"/>
    <sheet name="Trading Comp" sheetId="3" r:id="rId2"/>
  </sheets>
  <definedNames>
    <definedName name="tgr">DCF!$D$10</definedName>
    <definedName name="wacc">DCF!$D$9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3" l="1"/>
  <c r="P23" i="3"/>
  <c r="P24" i="3"/>
  <c r="O24" i="3"/>
  <c r="P25" i="3"/>
  <c r="O25" i="3"/>
  <c r="O23" i="3"/>
  <c r="N25" i="3"/>
  <c r="N23" i="3"/>
  <c r="P17" i="3"/>
  <c r="P16" i="3"/>
  <c r="P15" i="3"/>
  <c r="P14" i="3"/>
  <c r="P13" i="3"/>
  <c r="N17" i="3"/>
  <c r="N15" i="3"/>
  <c r="N14" i="3"/>
  <c r="P11" i="3"/>
  <c r="P10" i="3"/>
  <c r="P9" i="3"/>
  <c r="P8" i="3"/>
  <c r="P7" i="3"/>
  <c r="P6" i="3"/>
  <c r="P18" i="3" s="1"/>
  <c r="O11" i="3"/>
  <c r="N11" i="3"/>
  <c r="N7" i="3"/>
  <c r="H11" i="3"/>
  <c r="H10" i="3"/>
  <c r="N10" i="3" s="1"/>
  <c r="H9" i="3"/>
  <c r="N9" i="3" s="1"/>
  <c r="H8" i="3"/>
  <c r="N8" i="3" s="1"/>
  <c r="H7" i="3"/>
  <c r="O7" i="3" s="1"/>
  <c r="H6" i="3"/>
  <c r="N6" i="3" s="1"/>
  <c r="N18" i="3" s="1"/>
  <c r="F11" i="3"/>
  <c r="F10" i="3"/>
  <c r="F9" i="3"/>
  <c r="F8" i="3"/>
  <c r="F7" i="3"/>
  <c r="F6" i="3"/>
  <c r="H15" i="1"/>
  <c r="H30" i="1" s="1"/>
  <c r="L21" i="1"/>
  <c r="K21" i="1"/>
  <c r="J21" i="1"/>
  <c r="I21" i="1"/>
  <c r="H21" i="1"/>
  <c r="G21" i="1"/>
  <c r="F21" i="1"/>
  <c r="E21" i="1"/>
  <c r="R29" i="1"/>
  <c r="R34" i="1" s="1"/>
  <c r="D10" i="1" s="1"/>
  <c r="P26" i="3" l="1"/>
  <c r="N13" i="3"/>
  <c r="N16" i="3"/>
  <c r="N22" i="3" s="1"/>
  <c r="N24" i="3" s="1"/>
  <c r="N26" i="3" s="1"/>
  <c r="O6" i="3"/>
  <c r="O10" i="3"/>
  <c r="O9" i="3"/>
  <c r="O8" i="3"/>
  <c r="H27" i="1"/>
  <c r="G31" i="1"/>
  <c r="F31" i="1"/>
  <c r="E31" i="1"/>
  <c r="G27" i="1"/>
  <c r="F27" i="1"/>
  <c r="E27" i="1"/>
  <c r="G25" i="1"/>
  <c r="F25" i="1"/>
  <c r="E25" i="1"/>
  <c r="G19" i="1"/>
  <c r="F19" i="1"/>
  <c r="E19" i="1"/>
  <c r="G16" i="1"/>
  <c r="F16" i="1"/>
  <c r="G22" i="1"/>
  <c r="F22" i="1"/>
  <c r="E22" i="1"/>
  <c r="F13" i="1"/>
  <c r="G13" i="1" s="1"/>
  <c r="K12" i="1"/>
  <c r="O13" i="3" l="1"/>
  <c r="O18" i="3"/>
  <c r="O17" i="3"/>
  <c r="O16" i="3"/>
  <c r="O22" i="3" s="1"/>
  <c r="O26" i="3" s="1"/>
  <c r="O15" i="3"/>
  <c r="O14" i="3"/>
  <c r="H13" i="1"/>
  <c r="I13" i="1" s="1"/>
  <c r="J13" i="1" s="1"/>
  <c r="K13" i="1" s="1"/>
  <c r="L13" i="1" s="1"/>
  <c r="H24" i="1" l="1"/>
  <c r="H25" i="1" s="1"/>
  <c r="H18" i="1"/>
  <c r="H19" i="1" l="1"/>
  <c r="H22" i="1"/>
  <c r="H31" i="1" l="1"/>
  <c r="H32" i="1"/>
  <c r="H33" i="1" s="1"/>
  <c r="H28" i="1"/>
  <c r="I15" i="1"/>
  <c r="I30" i="1" s="1"/>
  <c r="I31" i="1" s="1"/>
  <c r="I27" i="1" l="1"/>
  <c r="I28" i="1" s="1"/>
  <c r="I18" i="1"/>
  <c r="I24" i="1"/>
  <c r="I25" i="1" s="1"/>
  <c r="I22" i="1" l="1"/>
  <c r="I32" i="1" s="1"/>
  <c r="I33" i="1" s="1"/>
  <c r="I19" i="1"/>
  <c r="J15" i="1"/>
  <c r="J30" i="1" s="1"/>
  <c r="J31" i="1" s="1"/>
  <c r="J27" i="1" l="1"/>
  <c r="J28" i="1" s="1"/>
  <c r="J18" i="1"/>
  <c r="J24" i="1"/>
  <c r="J25" i="1" s="1"/>
  <c r="J22" i="1" l="1"/>
  <c r="J32" i="1" s="1"/>
  <c r="J33" i="1" s="1"/>
  <c r="J19" i="1"/>
  <c r="K15" i="1"/>
  <c r="K30" i="1" s="1"/>
  <c r="K31" i="1" s="1"/>
  <c r="K24" i="1" l="1"/>
  <c r="K25" i="1" s="1"/>
  <c r="K27" i="1"/>
  <c r="K28" i="1" s="1"/>
  <c r="K18" i="1"/>
  <c r="K19" i="1" l="1"/>
  <c r="K22" i="1"/>
  <c r="K32" i="1" s="1"/>
  <c r="K33" i="1" s="1"/>
  <c r="L15" i="1"/>
  <c r="L24" i="1" s="1"/>
  <c r="L25" i="1" s="1"/>
  <c r="L30" i="1" l="1"/>
  <c r="L31" i="1" s="1"/>
  <c r="L18" i="1"/>
  <c r="L27" i="1"/>
  <c r="L28" i="1" s="1"/>
  <c r="L22" i="1" l="1"/>
  <c r="L32" i="1" s="1"/>
  <c r="L35" i="1" s="1"/>
  <c r="L19" i="1"/>
  <c r="L36" i="1" l="1"/>
  <c r="L33" i="1"/>
  <c r="L37" i="1" l="1"/>
  <c r="L40" i="1" s="1"/>
  <c r="L42" i="1" s="1"/>
  <c r="N42" i="1" s="1"/>
</calcChain>
</file>

<file path=xl/sharedStrings.xml><?xml version="1.0" encoding="utf-8"?>
<sst xmlns="http://schemas.openxmlformats.org/spreadsheetml/2006/main" count="82" uniqueCount="65">
  <si>
    <t>Ticker</t>
  </si>
  <si>
    <t>Date</t>
  </si>
  <si>
    <t>Assumptions</t>
  </si>
  <si>
    <t>Pirelli DCF</t>
  </si>
  <si>
    <t>PIRC</t>
  </si>
  <si>
    <t>Revenue</t>
  </si>
  <si>
    <t>% growth</t>
  </si>
  <si>
    <t>EBIT</t>
  </si>
  <si>
    <t>Tax Rate</t>
  </si>
  <si>
    <t>EBIAT</t>
  </si>
  <si>
    <t>D&amp;A</t>
  </si>
  <si>
    <t>CapEx</t>
  </si>
  <si>
    <t>Change in NWC</t>
  </si>
  <si>
    <t>Unlevered FCF</t>
  </si>
  <si>
    <t>Present Value of FCF</t>
  </si>
  <si>
    <t>% of revenue</t>
  </si>
  <si>
    <t>Terminal Value</t>
  </si>
  <si>
    <t>Present Value of Terminal Value</t>
  </si>
  <si>
    <t>Enterprise Value</t>
  </si>
  <si>
    <t>+ Cash</t>
  </si>
  <si>
    <t>- Debt</t>
  </si>
  <si>
    <t>Equity Value</t>
  </si>
  <si>
    <t>Shares</t>
  </si>
  <si>
    <t>Share Price</t>
  </si>
  <si>
    <t>% Debt</t>
  </si>
  <si>
    <t>Cost of Debt</t>
  </si>
  <si>
    <t>% Equity</t>
  </si>
  <si>
    <t>Cost of Equity</t>
  </si>
  <si>
    <t>Risk Free Rate</t>
  </si>
  <si>
    <t>Beta</t>
  </si>
  <si>
    <t>Market Risk Premium</t>
  </si>
  <si>
    <t>WACC</t>
  </si>
  <si>
    <t>DCF</t>
  </si>
  <si>
    <t>Valuation Assumptions</t>
  </si>
  <si>
    <t>TGR</t>
  </si>
  <si>
    <t>Michelin</t>
  </si>
  <si>
    <t>Bridgestone</t>
  </si>
  <si>
    <t>Goodyear</t>
  </si>
  <si>
    <t>Continental</t>
  </si>
  <si>
    <t>Yokohama</t>
  </si>
  <si>
    <t>Pirelli</t>
  </si>
  <si>
    <t>ML</t>
  </si>
  <si>
    <t>BRDCY</t>
  </si>
  <si>
    <t>GT</t>
  </si>
  <si>
    <t>CON</t>
  </si>
  <si>
    <t>YORUY</t>
  </si>
  <si>
    <t>Shares Outstanding</t>
  </si>
  <si>
    <t>Net Debt</t>
  </si>
  <si>
    <t>EBITDA</t>
  </si>
  <si>
    <t>Net Income</t>
  </si>
  <si>
    <t>EV/Revenue</t>
  </si>
  <si>
    <t>EV/EBITDA</t>
  </si>
  <si>
    <t>P/E</t>
  </si>
  <si>
    <t>Company</t>
  </si>
  <si>
    <t>High</t>
  </si>
  <si>
    <t>Average</t>
  </si>
  <si>
    <t>Median</t>
  </si>
  <si>
    <t>25th Percentile</t>
  </si>
  <si>
    <t>Low</t>
  </si>
  <si>
    <t>75th Percentile</t>
  </si>
  <si>
    <t>Pirelli Valuation</t>
  </si>
  <si>
    <t>Implied Enterprise Value</t>
  </si>
  <si>
    <t>Implied Market Value</t>
  </si>
  <si>
    <t>Implied Value Per Share</t>
  </si>
  <si>
    <t>Comparable Companies Analysis (Pirelli)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</si>
</sst>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"/>
    <numFmt numFmtId="166" formatCode="#,##0.0"/>
    <numFmt numFmtId="167" formatCode="_-[$€-2]\ * #,##0.00_-;\-[$€-2]\ * #,##0.00_-;_-[$€-2]\ * &quot;-&quot;??_-;_-@_-"/>
    <numFmt numFmtId="175" formatCode="0.00\x"/>
    <numFmt numFmtId="176" formatCode="0.0\x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4" fillId="0" borderId="1" xfId="0" applyFont="1" applyBorder="1"/>
    <xf numFmtId="0" fontId="0" fillId="0" borderId="3" xfId="0" applyBorder="1"/>
    <xf numFmtId="0" fontId="0" fillId="0" borderId="5" xfId="0" applyBorder="1"/>
    <xf numFmtId="14" fontId="0" fillId="2" borderId="6" xfId="0" applyNumberForma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3" borderId="7" xfId="0" applyFont="1" applyFill="1" applyBorder="1"/>
    <xf numFmtId="0" fontId="5" fillId="4" borderId="0" xfId="0" applyFont="1" applyFill="1"/>
    <xf numFmtId="3" fontId="6" fillId="4" borderId="0" xfId="0" applyNumberFormat="1" applyFont="1" applyFill="1"/>
    <xf numFmtId="0" fontId="7" fillId="4" borderId="0" xfId="0" applyFont="1" applyFill="1"/>
    <xf numFmtId="164" fontId="7" fillId="4" borderId="0" xfId="1" applyNumberFormat="1" applyFont="1" applyFill="1"/>
    <xf numFmtId="164" fontId="7" fillId="4" borderId="7" xfId="1" applyNumberFormat="1" applyFont="1" applyFill="1" applyBorder="1"/>
    <xf numFmtId="164" fontId="7" fillId="4" borderId="0" xfId="1" applyNumberFormat="1" applyFont="1" applyFill="1" applyBorder="1"/>
    <xf numFmtId="0" fontId="8" fillId="4" borderId="0" xfId="0" applyFont="1" applyFill="1"/>
    <xf numFmtId="0" fontId="5" fillId="4" borderId="7" xfId="0" applyFont="1" applyFill="1" applyBorder="1"/>
    <xf numFmtId="0" fontId="2" fillId="0" borderId="0" xfId="0" applyFont="1"/>
    <xf numFmtId="0" fontId="5" fillId="4" borderId="8" xfId="0" applyFont="1" applyFill="1" applyBorder="1"/>
    <xf numFmtId="164" fontId="0" fillId="2" borderId="10" xfId="0" applyNumberFormat="1" applyFill="1" applyBorder="1" applyAlignment="1">
      <alignment horizontal="center"/>
    </xf>
    <xf numFmtId="0" fontId="5" fillId="4" borderId="9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0" xfId="0" applyFont="1"/>
    <xf numFmtId="164" fontId="7" fillId="4" borderId="15" xfId="1" applyNumberFormat="1" applyFont="1" applyFill="1" applyBorder="1"/>
    <xf numFmtId="0" fontId="9" fillId="0" borderId="0" xfId="0" applyFont="1"/>
    <xf numFmtId="0" fontId="0" fillId="0" borderId="16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7" xfId="0" applyBorder="1"/>
    <xf numFmtId="10" fontId="0" fillId="0" borderId="1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2" xfId="0" applyNumberFormat="1" applyBorder="1"/>
    <xf numFmtId="164" fontId="9" fillId="0" borderId="0" xfId="1" applyNumberFormat="1" applyFont="1" applyBorder="1"/>
    <xf numFmtId="164" fontId="9" fillId="0" borderId="7" xfId="1" applyNumberFormat="1" applyFont="1" applyBorder="1"/>
    <xf numFmtId="164" fontId="9" fillId="0" borderId="0" xfId="0" applyNumberFormat="1" applyFont="1"/>
    <xf numFmtId="164" fontId="9" fillId="0" borderId="7" xfId="0" applyNumberFormat="1" applyFont="1" applyBorder="1"/>
    <xf numFmtId="165" fontId="10" fillId="0" borderId="0" xfId="0" applyNumberFormat="1" applyFont="1"/>
    <xf numFmtId="165" fontId="10" fillId="0" borderId="7" xfId="0" applyNumberFormat="1" applyFont="1" applyBorder="1"/>
    <xf numFmtId="1" fontId="10" fillId="0" borderId="0" xfId="0" applyNumberFormat="1" applyFont="1"/>
    <xf numFmtId="1" fontId="10" fillId="0" borderId="7" xfId="0" applyNumberFormat="1" applyFont="1" applyBorder="1"/>
    <xf numFmtId="0" fontId="10" fillId="0" borderId="0" xfId="0" applyFont="1"/>
    <xf numFmtId="0" fontId="10" fillId="0" borderId="7" xfId="0" applyFont="1" applyBorder="1"/>
    <xf numFmtId="9" fontId="0" fillId="0" borderId="0" xfId="1" applyFont="1"/>
    <xf numFmtId="14" fontId="0" fillId="0" borderId="0" xfId="0" applyNumberFormat="1"/>
    <xf numFmtId="37" fontId="5" fillId="0" borderId="0" xfId="0" applyNumberFormat="1" applyFont="1"/>
    <xf numFmtId="37" fontId="5" fillId="0" borderId="1" xfId="0" applyNumberFormat="1" applyFont="1" applyBorder="1"/>
    <xf numFmtId="37" fontId="8" fillId="0" borderId="0" xfId="0" applyNumberFormat="1" applyFont="1"/>
    <xf numFmtId="0" fontId="0" fillId="0" borderId="0" xfId="0" quotePrefix="1"/>
    <xf numFmtId="0" fontId="0" fillId="0" borderId="1" xfId="0" quotePrefix="1" applyBorder="1"/>
    <xf numFmtId="164" fontId="0" fillId="5" borderId="17" xfId="0" applyNumberFormat="1" applyFill="1" applyBorder="1" applyAlignment="1">
      <alignment horizontal="right"/>
    </xf>
    <xf numFmtId="0" fontId="3" fillId="6" borderId="11" xfId="0" applyFont="1" applyFill="1" applyBorder="1"/>
    <xf numFmtId="0" fontId="0" fillId="6" borderId="12" xfId="0" applyFill="1" applyBorder="1"/>
    <xf numFmtId="10" fontId="3" fillId="6" borderId="13" xfId="0" applyNumberFormat="1" applyFont="1" applyFill="1" applyBorder="1"/>
    <xf numFmtId="9" fontId="0" fillId="0" borderId="0" xfId="0" applyNumberFormat="1" applyAlignment="1">
      <alignment horizontal="right"/>
    </xf>
    <xf numFmtId="2" fontId="0" fillId="5" borderId="17" xfId="1" applyNumberFormat="1" applyFont="1" applyFill="1" applyBorder="1" applyAlignment="1">
      <alignment horizontal="right"/>
    </xf>
    <xf numFmtId="166" fontId="3" fillId="0" borderId="16" xfId="0" applyNumberFormat="1" applyFont="1" applyBorder="1"/>
    <xf numFmtId="166" fontId="3" fillId="0" borderId="13" xfId="0" applyNumberFormat="1" applyFont="1" applyBorder="1"/>
    <xf numFmtId="166" fontId="3" fillId="0" borderId="12" xfId="0" applyNumberFormat="1" applyFont="1" applyBorder="1"/>
    <xf numFmtId="164" fontId="0" fillId="5" borderId="17" xfId="0" applyNumberFormat="1" applyFill="1" applyBorder="1" applyAlignment="1">
      <alignment horizontal="center"/>
    </xf>
    <xf numFmtId="10" fontId="0" fillId="5" borderId="17" xfId="0" applyNumberFormat="1" applyFill="1" applyBorder="1" applyAlignment="1">
      <alignment horizontal="center"/>
    </xf>
    <xf numFmtId="166" fontId="3" fillId="0" borderId="0" xfId="0" applyNumberFormat="1" applyFont="1"/>
    <xf numFmtId="164" fontId="0" fillId="0" borderId="1" xfId="0" applyNumberFormat="1" applyBorder="1"/>
    <xf numFmtId="164" fontId="0" fillId="0" borderId="18" xfId="0" applyNumberFormat="1" applyBorder="1"/>
    <xf numFmtId="3" fontId="3" fillId="4" borderId="12" xfId="0" applyNumberFormat="1" applyFont="1" applyFill="1" applyBorder="1"/>
    <xf numFmtId="3" fontId="3" fillId="4" borderId="13" xfId="0" applyNumberFormat="1" applyFont="1" applyFill="1" applyBorder="1"/>
    <xf numFmtId="9" fontId="5" fillId="4" borderId="0" xfId="1" applyFont="1" applyFill="1"/>
    <xf numFmtId="9" fontId="5" fillId="4" borderId="7" xfId="1" applyFont="1" applyFill="1" applyBorder="1"/>
    <xf numFmtId="167" fontId="3" fillId="0" borderId="0" xfId="0" applyNumberFormat="1" applyFont="1"/>
    <xf numFmtId="9" fontId="3" fillId="7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1" fillId="0" borderId="0" xfId="0" applyFont="1"/>
    <xf numFmtId="2" fontId="11" fillId="0" borderId="0" xfId="0" applyNumberFormat="1" applyFont="1"/>
    <xf numFmtId="1" fontId="0" fillId="0" borderId="0" xfId="0" applyNumberFormat="1"/>
    <xf numFmtId="0" fontId="0" fillId="8" borderId="0" xfId="0" applyFill="1" applyAlignment="1">
      <alignment horizontal="center"/>
    </xf>
    <xf numFmtId="2" fontId="11" fillId="8" borderId="0" xfId="0" applyNumberFormat="1" applyFont="1" applyFill="1"/>
    <xf numFmtId="0" fontId="11" fillId="8" borderId="0" xfId="0" applyFont="1" applyFill="1"/>
    <xf numFmtId="1" fontId="0" fillId="8" borderId="0" xfId="0" applyNumberFormat="1" applyFill="1"/>
    <xf numFmtId="0" fontId="0" fillId="8" borderId="0" xfId="0" applyFill="1"/>
    <xf numFmtId="175" fontId="0" fillId="8" borderId="0" xfId="0" applyNumberFormat="1" applyFill="1"/>
    <xf numFmtId="175" fontId="0" fillId="0" borderId="0" xfId="0" applyNumberFormat="1"/>
    <xf numFmtId="0" fontId="3" fillId="8" borderId="0" xfId="0" applyFont="1" applyFill="1"/>
    <xf numFmtId="176" fontId="0" fillId="8" borderId="0" xfId="0" applyNumberFormat="1" applyFill="1"/>
    <xf numFmtId="176" fontId="3" fillId="8" borderId="0" xfId="0" applyNumberFormat="1" applyFont="1" applyFill="1"/>
    <xf numFmtId="0" fontId="3" fillId="8" borderId="12" xfId="0" applyFont="1" applyFill="1" applyBorder="1"/>
    <xf numFmtId="0" fontId="0" fillId="8" borderId="12" xfId="0" applyFill="1" applyBorder="1"/>
    <xf numFmtId="167" fontId="0" fillId="8" borderId="12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A9B9-BDAB-4FF9-A1E7-9319B930C25E}">
  <dimension ref="B2:V42"/>
  <sheetViews>
    <sheetView showGridLines="0" tabSelected="1" zoomScale="95" zoomScaleNormal="95" workbookViewId="0">
      <selection activeCell="N26" sqref="N26"/>
    </sheetView>
  </sheetViews>
  <sheetFormatPr defaultRowHeight="14.4" x14ac:dyDescent="0.3"/>
  <cols>
    <col min="1" max="1" width="3.77734375" customWidth="1"/>
    <col min="3" max="3" width="12.21875" customWidth="1"/>
    <col min="4" max="4" width="10.88671875" bestFit="1" customWidth="1"/>
    <col min="5" max="12" width="9" bestFit="1" customWidth="1"/>
    <col min="17" max="17" width="9.44140625" bestFit="1" customWidth="1"/>
    <col min="23" max="23" width="9" bestFit="1" customWidth="1"/>
  </cols>
  <sheetData>
    <row r="2" spans="2:18" s="1" customFormat="1" ht="21" x14ac:dyDescent="0.4">
      <c r="B2" s="2" t="s">
        <v>3</v>
      </c>
    </row>
    <row r="3" spans="2:18" x14ac:dyDescent="0.3">
      <c r="C3" s="3"/>
    </row>
    <row r="4" spans="2:18" x14ac:dyDescent="0.3">
      <c r="B4" s="4" t="s">
        <v>0</v>
      </c>
      <c r="C4" s="5" t="s">
        <v>4</v>
      </c>
    </row>
    <row r="5" spans="2:18" x14ac:dyDescent="0.3">
      <c r="B5" s="4" t="s">
        <v>1</v>
      </c>
      <c r="C5" s="5">
        <v>45841</v>
      </c>
    </row>
    <row r="7" spans="2:18" x14ac:dyDescent="0.3">
      <c r="B7" s="6" t="s">
        <v>2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2:18" ht="4.95" customHeight="1" x14ac:dyDescent="0.3"/>
    <row r="9" spans="2:18" x14ac:dyDescent="0.3">
      <c r="B9" s="23" t="s">
        <v>33</v>
      </c>
    </row>
    <row r="10" spans="2:18" x14ac:dyDescent="0.3">
      <c r="B10" t="s">
        <v>31</v>
      </c>
      <c r="D10" s="62">
        <f>R34</f>
        <v>8.0805700000000008E-2</v>
      </c>
    </row>
    <row r="11" spans="2:18" x14ac:dyDescent="0.3">
      <c r="B11" t="s">
        <v>34</v>
      </c>
      <c r="D11" s="61">
        <v>1.4999999999999999E-2</v>
      </c>
    </row>
    <row r="12" spans="2:18" x14ac:dyDescent="0.3">
      <c r="B12" s="17"/>
      <c r="H12">
        <v>1</v>
      </c>
      <c r="I12">
        <v>2</v>
      </c>
      <c r="J12">
        <v>3</v>
      </c>
      <c r="K12">
        <f>J12+1</f>
        <v>4</v>
      </c>
      <c r="L12">
        <v>5</v>
      </c>
    </row>
    <row r="13" spans="2:18" x14ac:dyDescent="0.3">
      <c r="B13" s="6" t="s">
        <v>32</v>
      </c>
      <c r="C13" s="7"/>
      <c r="D13" s="7"/>
      <c r="E13" s="6">
        <v>2022</v>
      </c>
      <c r="F13" s="6">
        <f>E13+1</f>
        <v>2023</v>
      </c>
      <c r="G13" s="6">
        <f>F13+1</f>
        <v>2024</v>
      </c>
      <c r="H13" s="6">
        <f>G13+1</f>
        <v>2025</v>
      </c>
      <c r="I13" s="8">
        <f>H13+1</f>
        <v>2026</v>
      </c>
      <c r="J13" s="6">
        <f>I13+1</f>
        <v>2027</v>
      </c>
      <c r="K13" s="6">
        <f>J13+1</f>
        <v>2028</v>
      </c>
      <c r="L13" s="6">
        <f>K13+1</f>
        <v>2029</v>
      </c>
      <c r="M13" s="10"/>
      <c r="N13" s="10"/>
    </row>
    <row r="14" spans="2:18" ht="4.95" customHeight="1" x14ac:dyDescent="0.3">
      <c r="E14" s="39"/>
      <c r="F14" s="39"/>
      <c r="G14" s="40"/>
      <c r="H14" s="39"/>
      <c r="I14" s="39"/>
      <c r="J14" s="39"/>
      <c r="K14" s="39"/>
      <c r="L14" s="39"/>
    </row>
    <row r="15" spans="2:18" x14ac:dyDescent="0.3">
      <c r="B15" s="9" t="s">
        <v>5</v>
      </c>
      <c r="C15" s="9"/>
      <c r="D15" s="9"/>
      <c r="E15" s="41">
        <v>6616</v>
      </c>
      <c r="F15" s="41">
        <v>6650</v>
      </c>
      <c r="G15" s="42">
        <v>6773</v>
      </c>
      <c r="H15" s="41">
        <f>G15*(1+H16)</f>
        <v>7043.92</v>
      </c>
      <c r="I15" s="41">
        <f t="shared" ref="I15:L15" si="0">H15*(1+I16)</f>
        <v>7220.0179999999991</v>
      </c>
      <c r="J15" s="41">
        <f t="shared" si="0"/>
        <v>7328.3182699999988</v>
      </c>
      <c r="K15" s="41">
        <f t="shared" si="0"/>
        <v>7438.2430440499984</v>
      </c>
      <c r="L15" s="41">
        <f t="shared" si="0"/>
        <v>7527.5019605785983</v>
      </c>
      <c r="M15" s="10"/>
      <c r="N15" s="10"/>
    </row>
    <row r="16" spans="2:18" x14ac:dyDescent="0.3">
      <c r="B16" s="11" t="s">
        <v>6</v>
      </c>
      <c r="C16" s="9"/>
      <c r="D16" s="9"/>
      <c r="E16" s="12"/>
      <c r="F16" s="12">
        <f>(F15-E15)/E15</f>
        <v>5.1390568319226119E-3</v>
      </c>
      <c r="G16" s="13">
        <f t="shared" ref="G16" si="1">(G15-F15)/F15</f>
        <v>1.8496240601503761E-2</v>
      </c>
      <c r="H16" s="12">
        <v>0.04</v>
      </c>
      <c r="I16" s="12">
        <v>2.5000000000000001E-2</v>
      </c>
      <c r="J16" s="12">
        <v>1.4999999999999999E-2</v>
      </c>
      <c r="K16" s="12">
        <v>1.4999999999999999E-2</v>
      </c>
      <c r="L16" s="12">
        <v>1.2E-2</v>
      </c>
      <c r="M16" s="12"/>
      <c r="N16" s="32"/>
      <c r="R16" s="12"/>
    </row>
    <row r="17" spans="2:22" x14ac:dyDescent="0.3">
      <c r="B17" s="15"/>
      <c r="C17" s="9"/>
      <c r="D17" s="9"/>
      <c r="E17" s="9"/>
      <c r="F17" s="9"/>
      <c r="G17" s="16"/>
      <c r="H17" s="9"/>
      <c r="I17" s="9"/>
      <c r="J17" s="9"/>
      <c r="K17" s="9"/>
      <c r="L17" s="9"/>
      <c r="M17" s="9"/>
      <c r="V17" s="9"/>
    </row>
    <row r="18" spans="2:22" x14ac:dyDescent="0.3">
      <c r="B18" s="9" t="s">
        <v>7</v>
      </c>
      <c r="C18" s="9"/>
      <c r="E18" s="41">
        <v>978</v>
      </c>
      <c r="F18" s="41">
        <v>1002</v>
      </c>
      <c r="G18" s="42">
        <v>1061</v>
      </c>
      <c r="H18" s="41">
        <f>H15*$N$19</f>
        <v>1056.588</v>
      </c>
      <c r="I18" s="41">
        <f>I15*$N$19</f>
        <v>1083.0026999999998</v>
      </c>
      <c r="J18" s="41">
        <f>J15*$N$19</f>
        <v>1099.2477404999997</v>
      </c>
      <c r="K18" s="41">
        <f>K15*$N$19</f>
        <v>1115.7364566074998</v>
      </c>
      <c r="L18" s="41">
        <f>L15*$N$19</f>
        <v>1129.1252940867896</v>
      </c>
      <c r="M18" s="39"/>
      <c r="N18" s="39"/>
      <c r="R18" s="39"/>
      <c r="V18" s="39"/>
    </row>
    <row r="19" spans="2:22" x14ac:dyDescent="0.3">
      <c r="B19" s="11" t="s">
        <v>15</v>
      </c>
      <c r="C19" s="9"/>
      <c r="D19" s="9"/>
      <c r="E19" s="12">
        <f>E18/E15</f>
        <v>0.14782345828295043</v>
      </c>
      <c r="F19" s="12">
        <f t="shared" ref="F19:G19" si="2">F18/F15</f>
        <v>0.1506766917293233</v>
      </c>
      <c r="G19" s="13">
        <f t="shared" si="2"/>
        <v>0.15665141001033517</v>
      </c>
      <c r="H19" s="14">
        <f t="shared" ref="H19" si="3">H18/H15</f>
        <v>0.15</v>
      </c>
      <c r="I19" s="14">
        <f t="shared" ref="I19" si="4">I18/I15</f>
        <v>0.15</v>
      </c>
      <c r="J19" s="14">
        <f t="shared" ref="J19" si="5">J18/J15</f>
        <v>0.15</v>
      </c>
      <c r="K19" s="14">
        <f t="shared" ref="K19" si="6">K18/K15</f>
        <v>0.15</v>
      </c>
      <c r="L19" s="14">
        <f t="shared" ref="L19" si="7">L18/L15</f>
        <v>0.15</v>
      </c>
      <c r="M19" s="12"/>
      <c r="N19" s="34">
        <v>0.15</v>
      </c>
    </row>
    <row r="20" spans="2:22" x14ac:dyDescent="0.3">
      <c r="B20" s="9"/>
      <c r="C20" s="18"/>
      <c r="D20" s="9"/>
      <c r="F20" s="68"/>
      <c r="G20" s="69"/>
      <c r="H20" s="68"/>
      <c r="I20" s="68"/>
      <c r="J20" s="68"/>
      <c r="K20" s="68"/>
      <c r="L20" s="68"/>
      <c r="M20" s="9"/>
      <c r="V20" s="9"/>
    </row>
    <row r="21" spans="2:22" x14ac:dyDescent="0.3">
      <c r="B21" s="20" t="s">
        <v>8</v>
      </c>
      <c r="C21" s="19">
        <v>0.27900000000000003</v>
      </c>
      <c r="D21" s="9"/>
      <c r="E21" s="12">
        <f>$C$21</f>
        <v>0.27900000000000003</v>
      </c>
      <c r="F21" s="12">
        <f t="shared" ref="F21:L21" si="8">$C$21</f>
        <v>0.27900000000000003</v>
      </c>
      <c r="G21" s="24">
        <f t="shared" si="8"/>
        <v>0.27900000000000003</v>
      </c>
      <c r="H21" s="12">
        <f t="shared" si="8"/>
        <v>0.27900000000000003</v>
      </c>
      <c r="I21" s="12">
        <f t="shared" si="8"/>
        <v>0.27900000000000003</v>
      </c>
      <c r="J21" s="12">
        <f t="shared" si="8"/>
        <v>0.27900000000000003</v>
      </c>
      <c r="K21" s="12">
        <f t="shared" si="8"/>
        <v>0.27900000000000003</v>
      </c>
      <c r="L21" s="12">
        <f t="shared" si="8"/>
        <v>0.27900000000000003</v>
      </c>
      <c r="M21" s="10"/>
      <c r="V21" s="10"/>
    </row>
    <row r="22" spans="2:22" x14ac:dyDescent="0.3">
      <c r="B22" s="21" t="s">
        <v>9</v>
      </c>
      <c r="C22" s="22"/>
      <c r="D22" s="22"/>
      <c r="E22" s="66">
        <f>E18*(1-C21)</f>
        <v>705.13799999999992</v>
      </c>
      <c r="F22" s="66">
        <f>F18*(1-C21)</f>
        <v>722.44200000000001</v>
      </c>
      <c r="G22" s="67">
        <f>G18*(1-C21)</f>
        <v>764.98099999999999</v>
      </c>
      <c r="H22" s="66">
        <f>H18*(1-C21)</f>
        <v>761.79994799999997</v>
      </c>
      <c r="I22" s="66">
        <f>I18*(1-C21)</f>
        <v>780.84494669999981</v>
      </c>
      <c r="J22" s="66">
        <f>J18*(1-C21)</f>
        <v>792.55762090049973</v>
      </c>
      <c r="K22" s="66">
        <f>K18*(1-C21)</f>
        <v>804.44598521400735</v>
      </c>
      <c r="L22" s="67">
        <f>L18*(1-C21)</f>
        <v>814.09933703657532</v>
      </c>
      <c r="M22" s="12"/>
      <c r="P22" s="72" t="s">
        <v>31</v>
      </c>
      <c r="Q22" s="72"/>
      <c r="R22" s="72"/>
      <c r="V22" s="12"/>
    </row>
    <row r="23" spans="2:22" ht="4.95" customHeight="1" x14ac:dyDescent="0.3">
      <c r="E23" s="39"/>
      <c r="F23" s="39"/>
      <c r="G23" s="40"/>
      <c r="H23" s="39"/>
      <c r="I23" s="39"/>
      <c r="J23" s="39"/>
      <c r="K23" s="39"/>
      <c r="L23" s="39"/>
    </row>
    <row r="24" spans="2:22" x14ac:dyDescent="0.3">
      <c r="B24" t="s">
        <v>10</v>
      </c>
      <c r="E24" s="41">
        <v>564.6</v>
      </c>
      <c r="F24" s="41">
        <v>591.5</v>
      </c>
      <c r="G24" s="42">
        <v>572.29999999999995</v>
      </c>
      <c r="H24" s="41">
        <f>H15*$N$25</f>
        <v>577.60144000000003</v>
      </c>
      <c r="I24" s="41">
        <f>I15*$N$25</f>
        <v>592.04147599999999</v>
      </c>
      <c r="J24" s="41">
        <f>J15*$N$25</f>
        <v>600.92209813999989</v>
      </c>
      <c r="K24" s="41">
        <f>K15*$N$25</f>
        <v>609.93592961209993</v>
      </c>
      <c r="L24" s="41">
        <f>L15*$N$25</f>
        <v>617.25516076744509</v>
      </c>
      <c r="N24" s="31"/>
      <c r="P24" t="s">
        <v>24</v>
      </c>
      <c r="R24" s="56">
        <v>0.39</v>
      </c>
    </row>
    <row r="25" spans="2:22" x14ac:dyDescent="0.3">
      <c r="B25" s="25" t="s">
        <v>15</v>
      </c>
      <c r="E25" s="37">
        <f>E24/E15</f>
        <v>8.5338573155985489E-2</v>
      </c>
      <c r="F25" s="37">
        <f t="shared" ref="F25:L25" si="9">F24/F15</f>
        <v>8.8947368421052636E-2</v>
      </c>
      <c r="G25" s="38">
        <f t="shared" si="9"/>
        <v>8.4497268566366454E-2</v>
      </c>
      <c r="H25" s="37">
        <f t="shared" si="9"/>
        <v>8.2000000000000003E-2</v>
      </c>
      <c r="I25" s="37">
        <f t="shared" si="9"/>
        <v>8.2000000000000003E-2</v>
      </c>
      <c r="J25" s="37">
        <f t="shared" si="9"/>
        <v>8.2000000000000003E-2</v>
      </c>
      <c r="K25" s="37">
        <f t="shared" si="9"/>
        <v>8.2000000000000003E-2</v>
      </c>
      <c r="L25" s="37">
        <f t="shared" si="9"/>
        <v>8.2000000000000003E-2</v>
      </c>
      <c r="N25" s="33">
        <v>8.2000000000000003E-2</v>
      </c>
      <c r="P25" t="s">
        <v>25</v>
      </c>
      <c r="R25" s="52">
        <v>0.05</v>
      </c>
    </row>
    <row r="26" spans="2:22" x14ac:dyDescent="0.3">
      <c r="G26" s="30"/>
      <c r="P26" t="s">
        <v>8</v>
      </c>
      <c r="R26" s="52">
        <v>0.27900000000000003</v>
      </c>
    </row>
    <row r="27" spans="2:22" x14ac:dyDescent="0.3">
      <c r="B27" t="s">
        <v>11</v>
      </c>
      <c r="E27" s="41">
        <f>E28*E15</f>
        <v>396.96</v>
      </c>
      <c r="F27" s="41">
        <f t="shared" ref="F27:G27" si="10">F28*F15</f>
        <v>405.65</v>
      </c>
      <c r="G27" s="42">
        <f t="shared" si="10"/>
        <v>413.15299999999996</v>
      </c>
      <c r="H27" s="41">
        <f>H15*$N$28</f>
        <v>436.72304000000003</v>
      </c>
      <c r="I27" s="41">
        <f t="shared" ref="I27:L27" si="11">I15*$N$28</f>
        <v>447.64111599999995</v>
      </c>
      <c r="J27" s="41">
        <f t="shared" si="11"/>
        <v>454.35573273999995</v>
      </c>
      <c r="K27" s="41">
        <f t="shared" si="11"/>
        <v>461.17106873109992</v>
      </c>
      <c r="L27" s="41">
        <f t="shared" si="11"/>
        <v>466.70512155587306</v>
      </c>
    </row>
    <row r="28" spans="2:22" x14ac:dyDescent="0.3">
      <c r="B28" s="25" t="s">
        <v>15</v>
      </c>
      <c r="E28" s="35">
        <v>0.06</v>
      </c>
      <c r="F28" s="35">
        <v>6.0999999999999999E-2</v>
      </c>
      <c r="G28" s="36">
        <v>6.0999999999999999E-2</v>
      </c>
      <c r="H28" s="37">
        <f>H27/H15</f>
        <v>6.2000000000000006E-2</v>
      </c>
      <c r="I28" s="37">
        <f t="shared" ref="I28:L28" si="12">I27/I15</f>
        <v>6.2E-2</v>
      </c>
      <c r="J28" s="37">
        <f t="shared" si="12"/>
        <v>6.2000000000000006E-2</v>
      </c>
      <c r="K28" s="37">
        <f t="shared" si="12"/>
        <v>6.2E-2</v>
      </c>
      <c r="L28" s="37">
        <f t="shared" si="12"/>
        <v>6.1999999999999993E-2</v>
      </c>
      <c r="N28" s="34">
        <v>6.2E-2</v>
      </c>
      <c r="P28" t="s">
        <v>26</v>
      </c>
      <c r="R28" s="45">
        <v>0.61</v>
      </c>
    </row>
    <row r="29" spans="2:22" x14ac:dyDescent="0.3">
      <c r="G29" s="30"/>
      <c r="P29" t="s">
        <v>27</v>
      </c>
      <c r="R29" s="32">
        <f>R30+(R31*(R32-R30))</f>
        <v>0.10942</v>
      </c>
    </row>
    <row r="30" spans="2:22" x14ac:dyDescent="0.3">
      <c r="B30" t="s">
        <v>12</v>
      </c>
      <c r="E30" s="43">
        <v>4</v>
      </c>
      <c r="F30" s="43">
        <v>100</v>
      </c>
      <c r="G30" s="44">
        <v>12</v>
      </c>
      <c r="H30" s="41">
        <f>$N$31*H15</f>
        <v>140.8784</v>
      </c>
      <c r="I30" s="41">
        <f t="shared" ref="I30:L30" si="13">$N$31*I15</f>
        <v>144.40035999999998</v>
      </c>
      <c r="J30" s="41">
        <f t="shared" si="13"/>
        <v>146.56636539999997</v>
      </c>
      <c r="K30" s="41">
        <f t="shared" si="13"/>
        <v>148.76486088099998</v>
      </c>
      <c r="L30" s="41">
        <f t="shared" si="13"/>
        <v>150.55003921157197</v>
      </c>
      <c r="P30" t="s">
        <v>28</v>
      </c>
      <c r="R30" s="52">
        <v>4.2999999999999997E-2</v>
      </c>
    </row>
    <row r="31" spans="2:22" x14ac:dyDescent="0.3">
      <c r="B31" s="25" t="s">
        <v>15</v>
      </c>
      <c r="E31" s="45">
        <f>E30/E15</f>
        <v>6.0459492140266019E-4</v>
      </c>
      <c r="F31" s="45">
        <f t="shared" ref="F31:G31" si="14">F30/F15</f>
        <v>1.5037593984962405E-2</v>
      </c>
      <c r="G31" s="45">
        <f t="shared" si="14"/>
        <v>1.7717407352724052E-3</v>
      </c>
      <c r="H31" s="65">
        <f>H30/H15</f>
        <v>0.02</v>
      </c>
      <c r="I31" s="64">
        <f t="shared" ref="I31:L31" si="15">I30/I15</f>
        <v>0.02</v>
      </c>
      <c r="J31" s="64">
        <f t="shared" si="15"/>
        <v>1.9999999999999997E-2</v>
      </c>
      <c r="K31" s="64">
        <f t="shared" si="15"/>
        <v>0.02</v>
      </c>
      <c r="L31" s="32">
        <f t="shared" si="15"/>
        <v>0.02</v>
      </c>
      <c r="N31" s="34">
        <v>0.02</v>
      </c>
      <c r="P31" t="s">
        <v>29</v>
      </c>
      <c r="R31" s="57">
        <v>1.23</v>
      </c>
    </row>
    <row r="32" spans="2:22" x14ac:dyDescent="0.3">
      <c r="B32" s="21" t="s">
        <v>13</v>
      </c>
      <c r="C32" s="22"/>
      <c r="D32" s="26"/>
      <c r="E32" s="26"/>
      <c r="F32" s="26"/>
      <c r="G32" s="28"/>
      <c r="H32" s="63">
        <f>H22+H24-H27-H30</f>
        <v>761.79994799999986</v>
      </c>
      <c r="I32" s="58">
        <f t="shared" ref="I32:L32" si="16">I22+I24-I27-I30</f>
        <v>780.84494669999992</v>
      </c>
      <c r="J32" s="63">
        <f t="shared" si="16"/>
        <v>792.55762090049984</v>
      </c>
      <c r="K32" s="63">
        <f t="shared" si="16"/>
        <v>804.44598521400735</v>
      </c>
      <c r="L32" s="59">
        <f t="shared" si="16"/>
        <v>814.09933703657532</v>
      </c>
      <c r="P32" t="s">
        <v>30</v>
      </c>
      <c r="R32" s="52">
        <v>9.7000000000000003E-2</v>
      </c>
    </row>
    <row r="33" spans="2:18" x14ac:dyDescent="0.3">
      <c r="B33" s="21" t="s">
        <v>14</v>
      </c>
      <c r="C33" s="22"/>
      <c r="D33" s="27"/>
      <c r="E33" s="27"/>
      <c r="F33" s="27"/>
      <c r="G33" s="29"/>
      <c r="H33" s="60">
        <f>H32/(1+$R$34)^H12</f>
        <v>704.84449517614485</v>
      </c>
      <c r="I33" s="60">
        <f>I32/(1+$R$34)^I12</f>
        <v>668.45095983075271</v>
      </c>
      <c r="J33" s="60">
        <f>J32/(1+$R$34)^J12</f>
        <v>627.7518005578745</v>
      </c>
      <c r="K33" s="60">
        <f>K32/(1+$R$34)^K12</f>
        <v>589.53064141523555</v>
      </c>
      <c r="L33" s="59">
        <f>L32/(1+$R$34)^L12</f>
        <v>552.00024307071862</v>
      </c>
    </row>
    <row r="34" spans="2:18" x14ac:dyDescent="0.3">
      <c r="P34" s="53" t="s">
        <v>31</v>
      </c>
      <c r="Q34" s="54"/>
      <c r="R34" s="55">
        <f>(R28*R29)+(R24*R25*(1-R26))</f>
        <v>8.0805700000000008E-2</v>
      </c>
    </row>
    <row r="35" spans="2:18" x14ac:dyDescent="0.3">
      <c r="B35" t="s">
        <v>16</v>
      </c>
      <c r="J35" s="46"/>
      <c r="L35" s="47">
        <f>(L32*(1+D11)/(R34-D11))</f>
        <v>12556.827555851905</v>
      </c>
    </row>
    <row r="36" spans="2:18" x14ac:dyDescent="0.3">
      <c r="B36" s="1" t="s">
        <v>17</v>
      </c>
      <c r="C36" s="1"/>
      <c r="D36" s="1"/>
      <c r="E36" s="1"/>
      <c r="F36" s="1"/>
      <c r="G36" s="1"/>
      <c r="H36" s="1"/>
      <c r="I36" s="1"/>
      <c r="J36" s="1"/>
      <c r="K36" s="1"/>
      <c r="L36" s="48">
        <f>L35/(1+R34)^L12</f>
        <v>8514.1598177176038</v>
      </c>
    </row>
    <row r="37" spans="2:18" x14ac:dyDescent="0.3">
      <c r="B37" s="23" t="s">
        <v>18</v>
      </c>
      <c r="C37" s="23"/>
      <c r="D37" s="23"/>
      <c r="E37" s="23"/>
      <c r="F37" s="23"/>
      <c r="G37" s="23"/>
      <c r="H37" s="23"/>
      <c r="I37" s="23"/>
      <c r="J37" s="23"/>
      <c r="K37" s="23"/>
      <c r="L37" s="49">
        <f>SUM(H33:L33,L36)</f>
        <v>11656.73795776833</v>
      </c>
      <c r="M37" s="23"/>
    </row>
    <row r="38" spans="2:18" x14ac:dyDescent="0.3">
      <c r="B38" s="50" t="s">
        <v>19</v>
      </c>
      <c r="L38" s="47">
        <v>1235</v>
      </c>
    </row>
    <row r="39" spans="2:18" x14ac:dyDescent="0.3">
      <c r="B39" s="51" t="s">
        <v>20</v>
      </c>
      <c r="C39" s="1"/>
      <c r="D39" s="1"/>
      <c r="E39" s="1"/>
      <c r="F39" s="1"/>
      <c r="G39" s="1"/>
      <c r="H39" s="1"/>
      <c r="I39" s="1"/>
      <c r="J39" s="1"/>
      <c r="K39" s="1"/>
      <c r="L39" s="48">
        <v>3900</v>
      </c>
    </row>
    <row r="40" spans="2:18" x14ac:dyDescent="0.3">
      <c r="B40" s="23" t="s">
        <v>21</v>
      </c>
      <c r="C40" s="23"/>
      <c r="D40" s="23"/>
      <c r="E40" s="23"/>
      <c r="F40" s="23"/>
      <c r="G40" s="23"/>
      <c r="H40" s="23"/>
      <c r="I40" s="23"/>
      <c r="J40" s="23"/>
      <c r="K40" s="23"/>
      <c r="L40" s="49">
        <f>L37+L38-L39</f>
        <v>8991.7379577683296</v>
      </c>
      <c r="M40" s="23"/>
    </row>
    <row r="41" spans="2:18" x14ac:dyDescent="0.3">
      <c r="B41" s="1" t="s">
        <v>22</v>
      </c>
      <c r="C41" s="1"/>
      <c r="D41" s="1"/>
      <c r="E41" s="1"/>
      <c r="F41" s="1"/>
      <c r="G41" s="1"/>
      <c r="H41" s="1"/>
      <c r="I41" s="1"/>
      <c r="J41" s="1"/>
      <c r="K41" s="1"/>
      <c r="L41" s="48">
        <v>1000</v>
      </c>
    </row>
    <row r="42" spans="2:18" x14ac:dyDescent="0.3">
      <c r="B42" s="23" t="s">
        <v>23</v>
      </c>
      <c r="C42" s="23"/>
      <c r="D42" s="23"/>
      <c r="E42" s="23"/>
      <c r="F42" s="23"/>
      <c r="G42" s="23"/>
      <c r="H42" s="23"/>
      <c r="I42" s="23"/>
      <c r="J42" s="23"/>
      <c r="K42" s="23"/>
      <c r="L42" s="70">
        <f>L40/L41</f>
        <v>8.9917379577683292</v>
      </c>
      <c r="M42" s="23"/>
      <c r="N42" s="71">
        <f>(L42-5.76)/L42</f>
        <v>0.35941193715240549</v>
      </c>
    </row>
  </sheetData>
  <mergeCells count="1">
    <mergeCell ref="P22:R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F6B2-62FA-4966-B48B-51736332CEB2}">
  <dimension ref="B2:P26"/>
  <sheetViews>
    <sheetView showGridLines="0" workbookViewId="0">
      <selection activeCell="B3" sqref="B3"/>
    </sheetView>
  </sheetViews>
  <sheetFormatPr defaultRowHeight="14.4" x14ac:dyDescent="0.3"/>
  <cols>
    <col min="1" max="1" width="3.77734375" customWidth="1"/>
    <col min="2" max="2" width="10.5546875" customWidth="1"/>
    <col min="3" max="3" width="11.5546875" customWidth="1"/>
    <col min="4" max="4" width="11.77734375" customWidth="1"/>
    <col min="5" max="5" width="19.33203125" customWidth="1"/>
    <col min="6" max="6" width="13.109375" customWidth="1"/>
    <col min="7" max="7" width="10.5546875" customWidth="1"/>
    <col min="8" max="8" width="16.88671875" customWidth="1"/>
    <col min="9" max="9" width="4.109375" customWidth="1"/>
    <col min="10" max="11" width="10.21875" customWidth="1"/>
    <col min="12" max="12" width="11.21875" customWidth="1"/>
    <col min="13" max="13" width="4.109375" customWidth="1"/>
    <col min="14" max="14" width="13.44140625" customWidth="1"/>
    <col min="15" max="15" width="11" customWidth="1"/>
  </cols>
  <sheetData>
    <row r="2" spans="2:16" ht="21" x14ac:dyDescent="0.4">
      <c r="B2" s="2" t="s">
        <v>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8.4" customHeight="1" x14ac:dyDescent="0.3"/>
    <row r="4" spans="2:16" ht="28.2" customHeight="1" x14ac:dyDescent="0.3">
      <c r="B4" s="74" t="s">
        <v>53</v>
      </c>
      <c r="C4" s="74" t="s">
        <v>0</v>
      </c>
      <c r="D4" s="74" t="s">
        <v>23</v>
      </c>
      <c r="E4" s="74" t="s">
        <v>46</v>
      </c>
      <c r="F4" s="74" t="s">
        <v>21</v>
      </c>
      <c r="G4" s="74" t="s">
        <v>47</v>
      </c>
      <c r="H4" s="74" t="s">
        <v>18</v>
      </c>
      <c r="I4" s="74"/>
      <c r="J4" s="74" t="s">
        <v>5</v>
      </c>
      <c r="K4" s="74" t="s">
        <v>48</v>
      </c>
      <c r="L4" s="74" t="s">
        <v>49</v>
      </c>
      <c r="M4" s="74"/>
      <c r="N4" s="74" t="s">
        <v>50</v>
      </c>
      <c r="O4" s="74" t="s">
        <v>51</v>
      </c>
      <c r="P4" s="74" t="s">
        <v>52</v>
      </c>
    </row>
    <row r="5" spans="2:16" ht="4.8" customHeight="1" x14ac:dyDescent="0.3"/>
    <row r="6" spans="2:16" x14ac:dyDescent="0.3">
      <c r="B6" s="78" t="s">
        <v>40</v>
      </c>
      <c r="C6" s="78" t="s">
        <v>4</v>
      </c>
      <c r="D6" s="79">
        <v>5.86</v>
      </c>
      <c r="E6" s="80">
        <v>1000</v>
      </c>
      <c r="F6" s="81">
        <f>D6*E6</f>
        <v>5860</v>
      </c>
      <c r="G6" s="80">
        <v>1600</v>
      </c>
      <c r="H6" s="81">
        <f>F6+G6</f>
        <v>7460</v>
      </c>
      <c r="I6" s="82"/>
      <c r="J6" s="80">
        <v>6800</v>
      </c>
      <c r="K6" s="80">
        <v>1519</v>
      </c>
      <c r="L6" s="80">
        <v>501</v>
      </c>
      <c r="M6" s="82"/>
      <c r="N6" s="83">
        <f>$H6/J6</f>
        <v>1.0970588235294119</v>
      </c>
      <c r="O6" s="83">
        <f>H6/K6</f>
        <v>4.9111257406188278</v>
      </c>
      <c r="P6" s="83">
        <f>F6/L6</f>
        <v>11.696606786427147</v>
      </c>
    </row>
    <row r="7" spans="2:16" x14ac:dyDescent="0.3">
      <c r="B7" s="73" t="s">
        <v>35</v>
      </c>
      <c r="C7" s="73" t="s">
        <v>41</v>
      </c>
      <c r="D7" s="76">
        <v>32.22</v>
      </c>
      <c r="E7" s="75">
        <v>712.2</v>
      </c>
      <c r="F7" s="77">
        <f t="shared" ref="F7:F11" si="0">D7*E7</f>
        <v>22947.083999999999</v>
      </c>
      <c r="G7" s="75">
        <v>2500</v>
      </c>
      <c r="H7" s="77">
        <f t="shared" ref="H7:H11" si="1">F7+G7</f>
        <v>25447.083999999999</v>
      </c>
      <c r="J7" s="75">
        <v>29000</v>
      </c>
      <c r="K7" s="75">
        <v>5130</v>
      </c>
      <c r="L7" s="75">
        <v>2100</v>
      </c>
      <c r="N7" s="84">
        <f t="shared" ref="N7:N11" si="2">$H7/J7</f>
        <v>0.87748565517241373</v>
      </c>
      <c r="O7" s="84">
        <f t="shared" ref="O7:O11" si="3">H7/K7</f>
        <v>4.96044522417154</v>
      </c>
      <c r="P7" s="84">
        <f t="shared" ref="P7:P11" si="4">F7/L7</f>
        <v>10.927182857142856</v>
      </c>
    </row>
    <row r="8" spans="2:16" x14ac:dyDescent="0.3">
      <c r="B8" s="73" t="s">
        <v>36</v>
      </c>
      <c r="C8" s="73" t="s">
        <v>42</v>
      </c>
      <c r="D8" s="76">
        <v>20.68</v>
      </c>
      <c r="E8" s="75">
        <v>1350</v>
      </c>
      <c r="F8" s="77">
        <f t="shared" si="0"/>
        <v>27918</v>
      </c>
      <c r="G8" s="75">
        <v>-144</v>
      </c>
      <c r="H8" s="77">
        <f t="shared" si="1"/>
        <v>27774</v>
      </c>
      <c r="J8" s="75">
        <v>30000</v>
      </c>
      <c r="K8" s="75">
        <v>5600</v>
      </c>
      <c r="L8" s="75">
        <v>2730</v>
      </c>
      <c r="N8" s="84">
        <f t="shared" si="2"/>
        <v>0.92579999999999996</v>
      </c>
      <c r="O8" s="84">
        <f t="shared" si="3"/>
        <v>4.9596428571428568</v>
      </c>
      <c r="P8" s="84">
        <f t="shared" si="4"/>
        <v>10.226373626373626</v>
      </c>
    </row>
    <row r="9" spans="2:16" x14ac:dyDescent="0.3">
      <c r="B9" s="73" t="s">
        <v>37</v>
      </c>
      <c r="C9" s="73" t="s">
        <v>43</v>
      </c>
      <c r="D9" s="76">
        <v>11.3</v>
      </c>
      <c r="E9" s="75">
        <v>285.7</v>
      </c>
      <c r="F9" s="77">
        <f t="shared" si="0"/>
        <v>3228.41</v>
      </c>
      <c r="G9" s="75">
        <v>6970</v>
      </c>
      <c r="H9" s="77">
        <f t="shared" si="1"/>
        <v>10198.41</v>
      </c>
      <c r="J9" s="75">
        <v>18600</v>
      </c>
      <c r="K9" s="75">
        <v>1980</v>
      </c>
      <c r="L9" s="75">
        <v>70</v>
      </c>
      <c r="N9" s="84">
        <f t="shared" si="2"/>
        <v>0.54830161290322577</v>
      </c>
      <c r="O9" s="84">
        <f t="shared" si="3"/>
        <v>5.1507121212121207</v>
      </c>
      <c r="P9" s="84">
        <f t="shared" si="4"/>
        <v>46.120142857142852</v>
      </c>
    </row>
    <row r="10" spans="2:16" x14ac:dyDescent="0.3">
      <c r="B10" s="73" t="s">
        <v>38</v>
      </c>
      <c r="C10" s="73" t="s">
        <v>44</v>
      </c>
      <c r="D10" s="76">
        <v>75.819999999999993</v>
      </c>
      <c r="E10" s="75">
        <v>200</v>
      </c>
      <c r="F10" s="77">
        <f t="shared" si="0"/>
        <v>15163.999999999998</v>
      </c>
      <c r="G10" s="75">
        <v>4000</v>
      </c>
      <c r="H10" s="77">
        <f t="shared" si="1"/>
        <v>19164</v>
      </c>
      <c r="J10" s="75">
        <v>42880</v>
      </c>
      <c r="K10" s="75">
        <v>6000</v>
      </c>
      <c r="L10" s="75">
        <v>1300</v>
      </c>
      <c r="N10" s="84">
        <f t="shared" si="2"/>
        <v>0.44692164179104477</v>
      </c>
      <c r="O10" s="84">
        <f t="shared" si="3"/>
        <v>3.194</v>
      </c>
      <c r="P10" s="84">
        <f t="shared" si="4"/>
        <v>11.664615384615383</v>
      </c>
    </row>
    <row r="11" spans="2:16" x14ac:dyDescent="0.3">
      <c r="B11" s="73" t="s">
        <v>39</v>
      </c>
      <c r="C11" s="73" t="s">
        <v>45</v>
      </c>
      <c r="D11" s="76">
        <v>26.25</v>
      </c>
      <c r="E11" s="75">
        <v>157.69999999999999</v>
      </c>
      <c r="F11" s="77">
        <f t="shared" si="0"/>
        <v>4139.625</v>
      </c>
      <c r="G11" s="75">
        <v>2000</v>
      </c>
      <c r="H11" s="77">
        <f t="shared" si="1"/>
        <v>6139.625</v>
      </c>
      <c r="J11" s="75">
        <v>7000</v>
      </c>
      <c r="K11" s="75">
        <v>1308</v>
      </c>
      <c r="L11" s="75">
        <v>495</v>
      </c>
      <c r="N11" s="84">
        <f t="shared" si="2"/>
        <v>0.87708928571428568</v>
      </c>
      <c r="O11" s="84">
        <f t="shared" si="3"/>
        <v>4.6939029051987768</v>
      </c>
      <c r="P11" s="84">
        <f t="shared" si="4"/>
        <v>8.3628787878787882</v>
      </c>
    </row>
    <row r="13" spans="2:16" x14ac:dyDescent="0.3">
      <c r="B13" s="82" t="s">
        <v>54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6">
        <f>MAX(N6:N11)</f>
        <v>1.0970588235294119</v>
      </c>
      <c r="O13" s="86">
        <f t="shared" ref="O13:P13" si="5">MAX(O6:O11)</f>
        <v>5.1507121212121207</v>
      </c>
      <c r="P13" s="86">
        <f t="shared" si="5"/>
        <v>46.120142857142852</v>
      </c>
    </row>
    <row r="14" spans="2:16" x14ac:dyDescent="0.3">
      <c r="B14" s="82" t="s">
        <v>59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6">
        <f>QUARTILE(N6:N11,3)</f>
        <v>0.91372141379310334</v>
      </c>
      <c r="O14" s="86">
        <f t="shared" ref="O14:P14" si="6">QUARTILE(O6:O11,3)</f>
        <v>4.9602446324143692</v>
      </c>
      <c r="P14" s="86">
        <f t="shared" si="6"/>
        <v>11.688608935974205</v>
      </c>
    </row>
    <row r="15" spans="2:16" x14ac:dyDescent="0.3">
      <c r="B15" s="85" t="s">
        <v>55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7">
        <f>AVERAGE(N6:N11)</f>
        <v>0.79544283651839687</v>
      </c>
      <c r="O15" s="87">
        <f t="shared" ref="O15:P15" si="7">AVERAGE(O6:O11)</f>
        <v>4.6449714747240201</v>
      </c>
      <c r="P15" s="87">
        <f t="shared" si="7"/>
        <v>16.49963338326344</v>
      </c>
    </row>
    <row r="16" spans="2:16" x14ac:dyDescent="0.3">
      <c r="B16" s="85" t="s">
        <v>56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7">
        <f>MEDIAN(N6:N11)</f>
        <v>0.87728747044334976</v>
      </c>
      <c r="O16" s="87">
        <f t="shared" ref="O16:P16" si="8">MEDIAN(O6:O11)</f>
        <v>4.9353842988808427</v>
      </c>
      <c r="P16" s="87">
        <f t="shared" si="8"/>
        <v>11.29589912087912</v>
      </c>
    </row>
    <row r="17" spans="2:16" x14ac:dyDescent="0.3">
      <c r="B17" s="82" t="s">
        <v>57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6">
        <f>QUARTILE(N6:N11,1)</f>
        <v>0.63049853110599074</v>
      </c>
      <c r="O17" s="86">
        <f t="shared" ref="O17:P17" si="9">QUARTILE(O6:O11,1)</f>
        <v>4.7482086140537891</v>
      </c>
      <c r="P17" s="86">
        <f t="shared" si="9"/>
        <v>10.401575934065933</v>
      </c>
    </row>
    <row r="18" spans="2:16" x14ac:dyDescent="0.3">
      <c r="B18" s="82" t="s">
        <v>58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6">
        <f>MIN(N6:N11)</f>
        <v>0.44692164179104477</v>
      </c>
      <c r="O18" s="86">
        <f t="shared" ref="O18:P18" si="10">MIN(O6:O11)</f>
        <v>3.194</v>
      </c>
      <c r="P18" s="86">
        <f t="shared" si="10"/>
        <v>8.3628787878787882</v>
      </c>
    </row>
    <row r="20" spans="2:16" ht="15" customHeight="1" x14ac:dyDescent="0.3">
      <c r="B20" s="6" t="s">
        <v>60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4" t="s">
        <v>50</v>
      </c>
      <c r="O20" s="74" t="s">
        <v>51</v>
      </c>
      <c r="P20" s="74" t="s">
        <v>52</v>
      </c>
    </row>
    <row r="21" spans="2:16" ht="4.8" customHeight="1" x14ac:dyDescent="0.3"/>
    <row r="22" spans="2:16" x14ac:dyDescent="0.3">
      <c r="B22" t="s">
        <v>61</v>
      </c>
      <c r="N22" s="77">
        <f>N16*J6</f>
        <v>5965.5547990147779</v>
      </c>
      <c r="O22" s="77">
        <f t="shared" ref="O22" si="11">O16*K6</f>
        <v>7496.8487500000001</v>
      </c>
      <c r="P22" s="77">
        <f>P23+P24</f>
        <v>7259.2454595604395</v>
      </c>
    </row>
    <row r="23" spans="2:16" x14ac:dyDescent="0.3">
      <c r="B23" t="s">
        <v>47</v>
      </c>
      <c r="N23" s="77">
        <f>$G$6</f>
        <v>1600</v>
      </c>
      <c r="O23" s="77">
        <f t="shared" ref="O23:P23" si="12">$G$6</f>
        <v>1600</v>
      </c>
      <c r="P23" s="77">
        <f>$G$6</f>
        <v>1600</v>
      </c>
    </row>
    <row r="24" spans="2:16" x14ac:dyDescent="0.3">
      <c r="B24" t="s">
        <v>62</v>
      </c>
      <c r="N24" s="77">
        <f>N22-N23</f>
        <v>4365.5547990147779</v>
      </c>
      <c r="O24" s="77">
        <f>O22-O23</f>
        <v>5896.8487500000001</v>
      </c>
      <c r="P24" s="77">
        <f>P16*L6</f>
        <v>5659.2454595604395</v>
      </c>
    </row>
    <row r="25" spans="2:16" x14ac:dyDescent="0.3">
      <c r="B25" t="s">
        <v>46</v>
      </c>
      <c r="N25" s="77">
        <f>$E$6</f>
        <v>1000</v>
      </c>
      <c r="O25" s="77">
        <f t="shared" ref="O25:P25" si="13">$E$6</f>
        <v>1000</v>
      </c>
      <c r="P25" s="77">
        <f t="shared" si="13"/>
        <v>1000</v>
      </c>
    </row>
    <row r="26" spans="2:16" x14ac:dyDescent="0.3">
      <c r="B26" s="88" t="s">
        <v>63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90">
        <f>N24/N25</f>
        <v>4.3655547990147783</v>
      </c>
      <c r="O26" s="90">
        <f>O24/O25</f>
        <v>5.8968487500000002</v>
      </c>
      <c r="P26" s="90">
        <f>P24/P25</f>
        <v>5.6592454595604398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DCF</vt:lpstr>
      <vt:lpstr>Trading Comp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BUDDERY, ALEXANDER (UG)</dc:creator>
  <cp:lastModifiedBy>BUDDERY, ALEXANDER (UG)</cp:lastModifiedBy>
  <cp:lastPrinted>2025-07-09T21:38:38Z</cp:lastPrinted>
  <dcterms:created xsi:type="dcterms:W3CDTF">2025-07-03T21:38:45Z</dcterms:created>
  <dcterms:modified xsi:type="dcterms:W3CDTF">2025-07-10T01:37:10Z</dcterms:modified>
</cp:coreProperties>
</file>