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thony.Crespo\Desktop\"/>
    </mc:Choice>
  </mc:AlternateContent>
  <bookViews>
    <workbookView xWindow="0" yWindow="27300" windowWidth="24810" windowHeight="11595" activeTab="1"/>
  </bookViews>
  <sheets>
    <sheet name="Civilians" sheetId="1" r:id="rId1"/>
    <sheet name="Military" sheetId="2" r:id="rId2"/>
    <sheet name="POWNumbers" sheetId="6" r:id="rId3"/>
    <sheet name="Deceased" sheetId="9" r:id="rId4"/>
    <sheet name="Early Release-Multidebriefs" sheetId="10" r:id="rId5"/>
  </sheets>
  <definedNames>
    <definedName name="_xlnm._FilterDatabase" localSheetId="1" hidden="1">'Early Release-Multidebriefs'!$D$1:$O$1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05" i="2" l="1"/>
  <c r="I397" i="2"/>
  <c r="I398" i="2"/>
  <c r="I11" i="10"/>
  <c r="I10" i="10"/>
  <c r="I9" i="10"/>
  <c r="I4" i="10"/>
  <c r="I3" i="10"/>
  <c r="I2" i="10"/>
  <c r="I13" i="10" l="1"/>
  <c r="I665" i="2" l="1"/>
  <c r="I664" i="2"/>
  <c r="I663" i="2" l="1"/>
  <c r="I662" i="2"/>
  <c r="I661" i="2"/>
  <c r="I660" i="2"/>
  <c r="I567" i="2" l="1"/>
  <c r="I659" i="2" l="1"/>
  <c r="I658" i="2" l="1"/>
  <c r="I657" i="2" l="1"/>
  <c r="I656" i="2"/>
  <c r="I655" i="2"/>
  <c r="I654" i="2" l="1"/>
  <c r="I652" i="2"/>
  <c r="I651" i="2"/>
  <c r="I650" i="2" l="1"/>
  <c r="I649" i="2"/>
  <c r="I648" i="2"/>
  <c r="I647" i="2"/>
  <c r="I646" i="2" l="1"/>
  <c r="I645" i="2" l="1"/>
  <c r="I644" i="2"/>
  <c r="I643" i="2"/>
  <c r="I642" i="2"/>
  <c r="I641" i="2"/>
  <c r="I640" i="2"/>
  <c r="I639" i="2"/>
  <c r="I638" i="2"/>
  <c r="I636" i="2" l="1"/>
  <c r="I637" i="2"/>
  <c r="I635" i="2" l="1"/>
  <c r="I634" i="2"/>
  <c r="I633" i="2"/>
  <c r="I632" i="2"/>
  <c r="I631" i="2"/>
  <c r="I630" i="2"/>
  <c r="I629" i="2"/>
  <c r="I628" i="2"/>
  <c r="I627" i="2"/>
  <c r="I626" i="2" l="1"/>
  <c r="I625" i="2"/>
  <c r="I624" i="2"/>
  <c r="I623" i="2"/>
  <c r="I622" i="2"/>
  <c r="I621" i="2"/>
  <c r="I620" i="2"/>
  <c r="I619" i="2"/>
  <c r="I618" i="2"/>
  <c r="I617" i="2" l="1"/>
  <c r="I616" i="2"/>
  <c r="I615" i="2"/>
  <c r="I614" i="2"/>
  <c r="I613" i="2"/>
  <c r="I612" i="2"/>
  <c r="I611" i="2"/>
  <c r="I610" i="2"/>
  <c r="I609" i="2"/>
  <c r="I608" i="2"/>
  <c r="I607" i="2" l="1"/>
  <c r="I606" i="2"/>
  <c r="I605" i="2"/>
  <c r="I603" i="2"/>
  <c r="I602" i="2"/>
  <c r="I601" i="2"/>
  <c r="I600" i="2"/>
  <c r="I599" i="2"/>
  <c r="I598" i="2"/>
  <c r="I597" i="2"/>
  <c r="I596" i="2"/>
  <c r="I595" i="2"/>
  <c r="I592" i="2" l="1"/>
  <c r="I591" i="2"/>
  <c r="I590" i="2"/>
  <c r="I594" i="2" l="1"/>
  <c r="I593" i="2"/>
  <c r="I267" i="2" l="1"/>
  <c r="I589" i="2" l="1"/>
  <c r="I588" i="2"/>
  <c r="I587" i="2"/>
  <c r="I586" i="2"/>
  <c r="I585" i="2"/>
  <c r="I584" i="2" l="1"/>
  <c r="I583" i="2"/>
  <c r="I582" i="2"/>
  <c r="I581" i="2" l="1"/>
  <c r="I580" i="2"/>
  <c r="I579" i="2"/>
  <c r="I578" i="2"/>
  <c r="I577" i="2"/>
  <c r="I576" i="2"/>
  <c r="I575" i="2"/>
  <c r="I574" i="2"/>
  <c r="I573" i="2"/>
  <c r="I572" i="2"/>
  <c r="I571" i="2"/>
  <c r="I569" i="2"/>
  <c r="I568" i="2" l="1"/>
  <c r="I566" i="2"/>
  <c r="I565" i="2"/>
  <c r="I564" i="2"/>
  <c r="I563" i="2"/>
  <c r="I562" i="2"/>
  <c r="I561" i="2"/>
  <c r="I560" i="2"/>
  <c r="I559" i="2" l="1"/>
  <c r="I558" i="2"/>
  <c r="I557" i="2"/>
  <c r="I556" i="2"/>
  <c r="I555" i="2" l="1"/>
  <c r="I554" i="2"/>
  <c r="I553" i="2"/>
  <c r="I552" i="2"/>
  <c r="I551" i="2" l="1"/>
  <c r="I550" i="2"/>
  <c r="I549" i="2"/>
  <c r="I548" i="2"/>
  <c r="I546" i="2"/>
  <c r="I545" i="2"/>
  <c r="I544" i="2"/>
  <c r="I543" i="2"/>
  <c r="I542" i="2"/>
  <c r="I541" i="2"/>
  <c r="I540" i="2" l="1"/>
  <c r="I539" i="2"/>
  <c r="I538" i="2"/>
  <c r="I537" i="2"/>
  <c r="I536" i="2"/>
  <c r="I535" i="2"/>
  <c r="I534" i="2" l="1"/>
  <c r="I533" i="2"/>
  <c r="I532" i="2"/>
  <c r="I531" i="2" l="1"/>
  <c r="I530" i="2"/>
  <c r="I529" i="2"/>
  <c r="I528" i="2"/>
  <c r="I527" i="2"/>
  <c r="I526" i="2"/>
  <c r="I525" i="2" l="1"/>
  <c r="I524" i="2"/>
  <c r="I523" i="2"/>
  <c r="I522" i="2"/>
  <c r="I521" i="2" l="1"/>
  <c r="I520" i="2"/>
  <c r="I519" i="2"/>
  <c r="I518" i="2"/>
  <c r="I517" i="2"/>
  <c r="I516" i="2"/>
  <c r="I515" i="2"/>
  <c r="I514" i="2"/>
  <c r="I513" i="2"/>
  <c r="I512" i="2" l="1"/>
  <c r="I508" i="2"/>
  <c r="I511" i="2"/>
  <c r="I510" i="2"/>
  <c r="I509" i="2"/>
  <c r="I507" i="2"/>
  <c r="I506" i="2"/>
  <c r="I505" i="2"/>
  <c r="I504" i="2" l="1"/>
  <c r="I503" i="2"/>
  <c r="I502" i="2"/>
  <c r="I501" i="2"/>
  <c r="I500" i="2"/>
  <c r="I499" i="2"/>
  <c r="I498" i="2"/>
  <c r="I497" i="2"/>
  <c r="I496" i="2"/>
  <c r="I495" i="2"/>
  <c r="I493" i="2" l="1"/>
  <c r="I492" i="2"/>
  <c r="I491" i="2" l="1"/>
  <c r="I490" i="2" l="1"/>
  <c r="I489" i="2"/>
  <c r="I488" i="2"/>
  <c r="I487" i="2"/>
  <c r="I486" i="2"/>
  <c r="I485" i="2"/>
  <c r="I484" i="2"/>
  <c r="I483" i="2"/>
  <c r="I481" i="2"/>
  <c r="I480" i="2"/>
  <c r="I479" i="2" l="1"/>
  <c r="I478" i="2"/>
  <c r="I477" i="2"/>
  <c r="I476" i="2"/>
  <c r="I475" i="2"/>
  <c r="I474" i="2"/>
  <c r="I473" i="2"/>
  <c r="I472" i="2"/>
  <c r="I471" i="2"/>
  <c r="I470" i="2"/>
  <c r="I14" i="2" l="1"/>
  <c r="I106" i="2"/>
  <c r="I465" i="2"/>
  <c r="I469" i="2" l="1"/>
  <c r="I468" i="2"/>
  <c r="I467" i="2"/>
  <c r="I466" i="2"/>
  <c r="I464" i="2"/>
  <c r="I463" i="2"/>
  <c r="I462" i="2"/>
  <c r="I461" i="2"/>
  <c r="I281" i="2"/>
  <c r="I460" i="2"/>
  <c r="I459" i="2"/>
  <c r="I458" i="2"/>
  <c r="I457" i="2"/>
  <c r="I456" i="2"/>
  <c r="I455" i="2"/>
  <c r="I454" i="2"/>
  <c r="I453" i="2"/>
  <c r="I452" i="2"/>
  <c r="I451" i="2" l="1"/>
  <c r="I450" i="2"/>
  <c r="I449" i="2"/>
  <c r="I448" i="2"/>
  <c r="I447" i="2"/>
  <c r="I446" i="2"/>
  <c r="I445" i="2"/>
  <c r="I444" i="2"/>
  <c r="I443" i="2"/>
  <c r="I442" i="2"/>
  <c r="I441" i="2"/>
  <c r="I440" i="2"/>
  <c r="I439" i="2"/>
  <c r="I438" i="2"/>
  <c r="I437" i="2"/>
  <c r="I436" i="2" l="1"/>
  <c r="I435" i="2"/>
  <c r="I434" i="2"/>
  <c r="I433" i="2"/>
  <c r="I432" i="2"/>
  <c r="I431" i="2"/>
  <c r="I430" i="2"/>
  <c r="I429" i="2"/>
  <c r="I428" i="2"/>
  <c r="I427" i="2"/>
  <c r="I426" i="2"/>
  <c r="I425" i="2"/>
  <c r="I160" i="2"/>
  <c r="I211" i="2" l="1"/>
  <c r="I210" i="2"/>
  <c r="I303" i="2"/>
  <c r="I265" i="2" l="1"/>
  <c r="I252" i="2"/>
  <c r="I239" i="2"/>
  <c r="I235" i="2"/>
  <c r="I223" i="2"/>
  <c r="I424" i="2" l="1"/>
  <c r="I423" i="2"/>
  <c r="I422" i="2"/>
  <c r="I421" i="2"/>
  <c r="I420" i="2" l="1"/>
  <c r="I419" i="2"/>
  <c r="I418" i="2"/>
  <c r="I417" i="2"/>
  <c r="I416" i="2"/>
  <c r="I415" i="2" l="1"/>
  <c r="I414" i="2"/>
  <c r="I413" i="2" l="1"/>
  <c r="I412" i="2"/>
  <c r="I411" i="2"/>
  <c r="I410" i="2"/>
  <c r="I409" i="2"/>
  <c r="I408" i="2"/>
  <c r="I407" i="2"/>
  <c r="I406" i="2"/>
  <c r="I405" i="2" l="1"/>
  <c r="I404" i="2"/>
  <c r="I403" i="2"/>
  <c r="I402" i="2" l="1"/>
  <c r="I401" i="2"/>
  <c r="I400" i="2"/>
  <c r="I399" i="2"/>
  <c r="I396" i="2" l="1"/>
  <c r="I395" i="2"/>
  <c r="I394" i="2"/>
  <c r="I393" i="2"/>
  <c r="I392" i="2"/>
  <c r="I391" i="2"/>
  <c r="I390" i="2"/>
  <c r="I389" i="2"/>
  <c r="I388" i="2"/>
  <c r="I387" i="2"/>
  <c r="I386" i="2"/>
  <c r="I385" i="2"/>
  <c r="I384" i="2"/>
  <c r="I383" i="2"/>
  <c r="I382" i="2"/>
  <c r="I381" i="2"/>
  <c r="I380" i="2"/>
  <c r="I379" i="2" l="1"/>
  <c r="I378" i="2"/>
  <c r="I377" i="2"/>
  <c r="I376" i="2"/>
  <c r="I375" i="2" l="1"/>
  <c r="I374" i="2"/>
  <c r="I373" i="2"/>
  <c r="I372" i="2"/>
  <c r="I371" i="2"/>
  <c r="I370" i="2"/>
  <c r="I369" i="2"/>
  <c r="I368" i="2"/>
  <c r="I367" i="2"/>
  <c r="I366" i="2"/>
  <c r="I365" i="2"/>
  <c r="I364" i="2"/>
  <c r="I363" i="2" l="1"/>
  <c r="I362" i="2"/>
  <c r="I361" i="2"/>
  <c r="I360" i="2" l="1"/>
  <c r="I359" i="2" l="1"/>
  <c r="I358" i="2"/>
  <c r="I357" i="2"/>
  <c r="I356" i="2"/>
  <c r="I355" i="2"/>
  <c r="I354" i="2"/>
  <c r="I353" i="2" l="1"/>
  <c r="I352" i="2"/>
  <c r="I351" i="2"/>
  <c r="I350" i="2"/>
  <c r="I349" i="2"/>
  <c r="I348" i="2"/>
  <c r="I347" i="2"/>
  <c r="I346" i="2"/>
  <c r="I345" i="2"/>
  <c r="I344" i="2"/>
  <c r="I343" i="2"/>
  <c r="I342" i="2"/>
  <c r="I341" i="2"/>
  <c r="I340" i="2"/>
  <c r="I338" i="2"/>
  <c r="I339" i="2"/>
  <c r="I337" i="2"/>
  <c r="I336" i="2" l="1"/>
  <c r="I335" i="2"/>
  <c r="I334" i="2"/>
  <c r="I333" i="2"/>
  <c r="I332" i="2"/>
  <c r="I331" i="2"/>
  <c r="I330" i="2"/>
  <c r="I329" i="2"/>
  <c r="I328" i="2"/>
  <c r="I327" i="2" l="1"/>
  <c r="I326" i="2"/>
  <c r="I325" i="2"/>
  <c r="I324" i="2"/>
  <c r="I323" i="2"/>
  <c r="I322" i="2"/>
  <c r="I321" i="2"/>
  <c r="I320" i="2"/>
  <c r="I319" i="2"/>
  <c r="I226" i="2"/>
  <c r="I174" i="2"/>
  <c r="I61" i="2"/>
  <c r="I49" i="2"/>
  <c r="I318" i="2"/>
  <c r="I317" i="2" l="1"/>
  <c r="I316" i="2"/>
  <c r="I315" i="2"/>
  <c r="I314" i="2"/>
  <c r="I313" i="2"/>
  <c r="I312" i="2"/>
  <c r="I311" i="2"/>
  <c r="I310" i="2"/>
  <c r="I309" i="2"/>
  <c r="I308" i="2"/>
  <c r="I307" i="2"/>
  <c r="I306" i="2"/>
  <c r="I304" i="2" l="1"/>
  <c r="I302" i="2"/>
  <c r="I301" i="2"/>
  <c r="I299" i="2"/>
  <c r="I298" i="2"/>
  <c r="I297" i="2"/>
  <c r="I296" i="2"/>
  <c r="I295" i="2"/>
  <c r="I294" i="2"/>
  <c r="I292" i="2"/>
  <c r="I291" i="2"/>
  <c r="I290" i="2"/>
  <c r="I289" i="2"/>
  <c r="I288" i="2" l="1"/>
  <c r="I287" i="2"/>
  <c r="I286" i="2"/>
  <c r="I285" i="2"/>
  <c r="I284" i="2"/>
  <c r="I283" i="2"/>
  <c r="I282" i="2"/>
  <c r="I280" i="2"/>
  <c r="I279" i="2"/>
  <c r="I278" i="2"/>
  <c r="I277" i="2"/>
  <c r="I276" i="2"/>
  <c r="I275" i="2"/>
  <c r="I274" i="2"/>
  <c r="I273" i="2"/>
  <c r="I272" i="2" l="1"/>
  <c r="I270" i="2"/>
  <c r="I269" i="2"/>
  <c r="I266" i="2"/>
  <c r="I264" i="2"/>
  <c r="I263" i="2"/>
  <c r="I262" i="2"/>
  <c r="I261" i="2"/>
  <c r="I259" i="2"/>
  <c r="I258" i="2"/>
  <c r="I257" i="2"/>
  <c r="I256" i="2"/>
  <c r="I255" i="2"/>
  <c r="I254" i="2"/>
  <c r="I253" i="2" l="1"/>
  <c r="I251" i="2"/>
  <c r="I250" i="2"/>
  <c r="I248" i="2"/>
  <c r="I247" i="2"/>
  <c r="I245" i="2"/>
  <c r="I244" i="2"/>
  <c r="I243" i="2" l="1"/>
  <c r="I242" i="2"/>
  <c r="I241" i="2"/>
  <c r="I240" i="2"/>
  <c r="I238" i="2"/>
  <c r="I237" i="2"/>
  <c r="I236" i="2"/>
  <c r="I234" i="2"/>
  <c r="I231" i="2"/>
  <c r="I232" i="2"/>
  <c r="I230" i="2"/>
  <c r="I229" i="2"/>
  <c r="I228" i="2"/>
  <c r="I227" i="2"/>
  <c r="I225" i="2" l="1"/>
  <c r="I224" i="2"/>
  <c r="I222" i="2"/>
  <c r="I221" i="2"/>
  <c r="I220" i="2"/>
  <c r="I219" i="2" l="1"/>
  <c r="I218" i="2"/>
  <c r="I217" i="2"/>
  <c r="I216" i="2"/>
  <c r="I214" i="2"/>
  <c r="I213" i="2"/>
  <c r="I212" i="2"/>
  <c r="I209" i="2"/>
  <c r="I208" i="2"/>
  <c r="I207" i="2"/>
  <c r="I206" i="2"/>
  <c r="I204" i="2"/>
  <c r="I203" i="2"/>
  <c r="I202" i="2" l="1"/>
  <c r="I201" i="2"/>
  <c r="I200" i="2"/>
  <c r="I199" i="2"/>
  <c r="I198" i="2"/>
  <c r="I197" i="2"/>
  <c r="I196" i="2"/>
  <c r="I195" i="2"/>
  <c r="I194" i="2"/>
  <c r="I192" i="2"/>
  <c r="I191" i="2"/>
  <c r="I190" i="2"/>
  <c r="I189" i="2"/>
  <c r="I188" i="2"/>
  <c r="I187" i="2"/>
  <c r="I186" i="2"/>
  <c r="I185" i="2" l="1"/>
  <c r="I184" i="2"/>
  <c r="I183" i="2"/>
  <c r="I182" i="2"/>
  <c r="I181" i="2"/>
  <c r="I180" i="2"/>
  <c r="I179" i="2"/>
  <c r="I178" i="2"/>
  <c r="I177" i="2"/>
  <c r="I176" i="2"/>
  <c r="I175" i="2" l="1"/>
  <c r="I173" i="2"/>
  <c r="I172" i="2"/>
  <c r="I171" i="2"/>
  <c r="I170" i="2"/>
  <c r="I169" i="2"/>
  <c r="I168" i="2"/>
  <c r="I167" i="2"/>
  <c r="I165" i="2"/>
  <c r="I163" i="2"/>
  <c r="I162" i="2"/>
  <c r="I161" i="2"/>
  <c r="I158" i="2"/>
  <c r="I157" i="2" l="1"/>
  <c r="I156" i="2"/>
  <c r="I155" i="2"/>
  <c r="I154" i="2"/>
  <c r="I153" i="2"/>
  <c r="I122" i="2" l="1"/>
  <c r="I152" i="2"/>
  <c r="I151" i="2"/>
  <c r="I150" i="2"/>
  <c r="I149" i="2"/>
  <c r="I148" i="2"/>
  <c r="I147" i="2"/>
  <c r="I146" i="2"/>
  <c r="I145" i="2"/>
  <c r="I144" i="2"/>
  <c r="I143" i="2"/>
  <c r="I142" i="2"/>
  <c r="I141" i="2"/>
  <c r="I125" i="2"/>
  <c r="I124" i="2"/>
  <c r="I123" i="2"/>
  <c r="I121" i="2"/>
  <c r="I120" i="2"/>
  <c r="I119" i="2"/>
  <c r="I118" i="2"/>
  <c r="I117" i="2" l="1"/>
  <c r="I140" i="2"/>
  <c r="I139" i="2"/>
  <c r="I138" i="2"/>
  <c r="I136" i="2"/>
  <c r="I135" i="2"/>
  <c r="I134" i="2"/>
  <c r="I133" i="2"/>
  <c r="I132" i="2"/>
  <c r="I131" i="2"/>
  <c r="I130" i="2"/>
  <c r="I129" i="2"/>
  <c r="I128" i="2"/>
  <c r="I126" i="2"/>
  <c r="I127" i="2"/>
  <c r="I116" i="2" l="1"/>
  <c r="I115" i="2"/>
  <c r="I114" i="2"/>
  <c r="I113" i="2"/>
  <c r="I112" i="2"/>
  <c r="I111" i="2"/>
  <c r="I110" i="2"/>
  <c r="I109" i="2"/>
  <c r="I108" i="2"/>
  <c r="I107" i="2"/>
  <c r="I105" i="2"/>
  <c r="I104" i="2"/>
  <c r="I103" i="2"/>
  <c r="I102" i="2"/>
  <c r="I101" i="2"/>
  <c r="I100" i="2"/>
  <c r="I99" i="2"/>
  <c r="I98" i="2" l="1"/>
  <c r="I97" i="2"/>
  <c r="I96" i="2"/>
  <c r="I95" i="2"/>
  <c r="I94" i="2"/>
  <c r="I93" i="2"/>
  <c r="I92" i="2"/>
  <c r="I91" i="2"/>
  <c r="I90" i="2"/>
  <c r="I89" i="2"/>
  <c r="I88" i="2"/>
  <c r="I87" i="2"/>
  <c r="I86" i="2"/>
  <c r="I85" i="2"/>
  <c r="I84" i="2"/>
  <c r="I81" i="2" l="1"/>
  <c r="I83" i="2"/>
  <c r="I82" i="2"/>
  <c r="I80" i="2" l="1"/>
  <c r="I79" i="2"/>
  <c r="I78" i="2"/>
  <c r="I77" i="2"/>
  <c r="I76" i="2"/>
  <c r="I75" i="2"/>
  <c r="I73" i="2"/>
  <c r="I72" i="2"/>
  <c r="I71" i="2"/>
  <c r="I69" i="2"/>
  <c r="I67" i="2" l="1"/>
  <c r="I14" i="1" l="1"/>
  <c r="I68" i="2"/>
  <c r="I66" i="2"/>
  <c r="I65" i="2"/>
  <c r="I64" i="2"/>
  <c r="I63" i="2"/>
  <c r="I62" i="2" l="1"/>
  <c r="I60" i="2"/>
  <c r="I59" i="2"/>
  <c r="I58" i="2"/>
  <c r="I57" i="2"/>
  <c r="I56" i="2"/>
  <c r="I52" i="2"/>
  <c r="I55" i="2"/>
  <c r="I54" i="2"/>
  <c r="I53" i="2"/>
  <c r="I51" i="2"/>
  <c r="B36" i="6" l="1"/>
  <c r="B26" i="6"/>
  <c r="B25" i="6"/>
  <c r="B24" i="6"/>
  <c r="B23" i="6"/>
  <c r="B22" i="6"/>
  <c r="B21" i="6"/>
  <c r="B16" i="6"/>
  <c r="B15" i="6"/>
  <c r="B13" i="6"/>
  <c r="B12" i="6"/>
  <c r="B14" i="6"/>
  <c r="B8" i="6"/>
  <c r="B17" i="6" l="1"/>
  <c r="I48" i="1"/>
  <c r="I47" i="1"/>
  <c r="I39" i="1"/>
  <c r="I38" i="1" l="1"/>
  <c r="I2" i="1"/>
  <c r="I50" i="2" l="1"/>
  <c r="I48" i="2"/>
  <c r="I47" i="2"/>
  <c r="I46" i="2"/>
  <c r="I45" i="2"/>
  <c r="I44" i="2"/>
  <c r="I43" i="2"/>
  <c r="I42" i="2"/>
  <c r="I41" i="2"/>
  <c r="I37" i="2"/>
  <c r="I40" i="2"/>
  <c r="I38" i="2"/>
  <c r="I36" i="2"/>
  <c r="I35" i="2"/>
  <c r="I34" i="2"/>
  <c r="I32" i="2" l="1"/>
  <c r="I27" i="2"/>
  <c r="I31" i="2"/>
  <c r="I29" i="2"/>
  <c r="I24" i="2"/>
  <c r="I23" i="2"/>
  <c r="I6" i="2"/>
  <c r="I10" i="2"/>
  <c r="I26" i="2" l="1"/>
  <c r="I25" i="2"/>
  <c r="I21" i="2"/>
  <c r="I15" i="2"/>
  <c r="I19" i="2"/>
  <c r="I17" i="2"/>
  <c r="I16" i="2"/>
  <c r="I13" i="2"/>
  <c r="I5" i="2" l="1"/>
  <c r="I26" i="1"/>
  <c r="I5" i="1"/>
  <c r="I12" i="1"/>
  <c r="I22" i="1"/>
  <c r="I21" i="1"/>
  <c r="I7" i="1"/>
  <c r="I11" i="2" l="1"/>
  <c r="I56" i="1" l="1"/>
  <c r="I41" i="1"/>
</calcChain>
</file>

<file path=xl/sharedStrings.xml><?xml version="1.0" encoding="utf-8"?>
<sst xmlns="http://schemas.openxmlformats.org/spreadsheetml/2006/main" count="7979" uniqueCount="3370">
  <si>
    <t>Last Name</t>
  </si>
  <si>
    <t>First Name</t>
  </si>
  <si>
    <t>Middle</t>
  </si>
  <si>
    <t>Type of Debrief</t>
  </si>
  <si>
    <t>Adkins</t>
  </si>
  <si>
    <t>Clodeon</t>
  </si>
  <si>
    <t>Summary</t>
  </si>
  <si>
    <t>Audio</t>
  </si>
  <si>
    <t>N</t>
  </si>
  <si>
    <t>USAF</t>
  </si>
  <si>
    <t>Date of Debrief</t>
  </si>
  <si>
    <t>Captivity Period</t>
  </si>
  <si>
    <t># of Pages</t>
  </si>
  <si>
    <t>PA&amp;E</t>
  </si>
  <si>
    <t>State Dept</t>
  </si>
  <si>
    <t>Benge</t>
  </si>
  <si>
    <t>Michael</t>
  </si>
  <si>
    <t>D.</t>
  </si>
  <si>
    <t>28 Jan 1968 - 4 Mar 1973</t>
  </si>
  <si>
    <t>1 Feb 1968 - 5 Mar 1973</t>
  </si>
  <si>
    <t>USN</t>
  </si>
  <si>
    <t>Box</t>
  </si>
  <si>
    <t>09-A-1 F2</t>
  </si>
  <si>
    <t>CD</t>
  </si>
  <si>
    <t>Brace</t>
  </si>
  <si>
    <t>Ernest</t>
  </si>
  <si>
    <t>C.</t>
  </si>
  <si>
    <t>Y</t>
  </si>
  <si>
    <t>09-A-1 F3</t>
  </si>
  <si>
    <t>21 May 1965 - 28 Mar 1973</t>
  </si>
  <si>
    <t>Daves</t>
  </si>
  <si>
    <t>Gary</t>
  </si>
  <si>
    <t>L.</t>
  </si>
  <si>
    <t>USAID</t>
  </si>
  <si>
    <t>International Voluntary Services</t>
  </si>
  <si>
    <t>3 Feb 1968 - 27 March 1973</t>
  </si>
  <si>
    <t>09-A-1 F4</t>
  </si>
  <si>
    <t>Elm</t>
  </si>
  <si>
    <t xml:space="preserve">Homer </t>
  </si>
  <si>
    <t>Note</t>
  </si>
  <si>
    <t>Operation Homecoming</t>
  </si>
  <si>
    <t>-</t>
  </si>
  <si>
    <t>Henderson</t>
  </si>
  <si>
    <t>Alexander</t>
  </si>
  <si>
    <t>09-A-1 F5</t>
  </si>
  <si>
    <t>1 Feb 1968 - 16 Mar 1973</t>
  </si>
  <si>
    <t>Keesee</t>
  </si>
  <si>
    <t>Bobby</t>
  </si>
  <si>
    <t>Joe</t>
  </si>
  <si>
    <t>18 Aug 1970 - 14 Mar 1973</t>
  </si>
  <si>
    <t>Verbatim &amp; Summary</t>
  </si>
  <si>
    <t>Flew into NVN</t>
  </si>
  <si>
    <t>Kjome</t>
  </si>
  <si>
    <t>H.</t>
  </si>
  <si>
    <t>1 Feb 1968 - 12 Feb 1973</t>
  </si>
  <si>
    <t>09-A-1 F7</t>
  </si>
  <si>
    <t>Kay</t>
  </si>
  <si>
    <t>Emmet</t>
  </si>
  <si>
    <t>J.</t>
  </si>
  <si>
    <t>Continental Air Service</t>
  </si>
  <si>
    <t>7 May 1973 - 18 Sep 1974</t>
  </si>
  <si>
    <t>Manhard</t>
  </si>
  <si>
    <t>Phillip</t>
  </si>
  <si>
    <t>W.</t>
  </si>
  <si>
    <t>09-A-1 F9</t>
  </si>
  <si>
    <t>Mattix</t>
  </si>
  <si>
    <t>Samuel</t>
  </si>
  <si>
    <t>A.</t>
  </si>
  <si>
    <t>CMML Missionary</t>
  </si>
  <si>
    <t>27 Oct 1972 - 28 Mar 1973</t>
  </si>
  <si>
    <t>09-A-1 F10</t>
  </si>
  <si>
    <t>Lewis</t>
  </si>
  <si>
    <t>E.</t>
  </si>
  <si>
    <t>USN Support Activity Asst. Fire Chief</t>
  </si>
  <si>
    <t>1 Feb 1968 - 27 Mar 1973</t>
  </si>
  <si>
    <t>09-A-1 F11</t>
  </si>
  <si>
    <t>Fritz</t>
  </si>
  <si>
    <t>John</t>
  </si>
  <si>
    <t>Lear-Seigler</t>
  </si>
  <si>
    <t>8 Feb 1969 - 22 Feb 1973c</t>
  </si>
  <si>
    <t>Summary of contents from audio tapes</t>
  </si>
  <si>
    <t>09-B-62 F5</t>
  </si>
  <si>
    <t>Kosh</t>
  </si>
  <si>
    <t>Gerald</t>
  </si>
  <si>
    <t>USDAO</t>
  </si>
  <si>
    <t>Naval Message Summary</t>
  </si>
  <si>
    <t>31/1/1974</t>
  </si>
  <si>
    <t>09-B-62 F9</t>
  </si>
  <si>
    <t>Krause</t>
  </si>
  <si>
    <t>Arthur</t>
  </si>
  <si>
    <t>Philco Corporation</t>
  </si>
  <si>
    <t>8 Jun 1963 - 22 Nov 1963</t>
  </si>
  <si>
    <t>1 Jan 1974 -31 Jan 1974</t>
  </si>
  <si>
    <t>09-B-62 F10</t>
  </si>
  <si>
    <t>Rank/Branch</t>
  </si>
  <si>
    <t>Abbott</t>
  </si>
  <si>
    <t>Joseph</t>
  </si>
  <si>
    <t>Major, USAF</t>
  </si>
  <si>
    <t>30 Apr 1967 - 18 Feb 1973</t>
  </si>
  <si>
    <t>Debrief summary, audio recording notes, casualty reports, and an IIR, 09-B-62 F13, 43 pgs.</t>
  </si>
  <si>
    <t>Robert</t>
  </si>
  <si>
    <t>Capt, USAF</t>
  </si>
  <si>
    <t>Wilfred</t>
  </si>
  <si>
    <t>K.</t>
  </si>
  <si>
    <t>5 Sep 1966 - 4 Mar 1973</t>
  </si>
  <si>
    <t>Audio recording notes, Homecoming reports, and casualty reports, 09-B-62 F15 41 pgs.</t>
  </si>
  <si>
    <t>Project Homecoming /Navy Message 57 pgs, 09-B-62 F11. Letter adding name to missing list 09-A-1 F14 1 pg, another copy of summary 09-A-1 F14 56 pgs.</t>
  </si>
  <si>
    <t>Nelson</t>
  </si>
  <si>
    <t>Marjorie</t>
  </si>
  <si>
    <t>American Friends Service Committee</t>
  </si>
  <si>
    <t>3 Feb 1968 - 31 Mar 1968</t>
  </si>
  <si>
    <t>Johnson</t>
  </si>
  <si>
    <t>Sandra</t>
  </si>
  <si>
    <t>R.</t>
  </si>
  <si>
    <t>Includes summary, propaganda letter, and newspaper clippings.</t>
  </si>
  <si>
    <t>Newington</t>
  </si>
  <si>
    <t>James</t>
  </si>
  <si>
    <t xml:space="preserve"> A.</t>
  </si>
  <si>
    <t>09-A-2  F1</t>
  </si>
  <si>
    <t>09-A-1 F6?</t>
  </si>
  <si>
    <t>8 Feb 1969 - 12 Feb 1973</t>
  </si>
  <si>
    <t>DIA Civilian</t>
  </si>
  <si>
    <t>Olsen</t>
  </si>
  <si>
    <t>F.</t>
  </si>
  <si>
    <t>Oppel</t>
  </si>
  <si>
    <t>Canadian National CMML Missionary</t>
  </si>
  <si>
    <t>28 Oct 1972 - 28 Mar 1973</t>
  </si>
  <si>
    <t>09-A-2 F4</t>
  </si>
  <si>
    <t>Cover letter mentions two verbatim tapes.</t>
  </si>
  <si>
    <t>Page</t>
  </si>
  <si>
    <t>Russell</t>
  </si>
  <si>
    <t xml:space="preserve">J. </t>
  </si>
  <si>
    <t>09-A-2 F5</t>
  </si>
  <si>
    <t>Ramsey</t>
  </si>
  <si>
    <t>Douglas</t>
  </si>
  <si>
    <t>09-A-2 F6</t>
  </si>
  <si>
    <t>Rollins</t>
  </si>
  <si>
    <t>U.</t>
  </si>
  <si>
    <t>5 Feb 1968 - 12 Feb 1973</t>
  </si>
  <si>
    <t>Civilian</t>
  </si>
  <si>
    <t>Thomas</t>
  </si>
  <si>
    <t>Rushton</t>
  </si>
  <si>
    <t>Scales</t>
  </si>
  <si>
    <t>27 May 1966 - 1 Jan 1967</t>
  </si>
  <si>
    <t>09-A-2 F9</t>
  </si>
  <si>
    <t>Note in folder says debriefing is on AFHRA microfilm reel K1138 in Microfilm box 14-1.</t>
  </si>
  <si>
    <t>Monahan</t>
  </si>
  <si>
    <t>Spaulding</t>
  </si>
  <si>
    <t>Richard</t>
  </si>
  <si>
    <t>Stark</t>
  </si>
  <si>
    <t>Lawrence</t>
  </si>
  <si>
    <t>USN Civilian</t>
  </si>
  <si>
    <t>09-A-2 F11</t>
  </si>
  <si>
    <t>09-A-2 F10</t>
  </si>
  <si>
    <t>Utecht</t>
  </si>
  <si>
    <t>4 Feb 1968 - 12 Feb 1973</t>
  </si>
  <si>
    <t>09-A-2 F12</t>
  </si>
  <si>
    <t>Summary is in the form of Project Homecoming/ Navy message, it mentions that it is derived from tapes.</t>
  </si>
  <si>
    <t>Weaver</t>
  </si>
  <si>
    <t>Eugene</t>
  </si>
  <si>
    <t>09-A-2 F14</t>
  </si>
  <si>
    <t>09-A-2 F15</t>
  </si>
  <si>
    <t>Willis</t>
  </si>
  <si>
    <t>Charles</t>
  </si>
  <si>
    <t>Voice for America</t>
  </si>
  <si>
    <t>JPRA-121-CD-Disc 3</t>
  </si>
  <si>
    <t>Two copies of summary in this folder, I did not include the second copy in the page count. 09-A-2 Cont. Folder 5 contains a third copy of the summary (not counted), and an Egress Recap debrief form</t>
  </si>
  <si>
    <t>Two copies of summary did not include the second copy in the page count. There is a handwritten list of other POWs, as well as Project Homecoming/Navy message debrief summaries. Folder 10 in 09-A-2 Cont., is a copy of the Project Homecoming/Navy message debriefs,</t>
  </si>
  <si>
    <t>Includes two copies of summary, did not include second copy in page count, Debriefing report of known POWs, as well as Project Homecoming/Navy message debriefs. Third copy of summary in 09-A-2 Cont. folder 11 was not counted towards page count. Egress Recap debriefing form in 09-A-2 Cont. F11.</t>
  </si>
  <si>
    <t>Includes individuals identified by Nelson and Johnson, Blue Plate addendum, and Project Homecoming/Navy message debriefs. Two copies of summary, the second copy is  not included in page count. Third copy in 09-A-2 Cont. folder 14, not included.</t>
  </si>
  <si>
    <t xml:space="preserve"> Two copies of summary, the second copy is  not included in page count and Project Homecoming/Navy message debriefs. Third copy of summary in 09-A-2 F15.</t>
  </si>
  <si>
    <t>09-B-28 F2</t>
  </si>
  <si>
    <t>paper in folder 09-A-1 F5, that says: See Elm file in box 13-F-1, DPMO files, Civilian Prisoners, location B-3-3, which is 09-B-28 F2. Contains one short debrief summary report, MIA reports, and  release information.</t>
  </si>
  <si>
    <t>Hertz</t>
  </si>
  <si>
    <t>Gustav</t>
  </si>
  <si>
    <t>2 Feb 1965 - 24 Sep 1967</t>
  </si>
  <si>
    <t>09-B-28 F6</t>
  </si>
  <si>
    <t>87 Pages in 09-B-28 F11, discusses the possible release of Ramsey, through a prisoner exchange.</t>
  </si>
  <si>
    <t>Singer</t>
  </si>
  <si>
    <t>none</t>
  </si>
  <si>
    <t>09-B-28 F14</t>
  </si>
  <si>
    <t>DOD message about Singer's release, exit visa, they consider his claim of capture highly questionable.</t>
  </si>
  <si>
    <t>G.</t>
  </si>
  <si>
    <t>Student</t>
  </si>
  <si>
    <t>None</t>
  </si>
  <si>
    <t>09-B-28 F8, 18</t>
  </si>
  <si>
    <t>Verbatim</t>
  </si>
  <si>
    <t>09-A-3 F1</t>
  </si>
  <si>
    <t>09-A-3 F2</t>
  </si>
  <si>
    <t>09-A-3 F3</t>
  </si>
  <si>
    <t>Acosta</t>
  </si>
  <si>
    <t>Hector</t>
  </si>
  <si>
    <t>M.</t>
  </si>
  <si>
    <t>1 LT, USAF</t>
  </si>
  <si>
    <t>9 Dec 1972 - 29 Mar 1973</t>
  </si>
  <si>
    <t>09-A-4 F1</t>
  </si>
  <si>
    <t>09-A-4 F2</t>
  </si>
  <si>
    <t>09-A-4 F6</t>
  </si>
  <si>
    <t>09-A-4 F7</t>
  </si>
  <si>
    <t>Albert</t>
  </si>
  <si>
    <t>Keith</t>
  </si>
  <si>
    <t>SP4, USA</t>
  </si>
  <si>
    <t>21 May 1971 - 12 Feb 1973</t>
  </si>
  <si>
    <t>Alcorn</t>
  </si>
  <si>
    <t>Wendell</t>
  </si>
  <si>
    <t xml:space="preserve">R. </t>
  </si>
  <si>
    <t>LTJR, USN</t>
  </si>
  <si>
    <t>22 Dec 1965 - 12 Feb 1973</t>
  </si>
  <si>
    <t>Agnew</t>
  </si>
  <si>
    <t>Alfred</t>
  </si>
  <si>
    <t>LCDR, USN</t>
  </si>
  <si>
    <t>28 Dec 1972 - 29 Mar 1973</t>
  </si>
  <si>
    <t>Agosto-Santos</t>
  </si>
  <si>
    <t xml:space="preserve">Jose </t>
  </si>
  <si>
    <t>CPL, USMC</t>
  </si>
  <si>
    <t>USMC</t>
  </si>
  <si>
    <t>13 May 1967 - 23 Jan 1968</t>
  </si>
  <si>
    <t>Fernando</t>
  </si>
  <si>
    <t>19 Dec 1972 - 29 Mar 1973</t>
  </si>
  <si>
    <t>09-A-5 F1</t>
  </si>
  <si>
    <t>Casualty reports and Navy Message debriefs also included.</t>
  </si>
  <si>
    <t>Includes debrief abstract.</t>
  </si>
  <si>
    <t>USA</t>
  </si>
  <si>
    <t>09-A-5 F2</t>
  </si>
  <si>
    <t>4 Mar 1971 - 27 Mar 1973</t>
  </si>
  <si>
    <t>Allwine</t>
  </si>
  <si>
    <t>David</t>
  </si>
  <si>
    <t>SSG, USA</t>
  </si>
  <si>
    <t>Alpers</t>
  </si>
  <si>
    <t>5 Oct 1972 - 29 Mar 1973</t>
  </si>
  <si>
    <t>09-A-5 F3</t>
  </si>
  <si>
    <t>Alvarez</t>
  </si>
  <si>
    <t>Everett</t>
  </si>
  <si>
    <t>5 Aug 1964 - 12 Feb 1973</t>
  </si>
  <si>
    <t xml:space="preserve">09-B-62 F4 Operation Homecoming navy message (20 pgs), </t>
  </si>
  <si>
    <t>Handwritten timeline, Egress Recap debriefing form (like a summary) 09-A-1 cont. F10 118 pgs. 09-B-62 F8 (25 pgs) project homecoming Navy message.</t>
  </si>
  <si>
    <t>Another copy of the summary in 09-A-1 cont. F13 (37 pgs). 09-B-62 F11 59 pages of Project Homecoming/Navy Message.</t>
  </si>
  <si>
    <t>Meyer</t>
  </si>
  <si>
    <t>09-B-63 F1 (3 casualty reports, 4 pages of audio recording notes, 7 pages project homecoming air force message debrief)</t>
  </si>
  <si>
    <t>09-A-5 F4</t>
  </si>
  <si>
    <t>Anderson</t>
  </si>
  <si>
    <t>Gareth</t>
  </si>
  <si>
    <t>19 May 1967 - 4 Mar 1973</t>
  </si>
  <si>
    <t>09-A-6 F1</t>
  </si>
  <si>
    <t>T.</t>
  </si>
  <si>
    <t>SFC, USA</t>
  </si>
  <si>
    <t>3 Feb 1968 - 5 Mar 1973</t>
  </si>
  <si>
    <t>09-A-6 F2</t>
  </si>
  <si>
    <t>Also includes 2 articles and Homecoming Army Message debriefs.</t>
  </si>
  <si>
    <t>27 Dec 1972 - 12 Feb 1973</t>
  </si>
  <si>
    <t>09-A-6 F3</t>
  </si>
  <si>
    <t>Also includes audio tape notes, comments on morale, DRV list of us military personnel to be released, Casualty reports, and Personnel known to be alive.</t>
  </si>
  <si>
    <t>Andrews</t>
  </si>
  <si>
    <t>Anthony</t>
  </si>
  <si>
    <t>17 Oct 1967 - 14 Mar 1973</t>
  </si>
  <si>
    <t>09-A-6 F4</t>
  </si>
  <si>
    <t>Five maps, four photographs, debrief summary, casualty reports, Audio tape notes, and Egress recap of personnel known to be alive.</t>
  </si>
  <si>
    <t xml:space="preserve">two copies of summary only one counted, debrief abstract, Follow-up interview notes, Homecoming Navy Message debrief, and egress recap for known prisoners of war. Additional copy of summary in 09-A-6 Cont. F1. There is also a egress recap debriefing form. </t>
  </si>
  <si>
    <t>Angus</t>
  </si>
  <si>
    <t>Williams</t>
  </si>
  <si>
    <t>Capt, USMC</t>
  </si>
  <si>
    <t>11 Jun 1972 - 28 Mar 1973</t>
  </si>
  <si>
    <t>09-A-7 F1</t>
  </si>
  <si>
    <t>09-A-7 F2</t>
  </si>
  <si>
    <t>Two copies of summary, second not counted, also a copy of Homecoming Army message debrief.</t>
  </si>
  <si>
    <t>Anshus</t>
  </si>
  <si>
    <t xml:space="preserve">Capt, USA </t>
  </si>
  <si>
    <t>8 Mar 1971 - 28 Mar 1973</t>
  </si>
  <si>
    <t>Anton</t>
  </si>
  <si>
    <t>Francis</t>
  </si>
  <si>
    <t>CW2, USA</t>
  </si>
  <si>
    <t>5 Jan 1968 - 16 Mar 1973</t>
  </si>
  <si>
    <t xml:space="preserve">Two copies of summary, second not counted. </t>
  </si>
  <si>
    <t>09-A-7 F3</t>
  </si>
  <si>
    <t>Anzaldua</t>
  </si>
  <si>
    <t>Jose</t>
  </si>
  <si>
    <t>Sgt, USMC</t>
  </si>
  <si>
    <t>23 Jan 1970 - 27 Mar 1973</t>
  </si>
  <si>
    <t>09-A-7 F4</t>
  </si>
  <si>
    <t>Archer</t>
  </si>
  <si>
    <t>Bruce</t>
  </si>
  <si>
    <t>28 Mar 1968 - 16 Mar 1973</t>
  </si>
  <si>
    <t>09-A-7 F5</t>
  </si>
  <si>
    <t>Arcuri</t>
  </si>
  <si>
    <t xml:space="preserve">William </t>
  </si>
  <si>
    <t>Y.</t>
  </si>
  <si>
    <t>20 Dec 1972 - 12 Feb 1973</t>
  </si>
  <si>
    <t>09-A-7 F6</t>
  </si>
  <si>
    <t>Astorga</t>
  </si>
  <si>
    <t>SP5, USA</t>
  </si>
  <si>
    <t>2 Apr 1972 - 5 Mar 1973</t>
  </si>
  <si>
    <t>09-A-7 F7</t>
  </si>
  <si>
    <t>?</t>
  </si>
  <si>
    <t>called a debriefing report</t>
  </si>
  <si>
    <t>Also casualty reports, audio tape notes, Egress recap message, and DVR list of military personnel to be released.</t>
  </si>
  <si>
    <t>also Homecoming army message debriefs.</t>
  </si>
  <si>
    <t xml:space="preserve">Verbatim </t>
  </si>
  <si>
    <t>Debriefing report in 09-A-7 f4, verbatim photocopy in 09-A-7 Cont. F4 part 1 and 2 (is missing tape 1). Photocopy of Homecoming Marine summary, as well as some of his marine records.</t>
  </si>
  <si>
    <t>Avery</t>
  </si>
  <si>
    <t xml:space="preserve">Robert </t>
  </si>
  <si>
    <t>1 LT, USMC</t>
  </si>
  <si>
    <t>09-A-7 F8</t>
  </si>
  <si>
    <t>Reports of his disappearance and probably death. Should probably move to 09-C series.</t>
  </si>
  <si>
    <t>Austin</t>
  </si>
  <si>
    <t>7 Oct 1967 - 14 Mar 1973</t>
  </si>
  <si>
    <t>09-A-8 F1</t>
  </si>
  <si>
    <t>Ayres</t>
  </si>
  <si>
    <t>Timothy</t>
  </si>
  <si>
    <t>3 May 1972 - 28 Mar 1973</t>
  </si>
  <si>
    <t>09-A-8 F2</t>
  </si>
  <si>
    <t>Bagley</t>
  </si>
  <si>
    <t>16 Sep 1967 - 14 Mar 1973</t>
  </si>
  <si>
    <t>09-A-8 F3</t>
  </si>
  <si>
    <t>Bailey</t>
  </si>
  <si>
    <t>LT, USN</t>
  </si>
  <si>
    <t>28 Jun 1967 - 18 Feb 1973</t>
  </si>
  <si>
    <t>09-A-8 F4</t>
  </si>
  <si>
    <t xml:space="preserve">Summary notes and map, casualty reports, audio tape notes, and personnel known to be alive. </t>
  </si>
  <si>
    <t>Also includes summary, audio tape notes,  casualty reports, and personnel known to be alive.</t>
  </si>
  <si>
    <t>Also final summary, Personnel know to be alive, Names of individuals to be released, 1969 Christmas service, casualty reports, and audio tape notes.</t>
  </si>
  <si>
    <t>Baird</t>
  </si>
  <si>
    <t>Bill</t>
  </si>
  <si>
    <t>6 May 1968 - 5 Mar 1973</t>
  </si>
  <si>
    <t>09-A-9 F1</t>
  </si>
  <si>
    <t>Baker</t>
  </si>
  <si>
    <t>27 Jun 1972 -12 Feb 1973</t>
  </si>
  <si>
    <t>09-A-9 F2</t>
  </si>
  <si>
    <t>Elmo</t>
  </si>
  <si>
    <t>23 Aug 1967 - 14 Mar 1973</t>
  </si>
  <si>
    <t>09-A-9 F3</t>
  </si>
  <si>
    <t>Also includes audio tape notes, special reports, Egress recap message, JoPrep, Bright Light Report, Casualty report, articles, Casualty incident analysis, debrief summary notes, debrief summary, 4 photos and 1 map.</t>
  </si>
  <si>
    <t>Special report/personnel known to be alive, audio tape notes, casualty reports, and 4 maps.</t>
  </si>
  <si>
    <t>Baldock</t>
  </si>
  <si>
    <t>Frederick</t>
  </si>
  <si>
    <t>17 Mar 1966 - 12 Feb 1973</t>
  </si>
  <si>
    <t>09-A-10 F1</t>
  </si>
  <si>
    <t>Ballard</t>
  </si>
  <si>
    <t>26 Sep 1966 - 4 Mar 1973</t>
  </si>
  <si>
    <t>Also debrief summary, Special reports/personnel known to be alive, audio tape notes, and casualty reports.</t>
  </si>
  <si>
    <t>Barbay</t>
  </si>
  <si>
    <t>Lawerence</t>
  </si>
  <si>
    <t>20 Jul 1966 - 4 Mar 1973</t>
  </si>
  <si>
    <t>09-A-10 F2</t>
  </si>
  <si>
    <t>09-A-10 F3</t>
  </si>
  <si>
    <t xml:space="preserve">Also a debrief abstract, Follow-up interview, and Homecoming Navy message debriefs. Additional summary in 09-A-10 Cont. F1, also in that folder are photocopies of the Navy message debriefs of which 26 pages were not in the other folder. </t>
  </si>
  <si>
    <t>Barnett</t>
  </si>
  <si>
    <t>3 Oct 1967 - 14 Mar 1973</t>
  </si>
  <si>
    <t>09-A-11 F1</t>
  </si>
  <si>
    <t>1LT, USAF</t>
  </si>
  <si>
    <t>5 Oct 1965 - 12 Feb 1973</t>
  </si>
  <si>
    <t>09-A-11 F2</t>
  </si>
  <si>
    <t xml:space="preserve">Also debrief summary, Special reports/personnel known to be alive, audio tape notes, casualty reports, identification of photos, Department of State interview report, </t>
  </si>
  <si>
    <t>Yes (ATC)</t>
  </si>
  <si>
    <t>Barrows</t>
  </si>
  <si>
    <t>Henry</t>
  </si>
  <si>
    <t>12 Dec 1972 - 29 Mar 1973</t>
  </si>
  <si>
    <t>09-A-12 F1</t>
  </si>
  <si>
    <t>Also audio tape notes, special reports/personnel known to be alive, letter on status of Charlie Poole, Casualty reports</t>
  </si>
  <si>
    <t>Bates</t>
  </si>
  <si>
    <t>09-A-12 F2</t>
  </si>
  <si>
    <t>09-A-12 F3</t>
  </si>
  <si>
    <t>Baugh</t>
  </si>
  <si>
    <t>21 Jan 1967 -4 Mar 1973</t>
  </si>
  <si>
    <t>Special report/personnel known to be alive, Statement on the location of Wolf 08 crash site, and casualty reports.</t>
  </si>
  <si>
    <t>Also debrief summary, 4 maps, audio tape notes, special reports/personnel known to be alive, and 2 photographs.</t>
  </si>
  <si>
    <t>Bean</t>
  </si>
  <si>
    <t>Col, USAF</t>
  </si>
  <si>
    <t>3 Jan 1968 - 14 Mar 1973</t>
  </si>
  <si>
    <t>09-A-13 F1</t>
  </si>
  <si>
    <t>William</t>
  </si>
  <si>
    <t>23 May 1972 - 28 May 1973</t>
  </si>
  <si>
    <t>09-A-13 F2</t>
  </si>
  <si>
    <t>Also includes debrief summary, audio tape notes, special reports/personnel known to be alive, casualty report, and letter to congress.</t>
  </si>
  <si>
    <t>Bedinger</t>
  </si>
  <si>
    <t>22 Nov 1968 - 28 Mar 1973</t>
  </si>
  <si>
    <t>09-A-13 F3</t>
  </si>
  <si>
    <t>Also includes debrief summary, audio tape notes, special reports/personnel known to be alive, casualty report, and an article.</t>
  </si>
  <si>
    <t>Beekman</t>
  </si>
  <si>
    <t>24 Jun 1972 - 28 Mar 1973</t>
  </si>
  <si>
    <t>Beeler</t>
  </si>
  <si>
    <t>Carrol</t>
  </si>
  <si>
    <t>24 May 1972 - 28 Mar 1973</t>
  </si>
  <si>
    <t>09-A-13 F5</t>
  </si>
  <si>
    <t>09-A-13 F4</t>
  </si>
  <si>
    <t>Major, USA</t>
  </si>
  <si>
    <t>23 Mar 1961 - 15 Aug 1962</t>
  </si>
  <si>
    <t>MISSING</t>
  </si>
  <si>
    <t>One article on his capture/release but it is not in 09-A-8 F5 like M3 states, it is on CD-22 however.</t>
  </si>
  <si>
    <t>Ballenger</t>
  </si>
  <si>
    <t>Orville</t>
  </si>
  <si>
    <t>Sgt, USA</t>
  </si>
  <si>
    <t>22 Apr 1961 - 15 Aug 1962</t>
  </si>
  <si>
    <t>Only letters, articles, and messages referencing those missing in Laos, no documentation on him individually.</t>
  </si>
  <si>
    <t>Anson</t>
  </si>
  <si>
    <t>3 Aug 1970 - 23 Aug 1970</t>
  </si>
  <si>
    <t>No documents on him.</t>
  </si>
  <si>
    <t>Dawson</t>
  </si>
  <si>
    <t>Donald</t>
  </si>
  <si>
    <t>1 Apr 1965 - 24 Aug 1965</t>
  </si>
  <si>
    <t>Dudman</t>
  </si>
  <si>
    <t>7 May 1970 - 15 Jun 1970</t>
  </si>
  <si>
    <t>We have a book but no archival materials.</t>
  </si>
  <si>
    <t>Jones</t>
  </si>
  <si>
    <t>Diane</t>
  </si>
  <si>
    <t>22 Jan 1974 - 3 Feb 1974</t>
  </si>
  <si>
    <t>Document discusses debriefing of Krause, but is not the debriefing or summary.</t>
  </si>
  <si>
    <t>16 Apr 1975 - 30 Oct 1975</t>
  </si>
  <si>
    <t>Nothing on him in M3, would probably be in 05.</t>
  </si>
  <si>
    <t>McCombs</t>
  </si>
  <si>
    <t>30 Apr 1974 - 22 May 1974</t>
  </si>
  <si>
    <t>Miller</t>
  </si>
  <si>
    <t>Carolyn</t>
  </si>
  <si>
    <t>P.</t>
  </si>
  <si>
    <t>12 Mar 1975 - 30 Oct 1975</t>
  </si>
  <si>
    <t>Luanne</t>
  </si>
  <si>
    <t>Book on her family but no documentation.</t>
  </si>
  <si>
    <t>Mitchell</t>
  </si>
  <si>
    <t>Betty</t>
  </si>
  <si>
    <t>Nothing in M3.</t>
  </si>
  <si>
    <t>Moreau</t>
  </si>
  <si>
    <t xml:space="preserve">Ron </t>
  </si>
  <si>
    <t>3 May 1973 - 14 May 1973</t>
  </si>
  <si>
    <t>Nothing in M3, would probably be an 05.</t>
  </si>
  <si>
    <t>Morrow</t>
  </si>
  <si>
    <t>Lillian</t>
  </si>
  <si>
    <t>Phillips</t>
  </si>
  <si>
    <t>Pond</t>
  </si>
  <si>
    <t>Elizabeth</t>
  </si>
  <si>
    <t>Quinn-Judge</t>
  </si>
  <si>
    <t>Sophie</t>
  </si>
  <si>
    <t>22 Jan 1972 - 29 Mar 1973</t>
  </si>
  <si>
    <t>Scarborough</t>
  </si>
  <si>
    <t>Jay</t>
  </si>
  <si>
    <t>Simmons</t>
  </si>
  <si>
    <t>Willie</t>
  </si>
  <si>
    <t>16 Aug 1975 - 1 Oct 1975</t>
  </si>
  <si>
    <t>Spragens</t>
  </si>
  <si>
    <t>Waldhaus</t>
  </si>
  <si>
    <t>4 Aug 1971 - 12 Feb 1973</t>
  </si>
  <si>
    <t>Wolfkill</t>
  </si>
  <si>
    <t>Grant</t>
  </si>
  <si>
    <t>15 May 1961 - 15 Aug 1962</t>
  </si>
  <si>
    <t>Mentioned in Lawrence Bailey article but no documents of his own.</t>
  </si>
  <si>
    <t>Smith</t>
  </si>
  <si>
    <t>Linda</t>
  </si>
  <si>
    <t>Michelle</t>
  </si>
  <si>
    <t>10 Mar 1975 - 27 Mar 1975</t>
  </si>
  <si>
    <t>Edwin</t>
  </si>
  <si>
    <t>20 Dec 1965 - 21 Dec 1965</t>
  </si>
  <si>
    <t>Only prisoner for one day.</t>
  </si>
  <si>
    <t>Hudson</t>
  </si>
  <si>
    <t>Dodd</t>
  </si>
  <si>
    <t>10 Oct 1965 - 25 Oct 1965</t>
  </si>
  <si>
    <t>Agent Report</t>
  </si>
  <si>
    <t>09-U-4 F1</t>
  </si>
  <si>
    <t>CD-100</t>
  </si>
  <si>
    <t>Brookens</t>
  </si>
  <si>
    <t>Norman</t>
  </si>
  <si>
    <t>Summary (Navy Message debrief)</t>
  </si>
  <si>
    <t>09-B-62 F3</t>
  </si>
  <si>
    <t>CD-137</t>
  </si>
  <si>
    <t>Gay</t>
  </si>
  <si>
    <t>Arlo</t>
  </si>
  <si>
    <t>N.</t>
  </si>
  <si>
    <t>30 Apr 1975 - 21 Sept 1976</t>
  </si>
  <si>
    <t>Merchant Seaman</t>
  </si>
  <si>
    <t>09-B-19 F4</t>
  </si>
  <si>
    <t>Additional Summary in 09-U-16 F6, 42 pages, briefly mentions 9 other Americans in prisoned in 1975 but not by name (most likely; Lewis, Miller (3), Mitchell, Phillips (2), Scarborough, and Struharik.) Check 09-D-15 F9 I24.</t>
  </si>
  <si>
    <t>Struharik</t>
  </si>
  <si>
    <t>Paul</t>
  </si>
  <si>
    <t>10 Mar 1975 - 30 Oct 1975</t>
  </si>
  <si>
    <t>09-U-18 F5</t>
  </si>
  <si>
    <t>CD-105</t>
  </si>
  <si>
    <t>Nothing in M3, would probably be an 05. Brief statement in 09-U-18 F56 '050909Z Nov 75, Debrief PWs Son Tay Prison".</t>
  </si>
  <si>
    <t>Nothing in M3. Brief statement in 09-U-18 F56 '050909Z Nov 75, Debrief PWs Son Tay Prison".</t>
  </si>
  <si>
    <t>We have a book on her but no documentation. Brief statement in 09-U-18 F56 '050909Z Nov 75, Debrief PWs Son Tay Prison".</t>
  </si>
  <si>
    <t>We have a book written by his wife but no documentation. Brief statement in 09-U-18 F56 '050909Z Nov 75, Debrief PWs Son Tay Prison".</t>
  </si>
  <si>
    <t>Nothing on him in M3, would probably be in 05. Brief statement in 09-U-18 F56 '050909Z Nov 75, Debrief PWs Son Tay Prison".</t>
  </si>
  <si>
    <t>JPRA-51-MFCH-Disc B</t>
  </si>
  <si>
    <t>Verbatim is on Microfiche. Short summary and audio recording notes(09-A-2 F2).</t>
  </si>
  <si>
    <t>Microfiche 2825-2834</t>
  </si>
  <si>
    <t>09-B-62 F7 has 28 pages; includes notes from audio recording, criminal record, and more.  Summary (09-A-1 F6)</t>
  </si>
  <si>
    <t>Microfiche 2816-2821</t>
  </si>
  <si>
    <t>09-A-2 F3 contains summary (11) and audio recording notes also in this folder.</t>
  </si>
  <si>
    <t>Microfiche 2835-2841</t>
  </si>
  <si>
    <t>09-A-2 F7 includes summary (83?) and audio recording notes.</t>
  </si>
  <si>
    <t>Microfiche 2842-2850</t>
  </si>
  <si>
    <t>09-A-2 F8 contains short summary (2 pgs) and audio recording notes</t>
  </si>
  <si>
    <t>Microfiche 2851-2861</t>
  </si>
  <si>
    <t>Interview</t>
  </si>
  <si>
    <t>Low, James F.</t>
  </si>
  <si>
    <t>09-A-1 F8 had a note; see Kay file in box 13-F-1, DPMO files, Civilian Prisoners, location B-3-3 (09-B-28 F4), Debrief summary report, potential release reports, capture reports.</t>
  </si>
  <si>
    <t>09-B-28 F4</t>
  </si>
  <si>
    <t>Escapees</t>
  </si>
  <si>
    <t>Branch</t>
  </si>
  <si>
    <t>Number</t>
  </si>
  <si>
    <t>CIV</t>
  </si>
  <si>
    <t>Returnees</t>
  </si>
  <si>
    <t>Total</t>
  </si>
  <si>
    <t>Died in Captivity</t>
  </si>
  <si>
    <t>Total Returnees</t>
  </si>
  <si>
    <t>Beens</t>
  </si>
  <si>
    <t>Lynn</t>
  </si>
  <si>
    <t>21 Dec 1972 - 29 Mar 1973</t>
  </si>
  <si>
    <t>Bell</t>
  </si>
  <si>
    <t>Berg</t>
  </si>
  <si>
    <t>Kile</t>
  </si>
  <si>
    <t>Berger</t>
  </si>
  <si>
    <t>Bernasconi</t>
  </si>
  <si>
    <t>Louis</t>
  </si>
  <si>
    <t>Lt. Col, USAF</t>
  </si>
  <si>
    <t>09-A-14 F1</t>
  </si>
  <si>
    <t>Also includes letter to Mrs. Donovan K. Walters about Beens debrief on her husband, Special report/personnel known to be alive, Audio tape notes, casualty reports, and summary of debrief.</t>
  </si>
  <si>
    <t>16 Oct 1965 - 12 Feb 1973</t>
  </si>
  <si>
    <t>27 Jul 1965 - 12 Feb 1973</t>
  </si>
  <si>
    <t>2 Dec 1966 - 18 Feb 1973</t>
  </si>
  <si>
    <t>22 Dec 1972 - 29 Mar 1973</t>
  </si>
  <si>
    <t>09-A-14 F2</t>
  </si>
  <si>
    <t>09-A-14 F3</t>
  </si>
  <si>
    <t>09-A-14 F4</t>
  </si>
  <si>
    <t>Also includes special report/personnel known to be alive, audio tape notes, debrief summary, letter about survival school studies, photo review, casualty reports, and a former POW article.</t>
  </si>
  <si>
    <t>09-A-14 F5</t>
  </si>
  <si>
    <t>Also debrief abstract and Navy message debrief reports. Debrief report message and copy of debriefing form in 09-A-14 Cont. F2.</t>
  </si>
  <si>
    <t>Biss</t>
  </si>
  <si>
    <t>I.</t>
  </si>
  <si>
    <t>11 Nov 1966 -4 Mar 1973</t>
  </si>
  <si>
    <t>09-A-15 F1</t>
  </si>
  <si>
    <t>Also includes special report/personnel known to be alive, casualty reports, audio tape notes, homecoming recover report, Christmas message, map, two photographs, and additional personnel known to be alive reports.</t>
  </si>
  <si>
    <t>Black</t>
  </si>
  <si>
    <t>TSgt, USAF</t>
  </si>
  <si>
    <t>20 Sep 1965 - 2 Feb 1973</t>
  </si>
  <si>
    <t>Cole</t>
  </si>
  <si>
    <t>21 Jun 1966 - 12 Feb 1973</t>
  </si>
  <si>
    <t>09-A-15 F2</t>
  </si>
  <si>
    <t>Jon</t>
  </si>
  <si>
    <t>27 Oct 1967 - ?</t>
  </si>
  <si>
    <t>09-A-16 F1</t>
  </si>
  <si>
    <t>Blevins</t>
  </si>
  <si>
    <t xml:space="preserve">John </t>
  </si>
  <si>
    <t>9 Sep 1966 - 4 Mar 1973</t>
  </si>
  <si>
    <t>Bliss</t>
  </si>
  <si>
    <t>Ronald</t>
  </si>
  <si>
    <t>4 Sep 1966 - 4 Mar 1973</t>
  </si>
  <si>
    <t>Bolstad</t>
  </si>
  <si>
    <t>6 Nov 1965 - 12 Feb 1973</t>
  </si>
  <si>
    <t>09-A-17 F1</t>
  </si>
  <si>
    <t>Also includes casualty reports, special report/personnel known to be alive, list of individuals released by N. Vietnam, and audio tape notes.</t>
  </si>
  <si>
    <t>09-A-17 F2</t>
  </si>
  <si>
    <t>09-A-17 F3</t>
  </si>
  <si>
    <t xml:space="preserve">Also includes debrief summary, debrief abstract handwritten, casualty report, audio tape notes, special report/personnel known to be alive, and a list of individuals released by N. Vietnam. </t>
  </si>
  <si>
    <t>Bomar</t>
  </si>
  <si>
    <t>Jack</t>
  </si>
  <si>
    <t>4 Nov 1967 - 4 Mar 1973</t>
  </si>
  <si>
    <t>Maj, USAF</t>
  </si>
  <si>
    <t>09-A-18 F1 -F2</t>
  </si>
  <si>
    <t>Borling</t>
  </si>
  <si>
    <t>1 Jun 1966 - 12 Feb 1973</t>
  </si>
  <si>
    <t>09-A-18 F3</t>
  </si>
  <si>
    <t>Also includes returnee sketches of camp, 2 photos, Interview by FR embassy, debrief summary, USAF biography, casualty report, messages home, extract from Le Figaro, audio tape notes, special report/personnel known to be alive, and a list of individuals released by N. Vietnam.</t>
  </si>
  <si>
    <t xml:space="preserve">Also includes 2 photos, debrief summary, casualty reports, news from Hanoi, special reports/personnel known to be alive, list of individuals released by N. Vietnam, and audio tape notes. </t>
  </si>
  <si>
    <t>Boyd</t>
  </si>
  <si>
    <t>2 May 1966 - 12 Feb 1973</t>
  </si>
  <si>
    <t>Boyer</t>
  </si>
  <si>
    <t>Terry</t>
  </si>
  <si>
    <t>17 Dec 1967 - 14 Mar 1973</t>
  </si>
  <si>
    <t>Brady</t>
  </si>
  <si>
    <t>Allen</t>
  </si>
  <si>
    <t>CDR, USN</t>
  </si>
  <si>
    <t>19 Jan 1967 - 4 Mar 1973</t>
  </si>
  <si>
    <t>4 May 1968 - 16 Mar 1973</t>
  </si>
  <si>
    <t>09-A-19 F1</t>
  </si>
  <si>
    <t>09-A-19 F2</t>
  </si>
  <si>
    <t>09-A-19 F3</t>
  </si>
  <si>
    <t>09-A-19 F4</t>
  </si>
  <si>
    <t>Also includes 10 photos, and one magazine extract, Escape and Evasion report number 32, USAF biography, debrief summary, casualty reports, missing person supplementary report, list of individuals released by N. Vietnam, audio tape notes, special reports/personnel known to be alive, IRR, casualty message, POW statements (radio), and intercept of radio broadcast.</t>
  </si>
  <si>
    <t xml:space="preserve">Consider removing 60 pages of photo copy duplicates. </t>
  </si>
  <si>
    <t>Also includes 1 photo, debrief summary, casualty reports, audio tape notes, special reports/personnel known to be alive, and a list of individuals released by N. Vietnam.</t>
  </si>
  <si>
    <t>Basic imagery interpretation report, two copies of debrief summary (only one counted), and Navy message debriefs. (note that Brace and others audiotape found in media debriefings 11-F-15) Additional debrief summaries in 09-B-62 F3 (143 pgs) (240 pages on CD 99 which was digitized in 2008-2012 to JPRA-121-CD-Disc 3 (third person still summary event though it is 240 pages)</t>
  </si>
  <si>
    <t>Also includes captivity outline, debrief abstract, and navy debrief messages. Additional copy of summary (not counted) and Egress recap debrief form.</t>
  </si>
  <si>
    <t>Brande</t>
  </si>
  <si>
    <t>Harvey</t>
  </si>
  <si>
    <t>MSG, USA</t>
  </si>
  <si>
    <t>7 Feb 1968 - 16 Mar 1973</t>
  </si>
  <si>
    <t>09-A-20 F1</t>
  </si>
  <si>
    <t>Also includes debrief abstract and Special reports/personnel known to be alive. (two copies of summary only one counted).</t>
  </si>
  <si>
    <t>Brazelton</t>
  </si>
  <si>
    <t>7 Aug 1966 - 4 Mar 1973</t>
  </si>
  <si>
    <t>Breckner</t>
  </si>
  <si>
    <t>Lt Col, USAF</t>
  </si>
  <si>
    <t>30 Jul 1972 - 29 Mar 1973</t>
  </si>
  <si>
    <t>Brenneman</t>
  </si>
  <si>
    <t>8 Nov 1967 - 14 Mar 1973</t>
  </si>
  <si>
    <t>09-A-20 F2</t>
  </si>
  <si>
    <t>09-A-20 F3</t>
  </si>
  <si>
    <t>09-A-20 F4</t>
  </si>
  <si>
    <t>Also includes maps and drawings, casualty reports, officer assistance, special reports/personnel known to be alive, list of individuals to be released by N. Vietnam, audio tape notes, and a debrief summary.</t>
  </si>
  <si>
    <t>Also includes debrief summary, audio tape notes, special reports, and casualty reports.</t>
  </si>
  <si>
    <t>Bridger</t>
  </si>
  <si>
    <t>Barry</t>
  </si>
  <si>
    <t>B.</t>
  </si>
  <si>
    <t>23 Jan 1967 - 4 Mar 1973</t>
  </si>
  <si>
    <t>Brigham</t>
  </si>
  <si>
    <t>14 Sep 1968 - 1 Jan 1969</t>
  </si>
  <si>
    <t>Brodak</t>
  </si>
  <si>
    <t>14 Aug 1966 - 4 Mar 1973</t>
  </si>
  <si>
    <t>Brown</t>
  </si>
  <si>
    <t>09-A-21 F1</t>
  </si>
  <si>
    <t>Also includes casualty reports, special reports/personnel known to be alive, list of individuals to be released by N. Vietnam, audio tape notes, and debrief summary.</t>
  </si>
  <si>
    <t>09-A-21 F2</t>
  </si>
  <si>
    <t>09-A-21 F3</t>
  </si>
  <si>
    <t>09-A-21 F4</t>
  </si>
  <si>
    <t>Also includes Army debrief messages and medical condition reports, Navy messages on release, propaganda releases, and FBIS report on release.</t>
  </si>
  <si>
    <t xml:space="preserve">Also includes casualty report, special reports/personnel known to be alive, and a list of individuals to be released. </t>
  </si>
  <si>
    <t>Also includes special reports/personnel known to be alive, audio tape notes, and casualty reports.</t>
  </si>
  <si>
    <t>25 Jul 1968 - 14 Mar 1973</t>
  </si>
  <si>
    <t>Browning</t>
  </si>
  <si>
    <t>Ralph</t>
  </si>
  <si>
    <t>8 Jul 1966 - 12 Feb 1973</t>
  </si>
  <si>
    <t>09-A-22 F1</t>
  </si>
  <si>
    <t>09-A-22 F3</t>
  </si>
  <si>
    <t>Also includes folder 2. Intel debrief and debrief summary (all in third person. Photocopy of intel debrief in 09-A-22 Cont.</t>
  </si>
  <si>
    <t>Also includes debrief summary with maps, audio tape note, casualty reports, list of individuals to be release by N. Vietnam, special report, article, and egress reports.</t>
  </si>
  <si>
    <t>Brunhaven</t>
  </si>
  <si>
    <t>24 Aug 1965 - 12 Feb 1973</t>
  </si>
  <si>
    <t>09-A-23 F1</t>
  </si>
  <si>
    <t>Brunstrom</t>
  </si>
  <si>
    <t>Alan</t>
  </si>
  <si>
    <t>22 Apr 1966 - 12 Feb 1973</t>
  </si>
  <si>
    <t>Brunson</t>
  </si>
  <si>
    <t>Cecil</t>
  </si>
  <si>
    <t>12 Oct 1972 - 29 Mar 1973</t>
  </si>
  <si>
    <t>09-A-23 F2</t>
  </si>
  <si>
    <t>09-A-23 F3</t>
  </si>
  <si>
    <t xml:space="preserve">Also includes casualty reports and special reports. </t>
  </si>
  <si>
    <t>Brudno</t>
  </si>
  <si>
    <t>Edward</t>
  </si>
  <si>
    <t>Hubert</t>
  </si>
  <si>
    <t>18 Dec 1965 - 12 Feb 1973</t>
  </si>
  <si>
    <t>16 Sep 1966 - 4 Mar 1973</t>
  </si>
  <si>
    <t>09-A-24 F1</t>
  </si>
  <si>
    <t>09-A-24 F2</t>
  </si>
  <si>
    <t>Buchanan</t>
  </si>
  <si>
    <t>Budd</t>
  </si>
  <si>
    <t>Leonard</t>
  </si>
  <si>
    <t>21 Aug 1967 - 5 Mar 1973</t>
  </si>
  <si>
    <t>09-A-25 F1</t>
  </si>
  <si>
    <t>Burer</t>
  </si>
  <si>
    <t>CPT, USAF</t>
  </si>
  <si>
    <t>21 Mar 1966 - 12 Feb 1973</t>
  </si>
  <si>
    <t>09-A-25 F3</t>
  </si>
  <si>
    <t>Folder 1 includes debrief summary and Navy message. Folder 2 is an Intelligence debrief report and a report on Camp Cam Cao. Folder 4 includes a message about the execution of an executed Army Major.</t>
  </si>
  <si>
    <t>Includes debrief summary, casualty reports, special reports/personnel known to be alive, list of individuals to be released by N. Vietnam, audio tape notes, and POW articles.</t>
  </si>
  <si>
    <t>Not given</t>
  </si>
  <si>
    <t>Burgess</t>
  </si>
  <si>
    <t>25 Sep 1966 - 5 Mar 1973</t>
  </si>
  <si>
    <t>09-A-26 F1</t>
  </si>
  <si>
    <t>SSGT, USMC</t>
  </si>
  <si>
    <t>Burns</t>
  </si>
  <si>
    <t>2 Dec 1966 - 4 Mar 1973</t>
  </si>
  <si>
    <t>4 Oct 1966 - 4 Mar 1973</t>
  </si>
  <si>
    <t>5 Jul 1968 - 14 Mar 1973</t>
  </si>
  <si>
    <t>Burroughs</t>
  </si>
  <si>
    <t>31 Jul 1966 - 4 Mar 1973</t>
  </si>
  <si>
    <t>09-A-27 F1</t>
  </si>
  <si>
    <t>09-A-27 F2</t>
  </si>
  <si>
    <t>09-A-27 F3</t>
  </si>
  <si>
    <t>09-A-27 F4</t>
  </si>
  <si>
    <t xml:space="preserve">                                                                                                                                                                                                                                                                                                                                                                                                                                                                                                                                                                                                                                                                                                                                                                                                                                                                                                                                                                                               3/10/1973</t>
  </si>
  <si>
    <t>There is a copy of this report in 09-A-27 F1 and F2.</t>
  </si>
  <si>
    <t>Also includes casualty reports, audio tape notes, personnel known to be alive, list of individuals to be released by N. Vietnam, and a debrief summary.</t>
  </si>
  <si>
    <t>Also includes a second copy of the summary (not counted), navy debriefing messages, and a debrief abstract(two copies). Additional folders hold an additional copy of the summary and a copy of the navy debrief messages.</t>
  </si>
  <si>
    <t>Also includes debrief summary, camp drawings, casualty reports, audio tape notes, personnel known to be alive and list of individuals to be released by N. Vietnam.</t>
  </si>
  <si>
    <t xml:space="preserve">Also includes debrief summary, casualty reports, audio tape notes, special reports/personnel known to be alive, and list of individuals to be release by N. Vietnam. </t>
  </si>
  <si>
    <t>Butcher</t>
  </si>
  <si>
    <t>21 Mar 1971 - 28 Mar 1973</t>
  </si>
  <si>
    <t>Butler</t>
  </si>
  <si>
    <t>24 Apr 1965 - 12 Feb 1973</t>
  </si>
  <si>
    <t>09-A-28 F1</t>
  </si>
  <si>
    <t>09-A-28 F3</t>
  </si>
  <si>
    <t>20 Nov 1967 - 14 Mar 1973</t>
  </si>
  <si>
    <t>09-A-28 F4 (Cont).</t>
  </si>
  <si>
    <t xml:space="preserve">Also includes debrief summary, maps, casualty reports, special reports/personnel known to be alive, escort officer, list of personnel to be released by N. Vietnam, and audio tape notes. </t>
  </si>
  <si>
    <t>Byrne</t>
  </si>
  <si>
    <t>Callaghan</t>
  </si>
  <si>
    <t>Peter</t>
  </si>
  <si>
    <t>29 Aug 1965 - 12 Feb 1973</t>
  </si>
  <si>
    <t>23 May 1972 - 28 Mar 1973</t>
  </si>
  <si>
    <t>21 Jun 1972 - 28 Mar 1973</t>
  </si>
  <si>
    <t xml:space="preserve">Also includes 8 photographs, SAR efforts summary, maps, casualty reports, missing person report, letters for the Byrne's, audio tape notes, special reports, list of individuals to be released by N. Vietnam, and description of Cu Loc. </t>
  </si>
  <si>
    <t>09-A-29 F1</t>
  </si>
  <si>
    <t>09-A-29 F2</t>
  </si>
  <si>
    <t>09-A-29 F3</t>
  </si>
  <si>
    <t>Camacho</t>
  </si>
  <si>
    <t>Isaac</t>
  </si>
  <si>
    <t>24 Nov 1963 - 13 Jul 1965</t>
  </si>
  <si>
    <t>09-A-30 F1</t>
  </si>
  <si>
    <t>Camerota</t>
  </si>
  <si>
    <t>09-A-30 F2</t>
  </si>
  <si>
    <t>Also includes debrief summary, casualty reports, evasion report, special reports, and audio tape notes.</t>
  </si>
  <si>
    <t>Campbell</t>
  </si>
  <si>
    <t>Burton</t>
  </si>
  <si>
    <t>09-A-30 F3</t>
  </si>
  <si>
    <t>Carey</t>
  </si>
  <si>
    <t>LTJG, USN</t>
  </si>
  <si>
    <t>31 Aug 1967 - 14 Mar 1973</t>
  </si>
  <si>
    <t>09-A-31 F1</t>
  </si>
  <si>
    <t>Carlson</t>
  </si>
  <si>
    <t>8 Apr 1972 - 12 Feb 1973</t>
  </si>
  <si>
    <t>Maj, USA</t>
  </si>
  <si>
    <t>Carpenter</t>
  </si>
  <si>
    <t>1 Nov 1966 - 4 Mar 1973</t>
  </si>
  <si>
    <t>09-A-31 F2</t>
  </si>
  <si>
    <t>09-A-31 F3</t>
  </si>
  <si>
    <t xml:space="preserve">Also includes debrief abstract and special reports/personnel known to be alive.  </t>
  </si>
  <si>
    <t>Includes two more copies of the summary (only one counted), debrief abstract, navy debrief reports, debrief abstract, reports on Cuban program, information on Atterbury, and egress recap debriefing form.</t>
  </si>
  <si>
    <t>Egress Recap Form/Summary</t>
  </si>
  <si>
    <t>V.</t>
  </si>
  <si>
    <t>15 Feb 1968 - 2 Aug 1968</t>
  </si>
  <si>
    <t>09-A-31 F4 (Cont.)</t>
  </si>
  <si>
    <t>Carrigan</t>
  </si>
  <si>
    <t>Larry</t>
  </si>
  <si>
    <t>09-A-32 F1</t>
  </si>
  <si>
    <t>Cassell</t>
  </si>
  <si>
    <t>Harley</t>
  </si>
  <si>
    <t>17 Jul 1968 - 19 Dec 1968</t>
  </si>
  <si>
    <t>Cavaiani</t>
  </si>
  <si>
    <t>SGT, USA</t>
  </si>
  <si>
    <t>5 Jun 1971 - 27 Mar 1973</t>
  </si>
  <si>
    <t>Cerak</t>
  </si>
  <si>
    <t>27 Jun 1972 - 28 Mar 1973</t>
  </si>
  <si>
    <t>Certain</t>
  </si>
  <si>
    <t>18 Dec 1972 - 29 Mar 1973</t>
  </si>
  <si>
    <t>Chambers</t>
  </si>
  <si>
    <t>Carl</t>
  </si>
  <si>
    <t>7 Aug 1967 - 14 Mar 1973</t>
  </si>
  <si>
    <t>09-A-32 F2</t>
  </si>
  <si>
    <t>09-A-32 F3</t>
  </si>
  <si>
    <t>09-A-32 F4</t>
  </si>
  <si>
    <t>09-A-32 F5</t>
  </si>
  <si>
    <t>09-A-32 F6</t>
  </si>
  <si>
    <t xml:space="preserve">Also includes debrief summary, casualty reports, personnel known to be alive/deceased and chronology, list of individuals to be released by N. Vietnam, and audio tape notes. </t>
  </si>
  <si>
    <t>Also contains Army message debriefs.</t>
  </si>
  <si>
    <t xml:space="preserve">Also includes alleged antiwar letter, personnel known to be alive/deceased and chronology, the saga of boxie Jon, radio message, camp maps, debrief abstract, and letters home. </t>
  </si>
  <si>
    <t xml:space="preserve">Also includes casualty reports, personnel known to be alive/deceased and chronology, and audio tape notes. </t>
  </si>
  <si>
    <t>Also includes visit information, casualty reports, special reports and personnel known to be deceased, and quote from Hanoi Hilton.</t>
  </si>
  <si>
    <t>Chapman</t>
  </si>
  <si>
    <t>Harlan</t>
  </si>
  <si>
    <t>LT Col, USMC</t>
  </si>
  <si>
    <t>5 Nov 1965 -12 Feb 1973</t>
  </si>
  <si>
    <t>Norris</t>
  </si>
  <si>
    <t>30 Dec 1971 - 25 Sep 1972</t>
  </si>
  <si>
    <t>09-A-33 F1</t>
  </si>
  <si>
    <t>09-A-33 F2</t>
  </si>
  <si>
    <t>Also includes abstract debrief</t>
  </si>
  <si>
    <t>Navy debrief messages</t>
  </si>
  <si>
    <t>Navy debrief messages (no verbatim or summary), also includes NIS investigation, aircraft incident reports, and message home.</t>
  </si>
  <si>
    <t>Chauncey</t>
  </si>
  <si>
    <t>Arvin</t>
  </si>
  <si>
    <t>31 May 1969 - 4 Mar 1973</t>
  </si>
  <si>
    <t>Cheney</t>
  </si>
  <si>
    <t>Kevin</t>
  </si>
  <si>
    <t>1 Jul 1972 - 28 Mar 1973</t>
  </si>
  <si>
    <t>Chenoweth</t>
  </si>
  <si>
    <t>8 Feb 1968 - 16 Mar 1973</t>
  </si>
  <si>
    <t>09-A-34 F1</t>
  </si>
  <si>
    <t>09-A-34 F2</t>
  </si>
  <si>
    <t>09-A-34 F3</t>
  </si>
  <si>
    <t>Three copies of the summary (only one counted). Also includes NIS report, debrief abstract, list of those detained, and Navy debrief messages. There is a photocopied version of the navy debrief messages as well.</t>
  </si>
  <si>
    <t>Also includes debrief summary, casualty reports, personnel known to be alive, and Egress recap debriefing report.</t>
  </si>
  <si>
    <t>Also includes debrief abstract, personnel known to be alive/chronology, alleged POW message, anti-war acts defended by POW article, and a reports information on sheet.</t>
  </si>
  <si>
    <t>Cherry</t>
  </si>
  <si>
    <t>Fred</t>
  </si>
  <si>
    <t>22 Oct 1965 - 12 Feb 1973</t>
  </si>
  <si>
    <t>09-A-34 F4 (Cont.)</t>
  </si>
  <si>
    <t>Coffee</t>
  </si>
  <si>
    <t>3 Feb 1966 - 12 Feb 1973</t>
  </si>
  <si>
    <t>Coker</t>
  </si>
  <si>
    <t>George</t>
  </si>
  <si>
    <t>27 Aug 1966 - 4 Mar 1973</t>
  </si>
  <si>
    <t>09-A-36 F5 (Cont.)</t>
  </si>
  <si>
    <t xml:space="preserve">Three copies of summary (only one counted). Also includes debrief abstract, Navy Message debriefs, notes on escape from Dirty Bird, and repatriate debriefing form. </t>
  </si>
  <si>
    <t>Summary/Egress Recap Form</t>
  </si>
  <si>
    <t>Three copies of summary (only one counted). Also includes debrief abstract, articles, NIS report, Naval message debriefs, and egress recap form.</t>
  </si>
  <si>
    <t>09-A-36 F4 (Cont.)</t>
  </si>
  <si>
    <t>Collins</t>
  </si>
  <si>
    <t>Q.</t>
  </si>
  <si>
    <t>2 Sep 1965 - 12 Feb 1973</t>
  </si>
  <si>
    <t>18 Oct 1965 - 12 Feb 1973</t>
  </si>
  <si>
    <t>09-A-37 F1</t>
  </si>
  <si>
    <t>09-A-37 F2</t>
  </si>
  <si>
    <t>Also includes final summary, casualty reports, Identification of photos, special evaluation request, message home, special reports/chronology, list of individuals to be released by N. Vietnam, audio tape notes, debrief summary, statement, and assignment message.</t>
  </si>
  <si>
    <t>Includes one photograph.</t>
  </si>
  <si>
    <t>Condon</t>
  </si>
  <si>
    <t>27 Dec 1972 - 29 Mar 1973</t>
  </si>
  <si>
    <t>Conlee</t>
  </si>
  <si>
    <t>Cook</t>
  </si>
  <si>
    <t>MSgt, USAF</t>
  </si>
  <si>
    <t>26 Dec 1972 - 12 Feb 1973</t>
  </si>
  <si>
    <t>Copeland</t>
  </si>
  <si>
    <t>17 Jul 1967 - 14 Mar 1973</t>
  </si>
  <si>
    <t>09-A-38 F1</t>
  </si>
  <si>
    <t>09-A-38 F2</t>
  </si>
  <si>
    <t>09-A-38 F3</t>
  </si>
  <si>
    <t>09-A-38 F4</t>
  </si>
  <si>
    <t>Also includes debrief summary, casualty reports, chronology, and audio tape notes.</t>
  </si>
  <si>
    <t>Also includes casualty reports, debrief summary, audio tape notes, and chronology/personnel known to be alive.</t>
  </si>
  <si>
    <t>Also includes debrief summary, casualty reports, chronology/personnel known to be alive, list of individuals to be released by N. Vietnam, audio tape notes, promotion progress brief, homecoming file, and six photographs.</t>
  </si>
  <si>
    <t>Cordier</t>
  </si>
  <si>
    <t>Kenneth</t>
  </si>
  <si>
    <t>09-A-39 F1</t>
  </si>
  <si>
    <t>Comier</t>
  </si>
  <si>
    <t>Coskey</t>
  </si>
  <si>
    <t>6 Sep 1968 - 14 Mar 1973</t>
  </si>
  <si>
    <t>Craner</t>
  </si>
  <si>
    <t>20 Dec 1967 - 14 Mar 1973</t>
  </si>
  <si>
    <t>Also includes debrief summary, casualty reports, request for waiver, audio tape notes, special report/chronology/personnel known to be alive/deceased, and list of individuals to be released by N. Vietnam.</t>
  </si>
  <si>
    <t>09-A-39 F2</t>
  </si>
  <si>
    <t>09-A-39 F3</t>
  </si>
  <si>
    <t>09-A-39 F4</t>
  </si>
  <si>
    <t>Three copies of summary (but only one counted). Also includes debrief abstract, Navy debrief messages, debrief summary and schematics, and Egress recap form.</t>
  </si>
  <si>
    <t>Crayton</t>
  </si>
  <si>
    <t>Render</t>
  </si>
  <si>
    <t>7 Feb 1966 - 12 Feb 1973</t>
  </si>
  <si>
    <t>Crecca</t>
  </si>
  <si>
    <t>22 Nov 1966 - 18 Feb 1973</t>
  </si>
  <si>
    <t>09-A-40 F1</t>
  </si>
  <si>
    <t>09-A-40 F2</t>
  </si>
  <si>
    <t>Also includes debrief abstract, NIS Investigation, and Navy debrief messages.</t>
  </si>
  <si>
    <t>09-A-40 F3 (Cont.)</t>
  </si>
  <si>
    <t>09-A-35 F1</t>
  </si>
  <si>
    <t>09-A-35 F2</t>
  </si>
  <si>
    <t>09-A-35 F3</t>
  </si>
  <si>
    <t>09-A-35 F4</t>
  </si>
  <si>
    <t>09-A-35 F5</t>
  </si>
  <si>
    <t>09-A-36 F1</t>
  </si>
  <si>
    <t>09-A-36 F2</t>
  </si>
  <si>
    <t>09-A-36 F3</t>
  </si>
  <si>
    <t>Clark</t>
  </si>
  <si>
    <t>Clements</t>
  </si>
  <si>
    <t>Clower</t>
  </si>
  <si>
    <t>Claude</t>
  </si>
  <si>
    <t>Chesley</t>
  </si>
  <si>
    <t>Chevalier</t>
  </si>
  <si>
    <t>Chirichigno</t>
  </si>
  <si>
    <t>Luis</t>
  </si>
  <si>
    <t>Christian</t>
  </si>
  <si>
    <t>Cius</t>
  </si>
  <si>
    <t>Frank</t>
  </si>
  <si>
    <t>16 Mar 1966 - 12 Feb 1973</t>
  </si>
  <si>
    <t>PFC, USA</t>
  </si>
  <si>
    <t xml:space="preserve">CPT, USA </t>
  </si>
  <si>
    <t>3 Nov 1969 - 27 Mar 1973</t>
  </si>
  <si>
    <t>24 Apr 1967 - 4 Mar 1973</t>
  </si>
  <si>
    <t>3 Jun 1967 - 5 Mar 1973</t>
  </si>
  <si>
    <t xml:space="preserve">Also includes 1 photograph, debrief summary, casualty reports, Anguish Great article, chronology/personnel known to be alive report, list of individuals to be released by N. Vietnam, and audio tape notes. </t>
  </si>
  <si>
    <t>Also includes Recap Southeast Asia debrief reports.</t>
  </si>
  <si>
    <t>12 Mar 1967 - 18 Feb 1973</t>
  </si>
  <si>
    <t>MAJ, USAF</t>
  </si>
  <si>
    <t>9 Oct 1967 - 14 Mar 1973</t>
  </si>
  <si>
    <t>19 Nov 1967 - 14 Mar 1973</t>
  </si>
  <si>
    <t>Also includes casualty report, special report/personnel known to be alive, debrief summary, and sketches.</t>
  </si>
  <si>
    <t>Also includes photograph, debrief summary, casualty reports, chronology/personnel known to be deceased, list of individuals to be released by N. Vietnam, and audio tape notes.</t>
  </si>
  <si>
    <t>Cronin</t>
  </si>
  <si>
    <t>13 Jan 1967 - 4 Mar 1973</t>
  </si>
  <si>
    <t>Crow</t>
  </si>
  <si>
    <t>26 Mar 1967 - 4 Mar 1973</t>
  </si>
  <si>
    <t>09-A-41 F1</t>
  </si>
  <si>
    <t>Crowe</t>
  </si>
  <si>
    <t>Winfred</t>
  </si>
  <si>
    <t>SPC, USA</t>
  </si>
  <si>
    <t>Crowson</t>
  </si>
  <si>
    <t>2 May 1970 - 12 Feb 1973</t>
  </si>
  <si>
    <t>Crumpler</t>
  </si>
  <si>
    <t>09-A-41 F2</t>
  </si>
  <si>
    <t>09-A-41 F3</t>
  </si>
  <si>
    <t>09-A-41 F4</t>
  </si>
  <si>
    <t>09-A-41 F5</t>
  </si>
  <si>
    <t>Curtis</t>
  </si>
  <si>
    <t>20 Sep 1965 - 12 Feb 1973</t>
  </si>
  <si>
    <t>Also includes debrief messages.</t>
  </si>
  <si>
    <t>Also includes debriefing report, article, debrief abstract, convalescent leave, and homecoming army message.</t>
  </si>
  <si>
    <t>Cusimano</t>
  </si>
  <si>
    <t>Cutter</t>
  </si>
  <si>
    <t xml:space="preserve">James </t>
  </si>
  <si>
    <t>Daigle</t>
  </si>
  <si>
    <t>Glenn</t>
  </si>
  <si>
    <t>Daly</t>
  </si>
  <si>
    <t>Daniels</t>
  </si>
  <si>
    <t>17 Feb 1972 - 28 Mar 1973</t>
  </si>
  <si>
    <t>9 Jan 1968 - 16 Mar 1973</t>
  </si>
  <si>
    <t>26 Oct 1967 - 14 Mar 1973</t>
  </si>
  <si>
    <t>09-A-42 F1</t>
  </si>
  <si>
    <t>Also includes debrief summary, casualty reports, chronology report, and audio tape notes.</t>
  </si>
  <si>
    <t>09-A-42 F2</t>
  </si>
  <si>
    <t>09-A-42 F3</t>
  </si>
  <si>
    <t>09-A-42 F4</t>
  </si>
  <si>
    <t>09-A-42 F5</t>
  </si>
  <si>
    <t>Also includes errata sheet highlights, debrief abstract, NIS investigation report, and Navy debrief messages. The second folder holds a third copy of the navy debrief messages and the third holds a second copy of the summary (only one copy counted). The fourth folder holds debrief review notes (2001). Folder 5 has personnel known to be alive reports. Folder six has casualty reports/biographical data. Folder 7 has mishap/search and rescue reports.</t>
  </si>
  <si>
    <t>Also includes debrief abstract, daily highlights report, and NIS investigation report. The second folder has a third copy of the debrief summary (only one is counted). The 3rd folder has an egress recap form.</t>
  </si>
  <si>
    <t>Also includes chronology/personnel known to be alive/deceased reports, propaganda letter, debrief abstract, reports information out, and Daly letter. Second folder has hand written debriefing notes.</t>
  </si>
  <si>
    <t>Daugherty</t>
  </si>
  <si>
    <t>Lenard</t>
  </si>
  <si>
    <t>SP6, USA</t>
  </si>
  <si>
    <t>11 May 1969 - 27 Mar 1973</t>
  </si>
  <si>
    <t>09-A-42 F6</t>
  </si>
  <si>
    <t>Verlyne</t>
  </si>
  <si>
    <t>Also includes debrief abstract, NIS Investigation, and Navy debrief messages. Second folder includes additional copy of summary (only one counted).</t>
  </si>
  <si>
    <t xml:space="preserve">Also includes photograph, casualty reports, 2 articles, debrief summary, interview/propaganda, audio tape notes, and chronology report. </t>
  </si>
  <si>
    <t>Also includes chronology/personnel known to be alive/deceased reports and debrief abstract.</t>
  </si>
  <si>
    <t>Also includes abstract debrief and note on mental disorder.</t>
  </si>
  <si>
    <t>Daughtrey</t>
  </si>
  <si>
    <t>2 Aug 1965 - 12 Feb 1973</t>
  </si>
  <si>
    <t>09-A-42 F7 (Cont.)</t>
  </si>
  <si>
    <t>Davies</t>
  </si>
  <si>
    <t>O.</t>
  </si>
  <si>
    <t>4 Feb 1967 - 18 Feb 1973</t>
  </si>
  <si>
    <t>09-A-42 F8 (Cont.)</t>
  </si>
  <si>
    <t>Also included 1 photograph, casualty reports, special reports/personnel known to be alive/deceased, audio tape notes, and debrief summary.</t>
  </si>
  <si>
    <t>Davis</t>
  </si>
  <si>
    <t>26 Aug 1965 - 12 Feb 1973</t>
  </si>
  <si>
    <t>11 Mar 1968 - 16 Mar 1973</t>
  </si>
  <si>
    <t>Day</t>
  </si>
  <si>
    <t>26 Aug 1965 - 14 Mar 1973</t>
  </si>
  <si>
    <t>09-A-43 F1</t>
  </si>
  <si>
    <t>Also includes debrief abstract, POW visit letter, NIS investigation report, and Navy message debriefs. Second folder holds a second copy of summary. Third folder has egress recap debriefing form.</t>
  </si>
  <si>
    <t xml:space="preserve">Also includes personnel known to be alive reports, debrief abstract, and reports information on. Second folder has handwritten debriefing notes. </t>
  </si>
  <si>
    <t>09-A-43 F2</t>
  </si>
  <si>
    <t>09-A-43 F3</t>
  </si>
  <si>
    <t>Deering</t>
  </si>
  <si>
    <t>09-A-43 F4 (Cont.)</t>
  </si>
  <si>
    <t>Dengler</t>
  </si>
  <si>
    <t>Dieter</t>
  </si>
  <si>
    <t>1 Feb 1966 -20 Jul 1966</t>
  </si>
  <si>
    <t>Denton</t>
  </si>
  <si>
    <t>Jeremiah</t>
  </si>
  <si>
    <t>18 Jul 1965 - 12 Feb 1973</t>
  </si>
  <si>
    <t>Despiegler</t>
  </si>
  <si>
    <t>Gale</t>
  </si>
  <si>
    <t>15 Apr 1972 - 28 Mar 1973</t>
  </si>
  <si>
    <t>09-A-45 F1 -F2</t>
  </si>
  <si>
    <t>09-A-45 F3</t>
  </si>
  <si>
    <t>09-A-44 F1 - F3</t>
  </si>
  <si>
    <t xml:space="preserve">Transcript is missing some pages (folder 2). Also includes debrief summary (two copies), Memo about wife, debrief abstract, intelligence debrief log, Navy debrief messages, and NIS investigation report. Third copy of summary (only one counted). Last folder has Egress recap debrief form. </t>
  </si>
  <si>
    <t>Also includes photograph, debrief summary, casualty reports, audio tape notes, chronology report, and photo identification (1 photograph).</t>
  </si>
  <si>
    <t>Dibernardo</t>
  </si>
  <si>
    <t>CPT, USMC</t>
  </si>
  <si>
    <t>2 Feb 1968 - 5 Mar 1973</t>
  </si>
  <si>
    <t>09-A-45 F4 - F9 (Cont. 1 &amp;2)</t>
  </si>
  <si>
    <t>Transcripts are noted as missing tape 12. (tapes 1-8, 353 p., tapes 9-11 and 13, 317 p., tapes 17-20, p.231 and tapes 21-25, p266 missing one page) Also includes debriefing report(enclosures include diagrams (8), regulations (6), medical analysis (6), maps (3), POW list (7), and timeline (15)), article, and debrief abstract. Folder 10 is a copy of the debriefing report.</t>
  </si>
  <si>
    <t>Dingee</t>
  </si>
  <si>
    <t>09-A-46 F1</t>
  </si>
  <si>
    <t>Also includes photograph, debrief summary, casualty reports, chronology/personnel known to be alive/deceased, egress recap form, and audio tape notes.</t>
  </si>
  <si>
    <t>Dodson</t>
  </si>
  <si>
    <t>S.</t>
  </si>
  <si>
    <t>SGT, USMC</t>
  </si>
  <si>
    <t>6 May 1966 - 14 Jun 1966</t>
  </si>
  <si>
    <t>NIS</t>
  </si>
  <si>
    <t>09-A-46 F2</t>
  </si>
  <si>
    <t>Summary, 4 photographs, statement, and NIS investigation.</t>
  </si>
  <si>
    <t>Myron</t>
  </si>
  <si>
    <t>23 Feb 1968 - 14 Mar 1973</t>
  </si>
  <si>
    <t>Doremus</t>
  </si>
  <si>
    <t>09-A-46 F3</t>
  </si>
  <si>
    <t>09-A-46 F4</t>
  </si>
  <si>
    <t>Doss</t>
  </si>
  <si>
    <t>Dale</t>
  </si>
  <si>
    <t>17 Mar 1968 - 14 Mar 1973</t>
  </si>
  <si>
    <t>Doughty</t>
  </si>
  <si>
    <t>Daniel</t>
  </si>
  <si>
    <t>2 Apr 1966 - 12 Feb 1973</t>
  </si>
  <si>
    <t>Drabic</t>
  </si>
  <si>
    <t>25 Sep 1968 - 16 Mar 1973</t>
  </si>
  <si>
    <t>09-A-47 F1</t>
  </si>
  <si>
    <t>09-A-47 F2</t>
  </si>
  <si>
    <t>09-A-47 F3</t>
  </si>
  <si>
    <t xml:space="preserve">Also includes chronology/personnel known to be alive/deceased reports, report information out, and debrief abstract. </t>
  </si>
  <si>
    <t>Dramesi</t>
  </si>
  <si>
    <t>2 Apr 1967 - 4 Mar 1973</t>
  </si>
  <si>
    <t>09-A-47 F4</t>
  </si>
  <si>
    <t>Also includes 3 photographs, debrief summary, letter from Heiliger, casualty reports, audio tape id, audio tape notes, special reports, list of individuals to be released by N. Vietnam, escape route, and article.</t>
  </si>
  <si>
    <t>Driscoll</t>
  </si>
  <si>
    <t>Jerry</t>
  </si>
  <si>
    <t>Drummond</t>
  </si>
  <si>
    <t>24 Apr 1966 - 12 Feb 1973</t>
  </si>
  <si>
    <t>Duart</t>
  </si>
  <si>
    <t>18 Feb 1967 - 4 Mar 1973</t>
  </si>
  <si>
    <t>09-A-48 F1</t>
  </si>
  <si>
    <t>09-A-48 F2</t>
  </si>
  <si>
    <t>09-A-48 F3</t>
  </si>
  <si>
    <t>Dunn</t>
  </si>
  <si>
    <t>CPT, USA</t>
  </si>
  <si>
    <t>18 Mar 1968 - 12 Feb 1973</t>
  </si>
  <si>
    <t>7 Dec 1965 - 12 Feb 1973</t>
  </si>
  <si>
    <t>MAJ, USMC</t>
  </si>
  <si>
    <t>Dutton</t>
  </si>
  <si>
    <t>MAJ,USAF</t>
  </si>
  <si>
    <t>5 Nov 1967 - 14 Mar 1973</t>
  </si>
  <si>
    <t>Chronology/personnel known to be alive/deceased, debrief abstract, and Army debrief messages.</t>
  </si>
  <si>
    <t>09-A-49 F1</t>
  </si>
  <si>
    <t>09-A-49 F2</t>
  </si>
  <si>
    <t>09-A-49 F3</t>
  </si>
  <si>
    <t>Eastman</t>
  </si>
  <si>
    <t>Eckes</t>
  </si>
  <si>
    <t>Walter</t>
  </si>
  <si>
    <t>LCpl, USMC</t>
  </si>
  <si>
    <t>10 May 1966 - 20 Jun 1966</t>
  </si>
  <si>
    <t>Elander</t>
  </si>
  <si>
    <t>5 Jul 1972 - 29 Mar 1973</t>
  </si>
  <si>
    <t>Elbert</t>
  </si>
  <si>
    <t>16 Aug 1968 - 16 mar 1973</t>
  </si>
  <si>
    <t>09-A-50 F1</t>
  </si>
  <si>
    <t>09-A-50 F2</t>
  </si>
  <si>
    <t>Includes 6 photographs and NIS investigation report (which includes a summary of his time while captured). There are two copies of the NIS report and maybe a page of Dodson's report in Eckes.</t>
  </si>
  <si>
    <t>Also includes 6 photographs, debrief summary, chronology report, audio tape notes, and casualty reports.</t>
  </si>
  <si>
    <t>Elias</t>
  </si>
  <si>
    <t>20 Apr 1972 - 25 Sep 1972</t>
  </si>
  <si>
    <t>09-A-50 F3</t>
  </si>
  <si>
    <t>09-A-50 F4</t>
  </si>
  <si>
    <t>09-A-51 F1 - F9</t>
  </si>
  <si>
    <t>Elliot</t>
  </si>
  <si>
    <t>Artice</t>
  </si>
  <si>
    <t>26 Apr 1970 - 27 Mar 1973</t>
  </si>
  <si>
    <t>09-A-51 F10</t>
  </si>
  <si>
    <t>Ellis</t>
  </si>
  <si>
    <t>Jeffrey</t>
  </si>
  <si>
    <t>Leon</t>
  </si>
  <si>
    <t>7 Nov 1967 - 14 Mar 1973</t>
  </si>
  <si>
    <t>Ensch</t>
  </si>
  <si>
    <t>25 Aug 1972 - 29 Mar 1973</t>
  </si>
  <si>
    <t xml:space="preserve">Summary </t>
  </si>
  <si>
    <t>09-A-52 F1</t>
  </si>
  <si>
    <t>There are two summaries which are slightly different (I picked the longer one) and there is a debrief abstract.</t>
  </si>
  <si>
    <t>Also includes 1 photograph, debrief summary, casualty reports, message home, IIR, audio tape notes, special reports/chronology, and list of individuals to be released by N. Vietnam.</t>
  </si>
  <si>
    <t>Also includes 1 photograph, debrief summary, casualty reports, audio tape notes, chronology/personnel known to be alive, and list of individuals to be released by N. Vietnam.</t>
  </si>
  <si>
    <t>09-A-52 F2</t>
  </si>
  <si>
    <t>09-A-52 F3</t>
  </si>
  <si>
    <t>Estes</t>
  </si>
  <si>
    <t>09-A-52 F4 (Cont.)</t>
  </si>
  <si>
    <t>Also includes debrief abstract, follow-up interview notes, ONI-53-1 A report, 3 photographs, casualty report, biographical data, Aircraft loss reports, and navy debrief messages. The second folder has a third copy of the summary (only one counted).</t>
  </si>
  <si>
    <t>Ettmueller</t>
  </si>
  <si>
    <t>Harry</t>
  </si>
  <si>
    <t>5 Feb 1968 - 5 Mar 1973</t>
  </si>
  <si>
    <t>09-A-52 F5 (Cont.)</t>
  </si>
  <si>
    <t>27 Aug 1972 - 29 Mar 1973</t>
  </si>
  <si>
    <t>Everson</t>
  </si>
  <si>
    <t>10 Mar 1967 - 4 Mar 1973</t>
  </si>
  <si>
    <t>09-A-53 F1</t>
  </si>
  <si>
    <t xml:space="preserve">Also includes debrief abstract, follow-up interview, follow-up interview handwritten notes, casualty reports, international press conference, photographs of crew report, Search and rescue, message home, active search terminated, 4 photographs, and navy debriefs. Second folder has third copy of summary (only one counted). Third folder has Egress recap form </t>
  </si>
  <si>
    <t>09-A-53 F2</t>
  </si>
  <si>
    <t>Also includes 8 photographs, casualty report, IIR 0899, IIR 0845, helping POW families, article, special reports/chronology, list of individuals to be released by N. Vietnam, and letter to wife.</t>
  </si>
  <si>
    <t>Fant</t>
  </si>
  <si>
    <t>09-A-53 F3 - F4 (Cont.)</t>
  </si>
  <si>
    <t>Fellowes</t>
  </si>
  <si>
    <t>Fer</t>
  </si>
  <si>
    <t>4 Feb 1967 - 4 Mar 1973</t>
  </si>
  <si>
    <t>Finlay</t>
  </si>
  <si>
    <t>LtCol, USAF</t>
  </si>
  <si>
    <t>28 Apr 1968 - 14 Mar 1973</t>
  </si>
  <si>
    <t>Fisher</t>
  </si>
  <si>
    <t>12 Feb 1969 - 11 Mar 1969</t>
  </si>
  <si>
    <t>09-A-54 F1</t>
  </si>
  <si>
    <t>09-A-54 F2</t>
  </si>
  <si>
    <t>09-A-54 F3</t>
  </si>
  <si>
    <t>09-A-54 F4</t>
  </si>
  <si>
    <t>09-A-54 F5</t>
  </si>
  <si>
    <t>Crewmembers</t>
  </si>
  <si>
    <t>Coker, George</t>
  </si>
  <si>
    <t>Also includes 2 photographs, casualty reports, special reports/chronology, list of individuals to be released by N. Vietnam, audio tape notes, debrief summary, and assignment waiver.</t>
  </si>
  <si>
    <t>Herlik, Osburn, Pryor</t>
  </si>
  <si>
    <t>Ellis, Leon F.</t>
  </si>
  <si>
    <t>Rumble, Wesley</t>
  </si>
  <si>
    <t>Fleenor</t>
  </si>
  <si>
    <t>Flesher</t>
  </si>
  <si>
    <t>Flom</t>
  </si>
  <si>
    <t>Fredric</t>
  </si>
  <si>
    <t>8 Aug 1966 - 4 Mar 1973</t>
  </si>
  <si>
    <t>Also includes 1 photograph, debrief summary, capture pilot note, casualty reports, audio tape notes, special reports/chronology, and list of individuals to be released by N. Vietnam.</t>
  </si>
  <si>
    <t>09-A-55 F1</t>
  </si>
  <si>
    <t>09-A-55 F2</t>
  </si>
  <si>
    <t>09-A-55 F3</t>
  </si>
  <si>
    <t>Berger, James R.</t>
  </si>
  <si>
    <t>Also includes 1 photograph, 18 maps, debrief summary, letter from parents, reassignment, casualty report, message home, articles, special reports/personnel known to be alive, and audio notes.</t>
  </si>
  <si>
    <t>Boyer, Terry.</t>
  </si>
  <si>
    <t>Fisher, Kenneth</t>
  </si>
  <si>
    <t>Fellowes, John</t>
  </si>
  <si>
    <t>Flesher, Hubert</t>
  </si>
  <si>
    <t>Fleenor, Kenneth</t>
  </si>
  <si>
    <t>Kippenhan</t>
  </si>
  <si>
    <t>Lorenza Conner</t>
  </si>
  <si>
    <t>CPT Gordon</t>
  </si>
  <si>
    <t>Wilson, Glenn H.</t>
  </si>
  <si>
    <t>Cobeil, Earl</t>
  </si>
  <si>
    <t>Crumpler, Carl B.</t>
  </si>
  <si>
    <t>Writer, Lawrence D.</t>
  </si>
  <si>
    <t>Burns, Michael T.</t>
  </si>
  <si>
    <t>Lewis, Keith H.</t>
  </si>
  <si>
    <t>Sienicki, Theodore S.</t>
  </si>
  <si>
    <t>Byrns, William G.</t>
  </si>
  <si>
    <t>Price, Larry D.</t>
  </si>
  <si>
    <t>Bean, William R.</t>
  </si>
  <si>
    <t>Rose, George A.</t>
  </si>
  <si>
    <t>Dingee, David</t>
  </si>
  <si>
    <t>Robinson, Paul K.</t>
  </si>
  <si>
    <t>Fraser, Kenneth T.</t>
  </si>
  <si>
    <t>Trimble, Larry A.</t>
  </si>
  <si>
    <t>Cerak, John P.</t>
  </si>
  <si>
    <t>Logan, Donald K.</t>
  </si>
  <si>
    <t>Clark, Ernest S.</t>
  </si>
  <si>
    <t>Spoon, Donald R.</t>
  </si>
  <si>
    <t>Latham, James D.</t>
  </si>
  <si>
    <t>CD-22</t>
  </si>
  <si>
    <t>CD-23</t>
  </si>
  <si>
    <t>N/A</t>
  </si>
  <si>
    <t>CD-24</t>
  </si>
  <si>
    <t>Wheeler, Herbert C. (Rescued)</t>
  </si>
  <si>
    <t>Braswell</t>
  </si>
  <si>
    <t>23 Aug 1967 - 24 Aug 1967</t>
  </si>
  <si>
    <t>Escape</t>
  </si>
  <si>
    <t>JPRA-55-Doc-Disc 1</t>
  </si>
  <si>
    <t>Check for this.</t>
  </si>
  <si>
    <t>Aiken</t>
  </si>
  <si>
    <t>13 May 1969 - 10 July 1969</t>
  </si>
  <si>
    <t>Grant, David B.</t>
  </si>
  <si>
    <t>Dierling</t>
  </si>
  <si>
    <t>1 Feb 1968 - 23 Feb 1968</t>
  </si>
  <si>
    <t>Fann</t>
  </si>
  <si>
    <t>21 Mar 19767 - 21 Mar 1967</t>
  </si>
  <si>
    <t>Roger</t>
  </si>
  <si>
    <t>3 Jan 1968 - 12 Jan 1968</t>
  </si>
  <si>
    <t>Babcock</t>
  </si>
  <si>
    <t>09-A-4 F3-F4</t>
  </si>
  <si>
    <t>09-A-4 F5</t>
  </si>
  <si>
    <t>Doyle, Michael William</t>
  </si>
  <si>
    <t>Crafts</t>
  </si>
  <si>
    <t>29 Dec 1964 - 7 Feb 1967</t>
  </si>
  <si>
    <t>Bennett, Harold G.</t>
  </si>
  <si>
    <t>Flora</t>
  </si>
  <si>
    <t>Carroll</t>
  </si>
  <si>
    <t>21 Jul 1967 - 5 Mar 1973</t>
  </si>
  <si>
    <t>Flynn</t>
  </si>
  <si>
    <t>20 Oct 1967 - 14 Mar 1973</t>
  </si>
  <si>
    <t>09-A-56 F1</t>
  </si>
  <si>
    <t>Also includes schematics, special reports/personnel known to be alive/chronology report, and debrief abstract.</t>
  </si>
  <si>
    <t>09-A-56 F2 and 09-A-57 F1-F13</t>
  </si>
  <si>
    <t>Forby</t>
  </si>
  <si>
    <t>Ford</t>
  </si>
  <si>
    <t>09-A-58 F1</t>
  </si>
  <si>
    <t>09-A-58 F2</t>
  </si>
  <si>
    <t>Fowler</t>
  </si>
  <si>
    <t>26 Mar 1967 - 18 Feb 1973</t>
  </si>
  <si>
    <t>Martin</t>
  </si>
  <si>
    <t>12 Jul 1967 - 5 Mar 1973</t>
  </si>
  <si>
    <t>09-A-59 F1</t>
  </si>
  <si>
    <t>Franke</t>
  </si>
  <si>
    <t>09-A-59 F2</t>
  </si>
  <si>
    <t>09-A-59 F3</t>
  </si>
  <si>
    <t>09-A-59 F4</t>
  </si>
  <si>
    <t>Also includes debrief summary, attempts to spy on POWs statement, casualty reports, 1 photograph, audio tape notes, and special reports/chronology report/personnel known to be alive.</t>
  </si>
  <si>
    <t>Also includes 1 photograph, debrief summary, casualty reports, handwritten notes, radio transcript, audio tape notes, and chronology/personnel known to be alive.</t>
  </si>
  <si>
    <t>Also includes debrief abstract, navy debrief messages, POW mail, and Prisoner ONI 53-1A form. Second folder has second copy of navy debrief messages. Third folder has third copy of debrief summary (only one copy counted).</t>
  </si>
  <si>
    <t>Fraser</t>
  </si>
  <si>
    <t>Friese</t>
  </si>
  <si>
    <t>Laurence</t>
  </si>
  <si>
    <t>24 Feb 1968 - 14 Mar 1973</t>
  </si>
  <si>
    <t>09-A-60 F1</t>
  </si>
  <si>
    <t>09-A-60 F2</t>
  </si>
  <si>
    <t>24 Oct 1967 - 5 Aug 1969</t>
  </si>
  <si>
    <t>Also includes debrief summary and a Family assistance branch report. The second folder has the Naval Criminal investigative source files. The third folder has an additional copy of the debrief summary (not counted).</t>
  </si>
  <si>
    <t>09-A-60 F3-F5 Cont.</t>
  </si>
  <si>
    <t>Fryett</t>
  </si>
  <si>
    <t>24 Dec 1961 - 24 Jun 1962</t>
  </si>
  <si>
    <t>Fuller</t>
  </si>
  <si>
    <t>14 Jun 1967 - 4 Mar 1973</t>
  </si>
  <si>
    <t>Fulton</t>
  </si>
  <si>
    <t>13 Jun 1972 - 28 Mar 1973</t>
  </si>
  <si>
    <t>09-A-61 F1</t>
  </si>
  <si>
    <t>09-A-61 F2</t>
  </si>
  <si>
    <t>09-A-61 F3</t>
  </si>
  <si>
    <t>Gaddis</t>
  </si>
  <si>
    <t>Gaither</t>
  </si>
  <si>
    <t>12 May 1967 - 4 Mar 1973</t>
  </si>
  <si>
    <t>17 Oct 1965 - 12 Feb 1973</t>
  </si>
  <si>
    <t>09-A-61 F4 Cont.</t>
  </si>
  <si>
    <t>09-A-61 F5 Cont.</t>
  </si>
  <si>
    <t>No debrief just two articles on the difficulty of freedom post captivity for the first prisoner of war in Vietnam.</t>
  </si>
  <si>
    <t>Also includes debrief abstract (two copies one counted), debrief review information and notes review, release of information obtained in debriefings memo, and navy debrief messages. The second folder has the egress recap form. The third folder has third copy of debrief summary (only one counted).</t>
  </si>
  <si>
    <t xml:space="preserve">Also includes debrief summary, casualty reports, 1 photograph, alleged message, chronology report/personnel known to be alive, and audio tape notes. </t>
  </si>
  <si>
    <t>Galanti</t>
  </si>
  <si>
    <t>17 Jun 1966 - 12 Feb 1973</t>
  </si>
  <si>
    <t>09-A-62 F1</t>
  </si>
  <si>
    <t>Galati</t>
  </si>
  <si>
    <t>16 Feb 1972 - 28 Mar 1973</t>
  </si>
  <si>
    <t>09-A-62 F2</t>
  </si>
  <si>
    <t>Also includes casualty reports, special reports/chronology, and audio tape notes. Second folder has casualty report of Stolz and Koons.</t>
  </si>
  <si>
    <t>Gartley</t>
  </si>
  <si>
    <t>Markham</t>
  </si>
  <si>
    <t>17 Aug 1968 - 25 Sep 1972</t>
  </si>
  <si>
    <t>09-A-62 F3 Cont.</t>
  </si>
  <si>
    <t>Garwood</t>
  </si>
  <si>
    <t>PFC, USMC</t>
  </si>
  <si>
    <t>28 Sep 1965 - 21 Mar 1979</t>
  </si>
  <si>
    <t xml:space="preserve">USMC </t>
  </si>
  <si>
    <t>09-A-63 F1-F7</t>
  </si>
  <si>
    <t>09-A-64 F1-F4</t>
  </si>
  <si>
    <t>No debrief just one message on recovery and injury died 15 days later.</t>
  </si>
  <si>
    <t>09-A-65 F1-F3</t>
  </si>
  <si>
    <t>Gauntt</t>
  </si>
  <si>
    <t>13 Aug 1972 - 27 Mar 1973</t>
  </si>
  <si>
    <t>09-A-65 F4</t>
  </si>
  <si>
    <t>Geloneck</t>
  </si>
  <si>
    <t>Gerndt</t>
  </si>
  <si>
    <t>09-A-66 F1</t>
  </si>
  <si>
    <t>09-A-66 F2</t>
  </si>
  <si>
    <t>Gideon</t>
  </si>
  <si>
    <t>Willard</t>
  </si>
  <si>
    <t>09-A-66 F3</t>
  </si>
  <si>
    <t xml:space="preserve">Also includes 1 photograph, debrief extract letter, Hanoi transcription, casualty reports, audio tape notes, report pf N-52 crewmembers debriefing, Chronology report/personnel known to be alive/deceased, and list of individuals to be released by N. Vietnam. </t>
  </si>
  <si>
    <t>Also includes 2 photograph, casualty reports, special reports/chronology reports, 1969 Christmas service, debrief summary, list of individuals to be released by N. Vietnam, and audio tape notes.</t>
  </si>
  <si>
    <t>Gillespie</t>
  </si>
  <si>
    <t>24 Oct 1967 - 14 Mar 1973</t>
  </si>
  <si>
    <t>Giroux</t>
  </si>
  <si>
    <t>22 Dec 1972 - 12 Feb 1973</t>
  </si>
  <si>
    <t>Danny</t>
  </si>
  <si>
    <t>21 Dec 1966 - 4 Mar 1973</t>
  </si>
  <si>
    <t>09-A-67 F1</t>
  </si>
  <si>
    <t>09-A-67 F2</t>
  </si>
  <si>
    <t>09-A-67 F3</t>
  </si>
  <si>
    <t>Also includes debrief abstract, NIS report of investigation, and navy debrief messages.</t>
  </si>
  <si>
    <t>Goodermote</t>
  </si>
  <si>
    <t>Wayne</t>
  </si>
  <si>
    <t>13 Aug 1967 - 14 Mar 1973</t>
  </si>
  <si>
    <t xml:space="preserve">09-A-67 F4 Cont. </t>
  </si>
  <si>
    <t>09-A-67 F5 Cont.</t>
  </si>
  <si>
    <t>Gostas</t>
  </si>
  <si>
    <t>Theodore</t>
  </si>
  <si>
    <t>Debrief messages/notes</t>
  </si>
  <si>
    <t>Debriefing Intelligence Report/Egress Recap debriefing form</t>
  </si>
  <si>
    <t>Gotner</t>
  </si>
  <si>
    <t>Norbert</t>
  </si>
  <si>
    <t>3 Feb 1971 - 28 Mar 1973</t>
  </si>
  <si>
    <t>09-A-68 F1</t>
  </si>
  <si>
    <t>Gough</t>
  </si>
  <si>
    <t>09-A-68 F2</t>
  </si>
  <si>
    <t>Also includes debrief summary, camp schematics (maps), Casualty reports, homecoming file, special report/chronology, audio tape notes, and tracking of Gough's career.</t>
  </si>
  <si>
    <t>Gouin</t>
  </si>
  <si>
    <t xml:space="preserve">Donat </t>
  </si>
  <si>
    <t>09-A-69 F1</t>
  </si>
  <si>
    <t>Granger</t>
  </si>
  <si>
    <t>20 Dec 1972 - 29 Mar 1973</t>
  </si>
  <si>
    <t>Gray</t>
  </si>
  <si>
    <t>09-A-69 F2</t>
  </si>
  <si>
    <t>09-A-69 F3</t>
  </si>
  <si>
    <t>09-A-69 F4</t>
  </si>
  <si>
    <t>Also includes chronology report, personnel known to be alive/deceased, and debrief abstract.</t>
  </si>
  <si>
    <t xml:space="preserve">Also includes 2 photographs, casualty reports, officer assignment, alleged comment, personnel effects, special reports/chronology, and audio tape notes. </t>
  </si>
  <si>
    <t>Also includes 1 photograph, debrief summary, casualty reports, officer assignment, chronology report, and audio tape notes.</t>
  </si>
  <si>
    <t>Greene</t>
  </si>
  <si>
    <t>11 Mar 1967 - 4 Mar 1973</t>
  </si>
  <si>
    <t>09-A-70 F1</t>
  </si>
  <si>
    <t>Gregory</t>
  </si>
  <si>
    <t>25 Aug 1968 - 26 May 1969</t>
  </si>
  <si>
    <t>Grigsby</t>
  </si>
  <si>
    <t>Gruters</t>
  </si>
  <si>
    <t>Guy</t>
  </si>
  <si>
    <t>Guarino</t>
  </si>
  <si>
    <t>14 Jun 1965 - 12 Feb 1973</t>
  </si>
  <si>
    <t>09-A-70 F2</t>
  </si>
  <si>
    <t>09-A-70 F3</t>
  </si>
  <si>
    <t>09-A-70 F4</t>
  </si>
  <si>
    <t>09-A-70 F5</t>
  </si>
  <si>
    <t>Also includes drawings of camps with debrief summary and debrief messages.</t>
  </si>
  <si>
    <t>Also includes agent report, photo comparison, recap report, debrief messages, propaganda statement, release of POW comment, and news clippings.</t>
  </si>
  <si>
    <t>Guenther</t>
  </si>
  <si>
    <t>26 Dec 1971 - 12 Feb 1973</t>
  </si>
  <si>
    <t>09-A-71 F1</t>
  </si>
  <si>
    <t>Guggenberger</t>
  </si>
  <si>
    <t>14 Jan 1969 - 12 Feb 1973</t>
  </si>
  <si>
    <t>Gurnsey</t>
  </si>
  <si>
    <t>Earl</t>
  </si>
  <si>
    <t>27 Nov 1968 - 6 Jan 1969</t>
  </si>
  <si>
    <t>Guttersen</t>
  </si>
  <si>
    <t>Laird</t>
  </si>
  <si>
    <t>09-A-71 F2</t>
  </si>
  <si>
    <t>09-A-71 F3</t>
  </si>
  <si>
    <t>09-A-71 F4</t>
  </si>
  <si>
    <t>Also includes debrief messages (personnel known to be alive/deceased) and debrief abstract.</t>
  </si>
  <si>
    <t>Also includes 1 photograph, debrief summary, casualty reports, chronology report, list of individuals to be released by N. Vietnam, and audio tape notes.</t>
  </si>
  <si>
    <t>22 Mar 1968 - 15 Mar 1973</t>
  </si>
  <si>
    <t>09-A-72 F1</t>
  </si>
  <si>
    <t>Also includes 1 photograph, debrief summary, casualty reports, news article on charges, chronology report/personnel known to be alive, list of individuals to be released by N. Vietnam, and audio tape notes. Second folder has an excerpt with summary from the debrief (looks like from microfilm).</t>
  </si>
  <si>
    <t>Haines</t>
  </si>
  <si>
    <t>5 Jun 1967 - 4 Mar 1973</t>
  </si>
  <si>
    <t>09-A-72 F2</t>
  </si>
  <si>
    <t>09-A-72 F3</t>
  </si>
  <si>
    <t>Hall</t>
  </si>
  <si>
    <t>27 Sep 1965 - 12 Feb 1973</t>
  </si>
  <si>
    <t>10 Jan 1968 - 4 Mar 1973</t>
  </si>
  <si>
    <t>09-A-73 F1</t>
  </si>
  <si>
    <t>10 Jun 1967 - 4 Mar 1973</t>
  </si>
  <si>
    <t>Halyburton</t>
  </si>
  <si>
    <t>Porter</t>
  </si>
  <si>
    <t>09-A-73 F2</t>
  </si>
  <si>
    <t>09-A-73 F3</t>
  </si>
  <si>
    <t>Hanson</t>
  </si>
  <si>
    <t>Gregg</t>
  </si>
  <si>
    <t>09-A-73 F4 Cont.</t>
  </si>
  <si>
    <t>Hanton</t>
  </si>
  <si>
    <t>09-A-73 F5 Cont.</t>
  </si>
  <si>
    <t>Also includes debrief abstract and navy debrief messages (highlights report 2 &amp; 3 are missing). Second folder has Egress recap debriefing form. Third folder has third copy of debrief summary.</t>
  </si>
  <si>
    <t>Hardman</t>
  </si>
  <si>
    <t>21 Aug 1967 - 14 Mar 1973</t>
  </si>
  <si>
    <t>09-A-74 F1</t>
  </si>
  <si>
    <t>Hardy</t>
  </si>
  <si>
    <t xml:space="preserve">29 Jun 1967 - 12 Feb 1973 </t>
  </si>
  <si>
    <t>Harker</t>
  </si>
  <si>
    <t>8 Jan 1968 - 5 Mar 1973</t>
  </si>
  <si>
    <t>09-A-74 F2</t>
  </si>
  <si>
    <t>09-A-74 F3</t>
  </si>
  <si>
    <t>Harris</t>
  </si>
  <si>
    <t>Carlyle</t>
  </si>
  <si>
    <t>4 Apr 1965 - 12 Feb 1973</t>
  </si>
  <si>
    <t>09-A-74 F4 Cont.</t>
  </si>
  <si>
    <t>Also includes debrief abstract, Navy debrief messages, and NIS investigation report. Second folder has egress recap debriefing form. Third folder has second copy of debrief summary (not counted).</t>
  </si>
  <si>
    <t>Also includes debrief summary with schematics, chronology/debrief/personnel known to be alive/deceased reports, follow-up interview, Follow-up handwritten, POW escape article, debrief abstract, casualty report, and letter to Mrs. Hardy. Second folder has handwritten camp chronology.</t>
  </si>
  <si>
    <t>Jessie</t>
  </si>
  <si>
    <t>8 Jun 1969 - 20 Oct 1969</t>
  </si>
  <si>
    <t>09-A-75 F1</t>
  </si>
  <si>
    <t>Hatcher</t>
  </si>
  <si>
    <t>30 May 1966 - 12 Feb 1973</t>
  </si>
  <si>
    <t>Hawley</t>
  </si>
  <si>
    <t>17 Feb 1972 - 12 Feb 1973</t>
  </si>
  <si>
    <t>Heeren</t>
  </si>
  <si>
    <t>Jerome</t>
  </si>
  <si>
    <t>11 Sep 1972 - 29 Mar 1973</t>
  </si>
  <si>
    <t>09-A-75 F2</t>
  </si>
  <si>
    <t>09-A-75 F3</t>
  </si>
  <si>
    <t>09-A-75 F4</t>
  </si>
  <si>
    <t>Also includes army debrief messages.</t>
  </si>
  <si>
    <t>Also includes 1 photograph, debrief summary, casualty reports, Hanoi airs confession article, IIR photo of captured POWs, 1 photograph, Statement and photos IIR, propaganda statements/recordings and promised release, installation drawings, special reports/chronology, list of individuals to be released by N. Vietnam, audio tape notes, articles (capture, propaganda, wife and children), Budapest daily note, 7 photographs, and articles (downed pilots and brainwashing).</t>
  </si>
  <si>
    <t xml:space="preserve">Also includes casualty reports, magazine photo, request for documents concerning Lt Col Robert Irwin, alleged radio conversation with Hawley, returnee press conference message, special reports/chronology/personnel known to be alive, list of individuals to be released by N. Vietnam, audio tape notes, and Egress Recap phase 3 report. </t>
  </si>
  <si>
    <t>Hefel</t>
  </si>
  <si>
    <t>5 Feb 1968 - 27 Mar 1973</t>
  </si>
  <si>
    <t>09-A-76 F1</t>
  </si>
  <si>
    <t>Hegdahl</t>
  </si>
  <si>
    <t>SA, USN</t>
  </si>
  <si>
    <t>6 Mar 1967 - 5 Aug 1969</t>
  </si>
  <si>
    <t>09-A-76 F2 - F5</t>
  </si>
  <si>
    <t>Also includes chronology report/personnel known to be alive/deceased, debrief abstract, and letter to parents from POW.</t>
  </si>
  <si>
    <t>Heilig</t>
  </si>
  <si>
    <t>5 May 1966 - 12 Feb 1973</t>
  </si>
  <si>
    <t>09-A-77 F1</t>
  </si>
  <si>
    <t>Heiliger</t>
  </si>
  <si>
    <t>15 May 1967 - 18 Feb 1973</t>
  </si>
  <si>
    <t>Helle</t>
  </si>
  <si>
    <t>24 Apr 1968 - 16 Mar 1973</t>
  </si>
  <si>
    <t>09-A-77 F2</t>
  </si>
  <si>
    <t>09-A-77 F3</t>
  </si>
  <si>
    <t>3 Apr 1972 - 27 Mar 1973</t>
  </si>
  <si>
    <t>09-A-77 F4 Cont.</t>
  </si>
  <si>
    <t>Lee</t>
  </si>
  <si>
    <t>Nathan</t>
  </si>
  <si>
    <t>09-A-77 F5 Cont.</t>
  </si>
  <si>
    <t>09-A-77 F6 Cont.</t>
  </si>
  <si>
    <t>Also includes debrief abstract and navy debrief messages. Second folder has egress recap debriefing form. Third Folder has second copy of debrief summary (not counted).</t>
  </si>
  <si>
    <t>Also includes debrief summary, letters about operation homecoming, casualty reports, heiliger biography, 1 photograph with description, special reports/chronology, personnel known to be alive/list of names, and audio tape notes.</t>
  </si>
  <si>
    <t>Also includes debrief abstract. Second folder has intel debrief USMC (which includes debrief summary but has additional attachments.</t>
  </si>
  <si>
    <t>S.E. Olmstead</t>
  </si>
  <si>
    <t>Lukenbach, M.D.</t>
  </si>
  <si>
    <t xml:space="preserve">Hanson, R.T. </t>
  </si>
  <si>
    <t>Yarborough, W.  P.</t>
  </si>
  <si>
    <t>Haifley, M. F.</t>
  </si>
  <si>
    <t>Estes, W. O.</t>
  </si>
  <si>
    <t>Parish, C. C.</t>
  </si>
  <si>
    <t>Clark, R. C.</t>
  </si>
  <si>
    <t>Also includes 1 photograph, debrief summary, casualty reports, special report/chronology, and audio tape notes.</t>
  </si>
  <si>
    <t>Also includes debrief messages and prince sihanouk release of detainees.</t>
  </si>
  <si>
    <t>Also includes debrief abstract, debrief messages, and report on Peace Committee.</t>
  </si>
  <si>
    <t>Herlik</t>
  </si>
  <si>
    <t>Querin</t>
  </si>
  <si>
    <t>09-A-78 F1</t>
  </si>
  <si>
    <t>Hestand</t>
  </si>
  <si>
    <t>W01, USA</t>
  </si>
  <si>
    <t>17 Mar 1971 - 12 Feb 1973</t>
  </si>
  <si>
    <t>Hess</t>
  </si>
  <si>
    <t xml:space="preserve">24 Aug 1967 - 14 Mar 1973 </t>
  </si>
  <si>
    <t>Hickerson</t>
  </si>
  <si>
    <t>22 Dec 1967 - 14 Mar 1973</t>
  </si>
  <si>
    <t>Higdon</t>
  </si>
  <si>
    <t>21 Dec 1972 - 12 Feb 1973</t>
  </si>
  <si>
    <t>Hildebrand</t>
  </si>
  <si>
    <t>Leland</t>
  </si>
  <si>
    <t>18 Dec 1971 - 28 Mar 1973</t>
  </si>
  <si>
    <t>09-A-78 F2</t>
  </si>
  <si>
    <t>09-A-78 F3</t>
  </si>
  <si>
    <t>09-A-78 F4</t>
  </si>
  <si>
    <t>09-A-78 F5</t>
  </si>
  <si>
    <t>09-A-78 F6</t>
  </si>
  <si>
    <t>Osburn, Laird P.; Fisher, John; Pryor, Rob.</t>
  </si>
  <si>
    <t>Also includes debrief messages/chronology, homecoming progress report, article, and debrief abstract.</t>
  </si>
  <si>
    <t>Also includes debrief abstract, debrief messages, and follow-up interview. Second folder has second copy of debrief summary (not counted).</t>
  </si>
  <si>
    <t>Also includes 1 photograph, debrief summary, casualty reports, an IIR, radio transcriptions and press conference messages, chronology/personnel known to be alive reports, and audio tape notes.</t>
  </si>
  <si>
    <t>Wells, Kenneth R.</t>
  </si>
  <si>
    <t>Hill</t>
  </si>
  <si>
    <t>Howard</t>
  </si>
  <si>
    <t>16 Dec 1967 - 14 Mar 1973</t>
  </si>
  <si>
    <t>09-A-79 F1</t>
  </si>
  <si>
    <t>Hinckley</t>
  </si>
  <si>
    <t>Hiteshew</t>
  </si>
  <si>
    <t>18 Jan 1968 - 14 Mar 1973</t>
  </si>
  <si>
    <t>11 Mar 1973 - 4 Mar 1973</t>
  </si>
  <si>
    <t>09-A-79 F2</t>
  </si>
  <si>
    <t>09-A-79 F3</t>
  </si>
  <si>
    <t xml:space="preserve">Also includes debrief summary, radio transcripts, Mrs. Hinckley letter and response, An IIR with picture, casualty reports, special reports/chronology/personnel known to be alive, list of individuals to be released by N. Vietnam, and audio tape notes. </t>
  </si>
  <si>
    <t xml:space="preserve">Also includes 1 photograph, debrief summary, casualty reports, special reports/chronology/personnel known to be deceased, list of individuals to be released by N. Vietnam, audio tape notes, radio transcripts, and interview with Felix Greene. </t>
  </si>
  <si>
    <t>Hivner</t>
  </si>
  <si>
    <t>09-A-80 F1</t>
  </si>
  <si>
    <t>Hoffman</t>
  </si>
  <si>
    <t>30 Dec 1971 - 28 Mar 1973</t>
  </si>
  <si>
    <t>Hoffson</t>
  </si>
  <si>
    <t>18 Aug 1968 - 14 Mar 1973</t>
  </si>
  <si>
    <t>09-A-80 F2</t>
  </si>
  <si>
    <t>09-A-80 F3</t>
  </si>
  <si>
    <t>Barrett, Thomas J.</t>
  </si>
  <si>
    <t>Barrett</t>
  </si>
  <si>
    <t>Hivner, James O.</t>
  </si>
  <si>
    <t>Also includes 1 photograph, debrief summary, casualty reports, special debriefings on allegations sheet, convalescent leave, special reports/chronology, list of individuals to be released by N. Vietnam, and audio tape notes.</t>
  </si>
  <si>
    <t xml:space="preserve">Charles, Norris A. </t>
  </si>
  <si>
    <t xml:space="preserve">Powell, William E. </t>
  </si>
  <si>
    <t>Also includes 1 photograph, debrief summary, officer assignment, intelligence report analysis, special reports/chronology/personnel known to be deceased, list of individuals to be released by N. Vietnam, and audio tape notes.</t>
  </si>
  <si>
    <t>Horinek</t>
  </si>
  <si>
    <t>Ramon</t>
  </si>
  <si>
    <t>25 Oct 1967 - 14 mar 1973</t>
  </si>
  <si>
    <t>Horio</t>
  </si>
  <si>
    <t>Hubbard</t>
  </si>
  <si>
    <t>26 Dec 1972 - 29 Mar 1973</t>
  </si>
  <si>
    <t>09-A-81 F1</t>
  </si>
  <si>
    <t>09-A-81 F2</t>
  </si>
  <si>
    <t>09-A-81 F3</t>
  </si>
  <si>
    <t>09-A-81 F4</t>
  </si>
  <si>
    <t>Also includes debrief messages (chronology/personnel known to be alive/deceased) and debrief abstract.</t>
  </si>
  <si>
    <t>Means, William H.; Perkins, Glendon W.;  Barbay, Lawrence; McDaniel, Norman; Norbert, Craig R.</t>
  </si>
  <si>
    <t xml:space="preserve">Also includes 1 photograph, casualty report, 3 photos, Analysis of EB-66C Crew downed 20 July 1966, radio transcript, an IIR, special reports/chronology/personnel known to be alive/deceased, List of personnel to be released by N. Vietnam, and audio tape notes. </t>
  </si>
  <si>
    <t>Morris, Robert J.; Labeau, Michael H.; Vavroch, Duane P.; Wimbrow, Nutter J.</t>
  </si>
  <si>
    <t xml:space="preserve">First report in verbatim debrief is by Labeau, Hudson, and Vavroch. Also includes 1 photograph, debrief summary, casualty reports, special reports/chronology/personnel known to be deceased, and audio tape notes. </t>
  </si>
  <si>
    <t>Hughes</t>
  </si>
  <si>
    <t>5 May 1967 - 4 Mar 1973</t>
  </si>
  <si>
    <t>09-A-82 F1</t>
  </si>
  <si>
    <t>Hughey</t>
  </si>
  <si>
    <t>6 Jul 1967 - 4 Mar 1973</t>
  </si>
  <si>
    <t>Hutton</t>
  </si>
  <si>
    <t>09-A-82 F2</t>
  </si>
  <si>
    <t>09-A-82 F3</t>
  </si>
  <si>
    <t>Pollack, Melvin.</t>
  </si>
  <si>
    <t>Also includes 1 photograph, camp schematics (maps), debrief summary, casualty reports, alleged message, special report/chronology/personnel known to be alive, list of individuals to be released by N. Vietnam, and POW Camp-cell graphic.</t>
  </si>
  <si>
    <t>Also includes 3 photographs, debrief abstract, casualty reports, biographical data, appointment into reserves documents, information on POW camps, navy messages (JoPrep, personnel casualty), downed flier report, navy debrief messages, and NIS investigation report. Second folder has second copy of debrief summary (not counted).</t>
  </si>
  <si>
    <t>Hyatt</t>
  </si>
  <si>
    <t>Leo</t>
  </si>
  <si>
    <t>09-A-83 F1</t>
  </si>
  <si>
    <t>Ilg</t>
  </si>
  <si>
    <t>Raymond</t>
  </si>
  <si>
    <t>Ingvalson</t>
  </si>
  <si>
    <t>28 May 1968 - 14 Mar 1973</t>
  </si>
  <si>
    <t>09-A-83 F2</t>
  </si>
  <si>
    <t>09-A-83 F3</t>
  </si>
  <si>
    <t xml:space="preserve">Also includes debrief abstract and navy debrief messages (missing number 9). Second folder has second copy of debrief summary (not counted). Third folder has egress recap debriefing form. </t>
  </si>
  <si>
    <t>Goodermote, Wayne.</t>
  </si>
  <si>
    <t>Evader 3-5 June 1965</t>
  </si>
  <si>
    <t>Evader Verbatim</t>
  </si>
  <si>
    <t>Jackson</t>
  </si>
  <si>
    <t>09-A-84 F1</t>
  </si>
  <si>
    <t>5 Jul 1966 - 11 Nov 1967</t>
  </si>
  <si>
    <t>Jacquez</t>
  </si>
  <si>
    <t>Juan</t>
  </si>
  <si>
    <t>18 May 1968 - 14 Mar 1973</t>
  </si>
  <si>
    <t>09-A-84 F2</t>
  </si>
  <si>
    <t>09-A-84 F3</t>
  </si>
  <si>
    <t>09-A-84 F4</t>
  </si>
  <si>
    <t>Gobel</t>
  </si>
  <si>
    <t>15 Jul 1968 - 14 Mar 1973</t>
  </si>
  <si>
    <t xml:space="preserve">09-A-84 F5 Cont. </t>
  </si>
  <si>
    <t>McCarty, James L.</t>
  </si>
  <si>
    <t>Charlie</t>
  </si>
  <si>
    <t>Also includes debrief summary, navy debrief messages, an NIS investigation report. Second folder has second copy of debrief summary (not counted). Third folder has egress recap debriefing form.</t>
  </si>
  <si>
    <t>Monroe, Vincent D.</t>
  </si>
  <si>
    <t xml:space="preserve">Martin, Larry E. </t>
  </si>
  <si>
    <t>Also includes 1 photograph, debrief summary, casualty reports, 1 photo, radio transcripts, chronology/personnel known to be alive, list of individuals to be released by N. Vietnam, audio tape notes, and camp schematics (maps).</t>
  </si>
  <si>
    <t>Major Camps (not in order)</t>
  </si>
  <si>
    <t xml:space="preserve">Also includes debrief abstract and chronology report. </t>
  </si>
  <si>
    <t xml:space="preserve">Second folder has additional copy of debriefing but it is easier to read than the original. (not counted). </t>
  </si>
  <si>
    <t>Jayroe</t>
  </si>
  <si>
    <t>Julius</t>
  </si>
  <si>
    <t>09-A-85 F1</t>
  </si>
  <si>
    <t>Jefcoat</t>
  </si>
  <si>
    <t>20 Dec 1965 - 12 Feb 1973</t>
  </si>
  <si>
    <t>09-A-85 F2</t>
  </si>
  <si>
    <t>09-A-85 F3</t>
  </si>
  <si>
    <t>Also includes 1 photograph, debrief summary, casualty report, personnel processing, an IIR, special reports/chronology, list of individuals to be released by N. Vietnam, and audio tape notes.</t>
  </si>
  <si>
    <t>Kramer, Arthur E.</t>
  </si>
  <si>
    <t>Also includes 1 photograph, debrief summary, casualty reports, radio transcript, officer assignment, chronology report, and audio tape notes.</t>
  </si>
  <si>
    <t>Loung Lang - Dog Patch; N-53 Cu Loc - The Zoo; 
N-62 Citadel - Plantation; N-43 Ha Lo - Hanoi Hilton</t>
  </si>
  <si>
    <t>N-43 Ha Lo - Hanoi Hilton; N-62 Citadel - Plantation</t>
  </si>
  <si>
    <t>N-62 Citadel - Plantation; N-43 Ha Lo - Hanoi Hilton</t>
  </si>
  <si>
    <t xml:space="preserve">N-43 Ha Lo -Hanoi Hilton; N-53 Cu Loc - Zoo
</t>
  </si>
  <si>
    <t>N-43 Ha Lo - Hanoi Hilton; N-53 Cu Loc - Zoo</t>
  </si>
  <si>
    <t>Mims, George I.</t>
  </si>
  <si>
    <t>Jenkins</t>
  </si>
  <si>
    <t>13 Nov 1965 - 12 Feb 1973</t>
  </si>
  <si>
    <t>09-A-86 F1</t>
  </si>
  <si>
    <t>Jensen</t>
  </si>
  <si>
    <t>18 Feb 1967 - 18 Feb 1973</t>
  </si>
  <si>
    <t>25 Aug 1968 - 12 Feb 1973</t>
  </si>
  <si>
    <t>MSgt, USA</t>
  </si>
  <si>
    <t>21 Jul 1964 - 19 Oct 1967</t>
  </si>
  <si>
    <t>09-A-86 F2</t>
  </si>
  <si>
    <t>09-A-86 F3</t>
  </si>
  <si>
    <t>09-A-86 F4</t>
  </si>
  <si>
    <t>Brewer</t>
  </si>
  <si>
    <t>1/7/1968 -1/8/1968</t>
  </si>
  <si>
    <t>May not have been debriefed 1 day.</t>
  </si>
  <si>
    <t>Deluca</t>
  </si>
  <si>
    <t>02/5/1970 - 02/28/1970</t>
  </si>
  <si>
    <t>Only in captivity 23 days debriefed?</t>
  </si>
  <si>
    <t>SN, USN</t>
  </si>
  <si>
    <t>3 Feb 1970 - 28 Feb 1970</t>
  </si>
  <si>
    <t>Only in captivity for 23 days maybe they did not do a debrief?</t>
  </si>
  <si>
    <t>Graening</t>
  </si>
  <si>
    <t>9 Mar 1967 - 18 Mar 1967</t>
  </si>
  <si>
    <t>Groom</t>
  </si>
  <si>
    <t>8 Apr 1962 - 1 May 1962</t>
  </si>
  <si>
    <t>Only in captivity for 29 days, maybe they didn’t debrief him?</t>
  </si>
  <si>
    <t>Guffey</t>
  </si>
  <si>
    <t>Cpl, USA</t>
  </si>
  <si>
    <t>4 Mar 1969 - 4 Mar 1969</t>
  </si>
  <si>
    <t>Only in captivity one day, did they debrief?</t>
  </si>
  <si>
    <t>Hamilton</t>
  </si>
  <si>
    <t>18 Oct 1965 - 29 Oct 1965</t>
  </si>
  <si>
    <t>Only in captivity 11 days,  did they debrief him?</t>
  </si>
  <si>
    <t xml:space="preserve">Hatch </t>
  </si>
  <si>
    <t>PFC,USA</t>
  </si>
  <si>
    <t>Only in captivity 1 day, did they debrief him?</t>
  </si>
  <si>
    <t>Hayhurst</t>
  </si>
  <si>
    <t>There are a couple of debrief messages tagged for him and Dierling that are in the 09-U boxes and may move to 09-A-177 or the respective alphabet letter depending on content.</t>
  </si>
  <si>
    <t>There are a couple of debrief messages tagged for him and Hayhurst that are in the 09-U boxes and may move to 09-A-177 or the respective alphabet letter depending on content.</t>
  </si>
  <si>
    <t>Hunsucker</t>
  </si>
  <si>
    <t>PO3, USN</t>
  </si>
  <si>
    <t>5 Feb 1970 - 28 Feb 1970</t>
  </si>
  <si>
    <t>Holt</t>
  </si>
  <si>
    <t>Dewey</t>
  </si>
  <si>
    <t>Iodice</t>
  </si>
  <si>
    <t>30 May 1968 - 1 Jun 1968</t>
  </si>
  <si>
    <t xml:space="preserve">N-43 Ha Lo -Hanoi Hilton; N-53 Cu Loc - Zoo; Ministry of National Defense  - Alcatraz; 
</t>
  </si>
  <si>
    <t>Also includes debrief abstract, navy debrief messages, and Christmas for prisoners of war article. Second folder has an additional debrief message. Third folder has a report of other POWs. Fourth folder has an additional copy of debrief summary (not counted).</t>
  </si>
  <si>
    <t>Duart, David H.</t>
  </si>
  <si>
    <t>Also includes 1 photograph, debrief summary, casualty reports, places of confinement, special reports/chronology/personnel known to be alive, and audio tape notes.</t>
  </si>
  <si>
    <t>Also includes chronology/personnel known to be alive/deceased and debrief abstract.</t>
  </si>
  <si>
    <t>Jones, Thomas N.; Gregory, Kenneth R.</t>
  </si>
  <si>
    <t>Cambodia and RVN</t>
  </si>
  <si>
    <t>Harold</t>
  </si>
  <si>
    <t>30 Apr 1967 - 4 Mar 1973</t>
  </si>
  <si>
    <t>09-A-86 F5 Cont.</t>
  </si>
  <si>
    <t>N-43 Ha Lo - Hanoi Hilton; N-53 Cu Loc - Zoo; Luang Lang - Dogpatch</t>
  </si>
  <si>
    <t>Also includes casualty reports, memorandum for record O'Dell, messages home, special reports/chronology/personnel known to be alive/deceased, and list of individuals to be released by N. Vietnam.</t>
  </si>
  <si>
    <t>Just debrief summary.</t>
  </si>
  <si>
    <t>Thorsness, Leo K.</t>
  </si>
  <si>
    <t xml:space="preserve">Also included special report/personnel known to be alive, list of individuals released by N. Vietnam, audio tape notes, officer TDY, casualty reports, performance of escort officer, downed flyer report, IIR, 6 photos, 2 maps, an IIR, and debrief tape abstract. </t>
  </si>
  <si>
    <t>Also includes 4 photographs, debrief summary, casualty reports, Identification of N. Vietnamese personnel, IRR, identification of photos, chronology/personnel known to be alive, list of individuals to be released by N. Vietnam, audio tape notes,  camp maps, and debrief tape abstract.</t>
  </si>
  <si>
    <t>18 Dec 1971 - 14 Mar 1973</t>
  </si>
  <si>
    <t>09-A-87 F1</t>
  </si>
  <si>
    <t>16 Apr 1966 - 12 Feb 1973</t>
  </si>
  <si>
    <t>09-A-87 F2</t>
  </si>
  <si>
    <t>09-A-87 F3</t>
  </si>
  <si>
    <t xml:space="preserve">N-43 Ha Lo - Hanoi Hilton; N-53 Cu Loc - Zoo; N-62 Citadel - Plantation; </t>
  </si>
  <si>
    <t>Also includes 1 photograph, casualty reports, special report-observation of NVN aircraft tactics, Special reports/chronology, list of individuals to be released by N. Vietnam, and debrief tape abstract.</t>
  </si>
  <si>
    <t>Vaughn, Samuel R.</t>
  </si>
  <si>
    <t>Certain, Robert G.;
Simpson, Richard;
Ferguson, Walter L.; Thomas, Robert H.; Donald L. Rissi</t>
  </si>
  <si>
    <t>Also includes 1 photograph, casualty reports, translation of article/alleged statements, and special reports/chronology/personnel known to be alive/deceased.</t>
  </si>
  <si>
    <t xml:space="preserve">Also includes 1 photograph, debrief summary, casualty reports, special reports/chronology/personnel known to be alive/deceased, list of individuals to be released by N. Vietnam, audio tape notes, and news articles. </t>
  </si>
  <si>
    <t>Chesley, Larry J.</t>
  </si>
  <si>
    <t>N-43 Ha Lo - Hanoi Hilton; N-53 Cu Loc - Zoo; Ministry of National Defense - Alcatraz;</t>
  </si>
  <si>
    <t>Murphy</t>
  </si>
  <si>
    <t>29 Jun 1966 - 12 Feb 1973</t>
  </si>
  <si>
    <t>09-A-88 F1</t>
  </si>
  <si>
    <t>Hinckley, Robert.</t>
  </si>
  <si>
    <t>09-A-88 F2</t>
  </si>
  <si>
    <t>09-A-88 F3</t>
  </si>
  <si>
    <t>25 Aug 1968 - 1 Jan 1969</t>
  </si>
  <si>
    <t>Kari</t>
  </si>
  <si>
    <t>20 Jun 1965 - 12 Feb 1973</t>
  </si>
  <si>
    <t>09-A-89 F1</t>
  </si>
  <si>
    <t>Kasler</t>
  </si>
  <si>
    <t>Kavanaugh</t>
  </si>
  <si>
    <t>Abel</t>
  </si>
  <si>
    <t>09-A-89 F2</t>
  </si>
  <si>
    <t>09-A-89 F3</t>
  </si>
  <si>
    <t xml:space="preserve">N-43 Ha Lo - Hanoi Hilton; N-53 Cu Loc - Zoo; </t>
  </si>
  <si>
    <t>Also includes 1 photograph, valor in three wars article, letter to Col Jarvis, debrief summary, casualty reports, TV pictures of US pilots, alleged statements, special reports/chronology, homecoming arrival statement, list of individuals to be released by N. Vietnam, audio tape notes, camp schematics (maps), news articles, radio transcripts/Vietnam news, an IIR photos report, DOS telegram, IIR POWs and places of confinement, DOS US prisoners in North Vietnam, wife's TV interview instructions, air to air foreign broadcast info, positive intelligence report, interview with Madeleine Riffaud, IIR 16mm film, Hanoi propaganda of confession, and 15 photographs.</t>
  </si>
  <si>
    <t>Did they do a debrief since he was being court martialed? Committed suicide in June 1973. Includes suicide articles. Second folder has summary of information concerning Kavanaugh and Intelligence information reports 1969 - 1971.</t>
  </si>
  <si>
    <t>Kernan</t>
  </si>
  <si>
    <t>7 May 1972 -  28 Mar 1973</t>
  </si>
  <si>
    <t>09-A-90 F1</t>
  </si>
  <si>
    <t>Kerns</t>
  </si>
  <si>
    <t>Gail</t>
  </si>
  <si>
    <t>27 Mar 1969 - 5 Mar 1973</t>
  </si>
  <si>
    <t>Kerr</t>
  </si>
  <si>
    <t>16 Jan 1967 - 4 Mar 1973</t>
  </si>
  <si>
    <t>24 Jul 1965 - 12 Feb 1973</t>
  </si>
  <si>
    <t>09-A-90 F2</t>
  </si>
  <si>
    <t>09-A-90 F3</t>
  </si>
  <si>
    <t>Polfer, Clarence R.</t>
  </si>
  <si>
    <t xml:space="preserve">Also includes army debrief messages (chronology and personnel known to be alive/deceased), and debrief abstract. </t>
  </si>
  <si>
    <t xml:space="preserve">N-43 Ha Lo - Hanoi Hilton; N-62 Citadel - Plantation; </t>
  </si>
  <si>
    <t>Not a complete verbatim debrief. Also includes 1 photograph, debrief summary (considered tape number three for coding purposes), Christmas 1969, casualty reports, note about phase 3 debriefing transcripts, chronology/personnel known to be alive/deceased, list of individuals to be released by N. Vietnam, audio tape notes, evasion notes, debrief tape abstract, camp schematics and maps. Second folder has DOD position on early release of POWs and comments on E&amp;E survival training by Kerr.</t>
  </si>
  <si>
    <t>Keirn</t>
  </si>
  <si>
    <t xml:space="preserve">N-43 Ha Lo - Hanoi Hilton; Xom Ap Lo - Briarpatch; N-53 Cu Loc - Zoo; Luang Lang - Dogpatch; </t>
  </si>
  <si>
    <t xml:space="preserve">Also includes 1 photograph, debrief summary, casualty report, 11 photographs and accompanying documents (includes radio transcription messages or propaganda and letter to Mrs. Keirn), comments on captivity, new articles, returnee press conference, special reports/chronology/personnel known to be alive/deceased, list of individuals to be released by N. Vietnam, audio tape notes, and camp schematics (maps).  </t>
  </si>
  <si>
    <t>09-A-90 F4 Cont.</t>
  </si>
  <si>
    <t>Key</t>
  </si>
  <si>
    <t>Wilson</t>
  </si>
  <si>
    <t>17 Nov 1967 - 4 Mar 1973</t>
  </si>
  <si>
    <t>09-A-91 F1</t>
  </si>
  <si>
    <t>Kientzler</t>
  </si>
  <si>
    <t>27 Jan 1973 - 27 Mar 1973</t>
  </si>
  <si>
    <t>Kirk</t>
  </si>
  <si>
    <t>LT Col, USAF</t>
  </si>
  <si>
    <t>28 Oct 1967 - 14 Mar 1973</t>
  </si>
  <si>
    <t>Fobair, Roscoe H.</t>
  </si>
  <si>
    <t>Also includes debrief abstract, navy debrief messages, and follow-up interview. Second folder has third copy of debrief summary (only one counted). Third folder has Egress recap debriefing form.</t>
  </si>
  <si>
    <t>09-A-91 F2</t>
  </si>
  <si>
    <t>09-A-91 F3</t>
  </si>
  <si>
    <t>N-43 Ha Lo - Hanoi Hilton</t>
  </si>
  <si>
    <t>Also includes debrief abstract, casualty reports, navy debrief messages, personal authenticator, personnel casualty report, and three photographs. Second folder has debrief report on Wilber. Third folder has third copy of debrief summary (only one counted).</t>
  </si>
  <si>
    <t>Hall, Harley H.</t>
  </si>
  <si>
    <t>Kittinger</t>
  </si>
  <si>
    <t>11 May 1972 - 28 Mar 1973</t>
  </si>
  <si>
    <t>09-A-91 F4 Cont.</t>
  </si>
  <si>
    <t>Klomann</t>
  </si>
  <si>
    <t>09-A-91 F5 Cont.</t>
  </si>
  <si>
    <t>Reich, William J.</t>
  </si>
  <si>
    <t>Also includes 1 photograph, debrief summary, casualty reports, special reports/chronology/personnel known to be alive/deceased, audio tape notes, and news article on balloon crossing of the Atlantic.</t>
  </si>
  <si>
    <t>Also includes 1 photograph, casualty report, list of individuals to be released by N. Vietnam, chronology/personnel known to be alive, audio tape notes, and camp schematics.</t>
  </si>
  <si>
    <t xml:space="preserve">Paul, A. Craig; Spencer, Warren R.; Perry, Randolph; Larner, Irvin; Mclaughlin, Arthur;       Stuart, John; Acuri, William U.; Geloneck, Terry M.; Granger, Paul L; Madden, Roy; Martini, Michael R.; </t>
  </si>
  <si>
    <t>Klusmann</t>
  </si>
  <si>
    <t>6 Jun 1964 - 31 Aug 1964</t>
  </si>
  <si>
    <t>09-A-92 F1-F8</t>
  </si>
  <si>
    <t>Kobashigawa</t>
  </si>
  <si>
    <t>Tom</t>
  </si>
  <si>
    <t>5 Feb 1970 - 27 Mar 1973</t>
  </si>
  <si>
    <t>09-A-93 F1</t>
  </si>
  <si>
    <t>Knutson</t>
  </si>
  <si>
    <t>Rodney</t>
  </si>
  <si>
    <t>17 Dec 1965 - 12 Feb 1973</t>
  </si>
  <si>
    <t>Kopfman</t>
  </si>
  <si>
    <t>15 Jun 1966 - 12 Feb 1973</t>
  </si>
  <si>
    <t>Kramer</t>
  </si>
  <si>
    <t>Galand</t>
  </si>
  <si>
    <t xml:space="preserve">Lyon, James M; Hefel, Daniel; Parsels, John W.; </t>
  </si>
  <si>
    <t>Also includes debrief summary, debrief abstract, debrief messages (chronology/personnel known to be alive/deceased), and letter communication.</t>
  </si>
  <si>
    <t xml:space="preserve">Gaither, Ralph; </t>
  </si>
  <si>
    <t>Also includes debrief abstract, navy debrief messages, and at last the story can be told article. Second folder has second copy of debrief summary (not counted).</t>
  </si>
  <si>
    <t>09-A-93 F2</t>
  </si>
  <si>
    <t>09-A-93 F3</t>
  </si>
  <si>
    <t>09-A-93 F4</t>
  </si>
  <si>
    <t>09-A-93 F5</t>
  </si>
  <si>
    <t>17 Jul 1968 - 12 Dec 1968</t>
  </si>
  <si>
    <t>Also includes debrief abstract,  navy debrief messages, and NIS investigation report. Second folder has second copy of debrief summary (not counted).</t>
  </si>
  <si>
    <t>Jayroe, Julius</t>
  </si>
  <si>
    <t>Also includes 1 photograph, debrief summary, casualty reports, officer assignment, chronology/personnel known to be alive/deceased, list of individuals to be released by N. Vietnam, and audio tape notes.</t>
  </si>
  <si>
    <t>Kroboth</t>
  </si>
  <si>
    <t>7 Jul 1972 - 27 Mar 1973</t>
  </si>
  <si>
    <t>1stLT, USMC</t>
  </si>
  <si>
    <t>09-A-93 F6, Cont.</t>
  </si>
  <si>
    <t>Robertson, Leonard</t>
  </si>
  <si>
    <t xml:space="preserve">N-62 Citadel - Plantation; N-43 Ha Lo - Hanoi Hilton; </t>
  </si>
  <si>
    <t>No additional documents.</t>
  </si>
  <si>
    <t>Kula</t>
  </si>
  <si>
    <t>29 Jul 1972 - 29 Mar 1973</t>
  </si>
  <si>
    <t>Counter intelligence team report (extensive but 3rd person). Also includes debrief summary and debrief abstract. Second folder has Operation Homecoming debriefing report case (1972).</t>
  </si>
  <si>
    <t>09-A-93 F7 Cont.</t>
  </si>
  <si>
    <t>Also includes 1 photograph, debrief summary, casualty reports, special reports/chronology, audio tape notes, and debrief tape abstract.</t>
  </si>
  <si>
    <t>Labeau</t>
  </si>
  <si>
    <t>Floyd</t>
  </si>
  <si>
    <t>30 Nov 1967 -16 Mar 1973</t>
  </si>
  <si>
    <t>Kushner</t>
  </si>
  <si>
    <t>09-A-94 F1-F3</t>
  </si>
  <si>
    <t>09-A-94 F4</t>
  </si>
  <si>
    <t>Folder 1: Handwritten debrief notes on liberation camps. Folder 2: debrief summary, chronology report/personnel known to be alive/deceased, press conference transcript (first person), news articles, magazine article on wife, reports on POWs, letters home, and picture of return. Folder 3:Vietnam War US POW Investigative record (only one copy counted).</t>
  </si>
  <si>
    <t>Also includes 1 photograph, debrief summary, casualty reports, special reports/chronology, and audio tape notes.</t>
  </si>
  <si>
    <t>Hudson, Robert M.; Cook, James R.; Vavroch, Duane P.; Morris, Robert J.; Wimbrow, Nutter J.</t>
  </si>
  <si>
    <t>Lamar</t>
  </si>
  <si>
    <t>Lane</t>
  </si>
  <si>
    <t>6 May 1966 - 12 Feb 1973</t>
  </si>
  <si>
    <t xml:space="preserve">Also includes 2 photographs, debrief summary, casualty reports, camp schematics (maps), letters home, therapy for elbow, special reports/chronology/personnel known to be alive/deceased, list of individuals to be released by N. Vietnam, and audio tape notes. </t>
  </si>
  <si>
    <t>09-A-95 F1-F2</t>
  </si>
  <si>
    <t>09-A-95 F3</t>
  </si>
  <si>
    <t>Also includes 1 photograph, debrief summary, casualty reports, special reports/chronology/personnel known to be alive/deceased, audio tape notes, and new article.</t>
  </si>
  <si>
    <t>Cordier, Kenneth W.</t>
  </si>
  <si>
    <t>Lane, Charles Jr.</t>
  </si>
  <si>
    <t>Larson</t>
  </si>
  <si>
    <t>Gordon</t>
  </si>
  <si>
    <t>09-A-96 F1</t>
  </si>
  <si>
    <t>Lasiter</t>
  </si>
  <si>
    <t>5 Feb 1968 - 14 Mar 1973</t>
  </si>
  <si>
    <t>09-A-96 F2</t>
  </si>
  <si>
    <t>Also includes 1 photograph, debrief summary, camp schematics (maps), casualty reports, special reports/chronology, list of individuals to be released by N. Vietnam, audio tape notes, and pilot captured Hanoi radio.</t>
  </si>
  <si>
    <t>Latella</t>
  </si>
  <si>
    <t>6 Oct 1972 - 29 Mar 1973</t>
  </si>
  <si>
    <t>09-A-97 F1</t>
  </si>
  <si>
    <t>Latendresse</t>
  </si>
  <si>
    <t>27 May 1972 - 28 Mar 1973</t>
  </si>
  <si>
    <t>Latham</t>
  </si>
  <si>
    <t>28 Jun 1967 - 4 Mar 1973</t>
  </si>
  <si>
    <t xml:space="preserve">Also includes 1 photograph, debrief summary, casualty reports, officer assignment, 1 photograph, special reports/chronology, and audio tape notes. </t>
  </si>
  <si>
    <t>09-A-97 F2</t>
  </si>
  <si>
    <t>09-A-97 F3</t>
  </si>
  <si>
    <t>09-A-97 F4</t>
  </si>
  <si>
    <t>Bates, Richard L.</t>
  </si>
  <si>
    <t>N-43 Ha Lo - Hanoi Hilton; N-62 Citadel - Plantation;</t>
  </si>
  <si>
    <t xml:space="preserve">Bailey, James W. </t>
  </si>
  <si>
    <t>Lebert</t>
  </si>
  <si>
    <t>LeBlanc</t>
  </si>
  <si>
    <t>Msgt, USAF</t>
  </si>
  <si>
    <t>14 Jan 1968 - 14 Mar 1973</t>
  </si>
  <si>
    <t>09-A-97 F5 Cont.</t>
  </si>
  <si>
    <t>09-A-97 F6 Cont.</t>
  </si>
  <si>
    <t>Lehrman</t>
  </si>
  <si>
    <t>20 May 1968 - 11 Jun 1968</t>
  </si>
  <si>
    <t>Also includes casualty reports, chronology/personnel known to be alive, audio tape notes, and an IIR on captured Americans.</t>
  </si>
  <si>
    <t>09-A-177</t>
  </si>
  <si>
    <t xml:space="preserve">Also includes interview questions and answers. Is combined with Jerry A. Tester's debrief. </t>
  </si>
  <si>
    <t>Lengyel</t>
  </si>
  <si>
    <t xml:space="preserve">Lauren </t>
  </si>
  <si>
    <t>9 Aug 1967 - 14 Mar 1973</t>
  </si>
  <si>
    <t>09-A-98 F1</t>
  </si>
  <si>
    <t>Lenker</t>
  </si>
  <si>
    <t>31 May 1968 - 28 Mar 1973</t>
  </si>
  <si>
    <t xml:space="preserve">Also includes 1 photograph, debrief summary, casualty reports, officer assignment, special reports/chronology/personnel known to be alive/deceased, list of individuals to be released by N. Vietnam, and audio tape notes. </t>
  </si>
  <si>
    <t>Also includes debrief abstract, debrief messages (chronology, personnel known to be alive/deceased), and POW status report.</t>
  </si>
  <si>
    <t>09-A-98 F2</t>
  </si>
  <si>
    <t>09-A-98 F3</t>
  </si>
  <si>
    <t>N-62 Citadel - Plantation; N-43 Ha Lo - Hanoi Hilton;</t>
  </si>
  <si>
    <t>Myers, Glenn L.</t>
  </si>
  <si>
    <t>Lawrence, William P.</t>
  </si>
  <si>
    <t>Lane, Michael C.</t>
  </si>
  <si>
    <t>Lyon, James M; Parsels, John W.; Kobashigawa, Tom Y.</t>
  </si>
  <si>
    <t>Knutson, Rodney A.</t>
  </si>
  <si>
    <t>Jones, Robert C.</t>
  </si>
  <si>
    <t xml:space="preserve">Barrett, Arthur; Murphy, Jones N.; Diamon, Steve; </t>
  </si>
  <si>
    <t xml:space="preserve">Barrett, Arthur; Gotner, Norbert; Diamon, Steve; </t>
  </si>
  <si>
    <t xml:space="preserve">Johnson, Samuel </t>
  </si>
  <si>
    <t>Leopold</t>
  </si>
  <si>
    <t>Stephen</t>
  </si>
  <si>
    <t>Cpt, USA</t>
  </si>
  <si>
    <t>9 May 1968 - 5 Mar 1973</t>
  </si>
  <si>
    <t>09-A-99 F1</t>
  </si>
  <si>
    <t>Lerseth</t>
  </si>
  <si>
    <t>6 Sep 1972 - 12 Feb 1973</t>
  </si>
  <si>
    <t>Lesesne</t>
  </si>
  <si>
    <t>11 Jul 1972 - 29 Mar 1973</t>
  </si>
  <si>
    <t>5 Jan 1968 - 5 Mar 1973</t>
  </si>
  <si>
    <t>09-A-99 F2</t>
  </si>
  <si>
    <t>09-A-99 F3</t>
  </si>
  <si>
    <t>09-A-99 F4</t>
  </si>
  <si>
    <t>09-A-99 F5</t>
  </si>
  <si>
    <t>09-A-99 F6</t>
  </si>
  <si>
    <t>09-A-99 F7</t>
  </si>
  <si>
    <t>Also includes debrief abstract and debrief messages (chronology and personnel known to be alive/deceased).</t>
  </si>
  <si>
    <t>N- 43 Ha Lo - Hanoi Hilton</t>
  </si>
  <si>
    <t>Lindland, Don.</t>
  </si>
  <si>
    <t>Also includes debrief abstract, navy debrief messages, and navy orders. Second folder has second copy of debrief summary (only one counted).</t>
  </si>
  <si>
    <t xml:space="preserve">Gough, James W.; Cusimano, Samuel B.; Condon, James C.; Johnson, Allen; Fryer, Ben L.; </t>
  </si>
  <si>
    <t>Alpers, John H.</t>
  </si>
  <si>
    <t>N-53 Cu Loc - Zoo; N-43 Ha Lo - Hanoi Hilton</t>
  </si>
  <si>
    <t>Also includes 1 photograph, handwritten notes, debrief summary, transcript summary, officer assignment, casualty reports, special reports/chronology, and audio tape notes.</t>
  </si>
  <si>
    <t>Ligon</t>
  </si>
  <si>
    <t>Vernon</t>
  </si>
  <si>
    <t>09-A-100 F1</t>
  </si>
  <si>
    <t xml:space="preserve">Also includes 1 photograph, debrief summary, casualty reports, an IIR, message home, photo analysis, pilot captured, chronology/personnel known to be alive/deceased, list of individuals to be released from N. Vietnam, and audio tape notes. </t>
  </si>
  <si>
    <t>Ford, David E.</t>
  </si>
  <si>
    <t>Lilly</t>
  </si>
  <si>
    <t>Warren</t>
  </si>
  <si>
    <t>Lockhart</t>
  </si>
  <si>
    <t>Hayden</t>
  </si>
  <si>
    <t>2 Mar 1965 - 12 Feb 1973</t>
  </si>
  <si>
    <t>09-A-100 F2</t>
  </si>
  <si>
    <t>09-A-100 F3</t>
  </si>
  <si>
    <t>Also includes 1 photograph, debrief summary, chronology/personnel known to be alive/deceased, list of individuals to be released by N. Vietnam, and audio tape notes.</t>
  </si>
  <si>
    <t xml:space="preserve">Singleton, Jerry A.; Cormier, Arthur; </t>
  </si>
  <si>
    <t>Also includes 1 photograph, debrief summary, casualty reports, photo/film IIRs, personnel known to be alive/deceased, press conference request, list of individuals to be released by N. Vietnam, wife's letter to congress, officer assignment, medical evaluation, audio tape notes, 13 photographs, and a Washington post parade of pilots image.</t>
  </si>
  <si>
    <t>Logan</t>
  </si>
  <si>
    <t>09-A-101 F1</t>
  </si>
  <si>
    <t>Lollar</t>
  </si>
  <si>
    <t>Long</t>
  </si>
  <si>
    <t>12 May 1968 - 16 Mar 1973</t>
  </si>
  <si>
    <t>28 Feb 1969 - 28 Mar 1973</t>
  </si>
  <si>
    <t>Low</t>
  </si>
  <si>
    <t>09-A-101 F2</t>
  </si>
  <si>
    <t>09-A-101 F3</t>
  </si>
  <si>
    <t>09-A-101 F4</t>
  </si>
  <si>
    <t>09-A-101 F5</t>
  </si>
  <si>
    <t xml:space="preserve">Also includes 1 photograph, debrief summary, casualty reports, chronology, radio transcriptions, audio tape notes, and camp schematics (maps). </t>
  </si>
  <si>
    <t>N-43 Ha Lo - Hanoi Hilton; N-53 Cu Loc - Zoo;</t>
  </si>
  <si>
    <t>Elander, William J.</t>
  </si>
  <si>
    <t xml:space="preserve">Craddock, Randall J.; Lockhart, George B.; Kirby, Bobby A.; Darr, Charles E.; Perry, Ronald D. </t>
  </si>
  <si>
    <t>Morrell, Douglas W.</t>
  </si>
  <si>
    <t>Also includes 1 photograph, debrief summary with maps, 1 page summary, debriefing questions, shootdown summary, casualty reports, POW Bright Light reported sightings, an IIR on shootdown, 1 photograph, debriefing of Capt Long, change of status recommendation, and Audio tape notes.</t>
  </si>
  <si>
    <t>16 Dec 1967 - 4 Aug 1968</t>
  </si>
  <si>
    <t>Also includes 1 photograph, debriefing team activities (includes Thompson and Carpenter), casualty status report, POW identification and status, casualty reports, and Low's conviction of being followed and threatening letter.</t>
  </si>
  <si>
    <t>09-A-102 F1-F4</t>
  </si>
  <si>
    <t>Folder 1 includes OSI Counterintelligence debriefing. Folder 2 has data folder: Major James F. Low. Folder 3 has release documents on Low, Thompson, and Carpenter. Folder 4 has IIRs.</t>
  </si>
  <si>
    <t>Luna</t>
  </si>
  <si>
    <t>09-A-102 F5</t>
  </si>
  <si>
    <t>Lurie</t>
  </si>
  <si>
    <t>13 Jun 1966 - 12 Feb 1973</t>
  </si>
  <si>
    <t>MacPhail</t>
  </si>
  <si>
    <t>Don</t>
  </si>
  <si>
    <t>8 Feb 1969 - 16 Mar 1973</t>
  </si>
  <si>
    <t>09-A-102 F6</t>
  </si>
  <si>
    <t>09-A-102 F7</t>
  </si>
  <si>
    <t>Everson, David.</t>
  </si>
  <si>
    <t xml:space="preserve">N-62 Citadel - Plantation; </t>
  </si>
  <si>
    <t>Also includes debrief abstract, debrief messages (personnel known to be alive/deceased, chronology), POW interview,  radio messages, reports information on, letter home through Ramsey Clark, and A POW in VC Valley article.</t>
  </si>
  <si>
    <t>Madden</t>
  </si>
  <si>
    <t>Roy</t>
  </si>
  <si>
    <t>09-A-103 F1</t>
  </si>
  <si>
    <t xml:space="preserve">                                                                                                                                                                                                                                                                                                                                                                                                                                                                                       4/3/1973</t>
  </si>
  <si>
    <t>N-43 Ha Lo - Hanoi Hilton;</t>
  </si>
  <si>
    <t>Also includes debrief summary, biological data, casualty reports, tracking of enlisted personnel, chronology/personnel known to be alive, list of individuals to be released by N. Vietnam, audio tape notes, and camp schematics  (map).</t>
  </si>
  <si>
    <t>Madison</t>
  </si>
  <si>
    <t>19 Apr 1967 - 4 Mar 1973</t>
  </si>
  <si>
    <t>Makowski</t>
  </si>
  <si>
    <t>6 Oct 1966 - 4 Mar 1973</t>
  </si>
  <si>
    <t>Marshall</t>
  </si>
  <si>
    <t>Marion</t>
  </si>
  <si>
    <t>27 Jul 1972 - 29 Mar 1973</t>
  </si>
  <si>
    <t>Malo</t>
  </si>
  <si>
    <t>Isaako</t>
  </si>
  <si>
    <t>25 Apr 1971 - 26 Mar 1973</t>
  </si>
  <si>
    <t>09-A-103 F2</t>
  </si>
  <si>
    <t>09-A-103 F3</t>
  </si>
  <si>
    <t>09-A-103 F4</t>
  </si>
  <si>
    <t>09-A-103 F5</t>
  </si>
  <si>
    <t>Also includes 1 photograph, debrief summary, casualty reports, an IIR, 2 photographs, visit with mrs Madison, special report/personnel known to be alive/deceased, list of individuals to be released by N. Vietnam, and audio tape notes.</t>
  </si>
  <si>
    <t>Sterling, Tom.</t>
  </si>
  <si>
    <t>Also includes 1 photograph, debrief summary, chronology/personnel known to be deceased, list of individuals to be released by N. Vietnam, and audio tape notes.</t>
  </si>
  <si>
    <t xml:space="preserve">N-43 Ha  Lo - Hanoi Hilton; N-53 Cu Loc - Zoo; </t>
  </si>
  <si>
    <t>Also includes 1 photograph, debrief summary, record number 18, casualty reports, alleged message, special reports/personnel known to be alive/deceased, and audio tape notes.</t>
  </si>
  <si>
    <t>2 Mar 1968 - 14 Apr 1968</t>
  </si>
  <si>
    <t>09-A-104 F1</t>
  </si>
  <si>
    <t>9 Jul 1967 - 4 Mar 1973</t>
  </si>
  <si>
    <t>Martini</t>
  </si>
  <si>
    <t>Marvel</t>
  </si>
  <si>
    <t>Maslowski</t>
  </si>
  <si>
    <t>W1,USA</t>
  </si>
  <si>
    <t>Masterson</t>
  </si>
  <si>
    <t>Mastin</t>
  </si>
  <si>
    <t>09-A-104 F2</t>
  </si>
  <si>
    <t>09-A-104 F3</t>
  </si>
  <si>
    <t>09-A-104 F4</t>
  </si>
  <si>
    <t>09-A-104 F5</t>
  </si>
  <si>
    <t>09-A-104 F6</t>
  </si>
  <si>
    <t>09-A-104 F7</t>
  </si>
  <si>
    <t>N-43 Ha Lo - Hanoi Hilton; N-53 Cu Loc - Zoo; N-62 Citadel - Plantation;</t>
  </si>
  <si>
    <t xml:space="preserve">Also includes debrief abstract, navy debrief messages, and news article. Second folder has second copy of debrief summary. </t>
  </si>
  <si>
    <t>Paul, A. Craig; Spencer, Warren R.; Perry, Randolph; Larner, Irvin; Mclaughlin, Arthur;       Stuart, John; Acuri, William U.; Geloneck, Terry M.; Granger, Paul L; Madden, Roy; Klomann, Thomas.</t>
  </si>
  <si>
    <t>N-43 Ha Lo - Hanoi Hilton; N-53 Cu Loc - Zoo.</t>
  </si>
  <si>
    <t>Also includes 1 photograph, debrief summary, analysis approved list, casualty reports, Craig Paul letters and excerpt, chronology/personnel known to be alive/deceased, audio tape notes, and camp schematics (maps).</t>
  </si>
  <si>
    <t>Intel debrief report/Summary</t>
  </si>
  <si>
    <t>Also includes maps in the intel debrief, debrief summary, and debrief abstract.</t>
  </si>
  <si>
    <t>Also includes debrief abstract, and debrief messages (chronology/personnel known to be alive/deceased).</t>
  </si>
  <si>
    <t>Randall, Robert I.</t>
  </si>
  <si>
    <t>Also includes 1 photograph, casualty reports, special report/chronology/personnel known to be deceased, and list of individuals to be released by N. Vietnam.</t>
  </si>
  <si>
    <t>Storey, Thomas G.</t>
  </si>
  <si>
    <t>Matheny</t>
  </si>
  <si>
    <t>5 Oct 1967 - 16 Feb 1968</t>
  </si>
  <si>
    <t>09-A-105 F1-F2</t>
  </si>
  <si>
    <t>Melvin</t>
  </si>
  <si>
    <t>09-A-105 F3</t>
  </si>
  <si>
    <t>Mayall</t>
  </si>
  <si>
    <t>Mayhew</t>
  </si>
  <si>
    <t>17 Aug 1968 - 14 Mar 1973</t>
  </si>
  <si>
    <t>09-A-106 F1</t>
  </si>
  <si>
    <t>McClure</t>
  </si>
  <si>
    <t>24 Nov 1963 - 28 Nov 1965</t>
  </si>
  <si>
    <t>09-A-106 F2</t>
  </si>
  <si>
    <t>09-A-106 F3</t>
  </si>
  <si>
    <t xml:space="preserve">Also includes 1 photograph, debrief summary, casualty reports, debriefing requirements, chronology report, and audio tape notes. </t>
  </si>
  <si>
    <t>Yuill, John H.; Morgan, Gary L.; Drummond, David I.; Conlee, William W.; Bernasconi, Louis H.</t>
  </si>
  <si>
    <t>N-43 Ha Lo - Hanoi Hilton; N-62 Citadel - Plantation; N-53 Cu Loc - Zoo;</t>
  </si>
  <si>
    <t>Gartley, Mark.</t>
  </si>
  <si>
    <t xml:space="preserve">Also includes debrief abstract, navy debrief messages, and NIS investigation report. Second folder has second copy of debrief summary. Third folder Egree recap debriefing form. </t>
  </si>
  <si>
    <t>Only contains summary. But additional documentation on McClure and Smith together is in 09-A-177.</t>
  </si>
  <si>
    <t>McCain</t>
  </si>
  <si>
    <t>8 May 1967 - 4 Mar 1973</t>
  </si>
  <si>
    <t>09-A-107 F1</t>
  </si>
  <si>
    <t>McCullough</t>
  </si>
  <si>
    <t>McDaniel</t>
  </si>
  <si>
    <t>20 Jul 1966 - 12 Feb 1973</t>
  </si>
  <si>
    <t>McDow</t>
  </si>
  <si>
    <t>09-A-107 F2</t>
  </si>
  <si>
    <t>09-A-107 F3-F4</t>
  </si>
  <si>
    <t>09-A-107 F5</t>
  </si>
  <si>
    <t>09-A-107 F6</t>
  </si>
  <si>
    <t>Also includes debrief messages, and an IIR.</t>
  </si>
  <si>
    <t xml:space="preserve">Patterson, James K. </t>
  </si>
  <si>
    <t xml:space="preserve">N-43 Ha Lo - Hanoi Hilton; N-53 Cu Loc - Zoo </t>
  </si>
  <si>
    <t>Also includes 1 photograph, casualty reports, special reports/chronology/personnel known to be alive/deceased, list of individuals to be released by N. Vietnam, audio  tape notes, radio transcripts, IIRs, and news articles.</t>
  </si>
  <si>
    <t>Means, William H.; Barbay, Lawrence.; Hubbard, Edwin L.; Perkins, Glendon W.; Norbert, Craig R.</t>
  </si>
  <si>
    <t>Means, William H.; McDaniel, Norman A.; Hubbard, Edwin L.; Perkins, Glendon W.; Norbert, Craig R.</t>
  </si>
  <si>
    <t xml:space="preserve">Also includes 1 photograph, debrief summary, casualty reports, alleged messages, special report/chronology/personnel known to be alive, and audio tape notes. </t>
  </si>
  <si>
    <t>McGrath</t>
  </si>
  <si>
    <t>30 Jul 1967 - 4 Mar 1973</t>
  </si>
  <si>
    <t>09-A-108 F1</t>
  </si>
  <si>
    <t>McKamey</t>
  </si>
  <si>
    <t>2 Jun 1965 - 12 Feb 1973</t>
  </si>
  <si>
    <t>Mcknight</t>
  </si>
  <si>
    <t>09-A-108 F2</t>
  </si>
  <si>
    <t>09-A-108 F3</t>
  </si>
  <si>
    <t>Smith, George E.; Camacho, Issac; Roraback, Kenneth; Rowe, James N.; Versace, Humberto R.; Pitzer, Daniel L.</t>
  </si>
  <si>
    <t>Smith, George E.; McClure, Claude D.; Roraback, Kenneth; Rowe, James N.; Versace, Humberto R.; Pitzer, Daniel L.</t>
  </si>
  <si>
    <t>Matsui</t>
  </si>
  <si>
    <t>Matsui, Melvin.</t>
  </si>
  <si>
    <t>Kula, James D.</t>
  </si>
  <si>
    <t>Cuthbert, Stephen</t>
  </si>
  <si>
    <t>Rippey, George D.</t>
  </si>
  <si>
    <t>Paul, A. Craig; Spencer, Warren R.; Perry, Randolph; Larner, Irvin; Mclaughlin, Arthur;       Stuart, John; Acuri, William U.; Geloneck, Terry M.; Granger, Paul L; Martini, Michael; Klomann, Thomas.</t>
  </si>
  <si>
    <t>Griffin, James L.; Pyle, Darrell;</t>
  </si>
  <si>
    <t>Clark, Richard C.; Gillespie, Charles C.; Frishmann, Robert.</t>
  </si>
  <si>
    <t>Also includes debrief abstract and navy debrief messages. Second folder has second copy of debrief summary (not counted).</t>
  </si>
  <si>
    <t>Verbatim is tape 4 through 10 (missing 1-3). Also includes debrief summary, notes on May 1997 visit, and navy debrief messages. Second folder has second copy of debrief summary (not counted).</t>
  </si>
  <si>
    <t xml:space="preserve">N-43 Ha Lo - Hanoi Hilton; N-53 Cu Loc - Zoo; Xom Ap Lo - Briarpatch; Thermal Power Plant - Dirty Bird; </t>
  </si>
  <si>
    <t>Also includes 1 photograph, debrief summary, casualty reports, special reports/chronology/personnel known to be alive/deceased, list of individuals to be released by N. Vietnam, and audio tape notes.</t>
  </si>
  <si>
    <t>McManus</t>
  </si>
  <si>
    <t>14 Jun 1967 - 18 Feb 1973</t>
  </si>
  <si>
    <t>09-A-109 F1</t>
  </si>
  <si>
    <t>McMillan</t>
  </si>
  <si>
    <t>Isiah</t>
  </si>
  <si>
    <t>11 Mar 1986 - 16 Mar 1973</t>
  </si>
  <si>
    <t>McMurray</t>
  </si>
  <si>
    <t>Cordine</t>
  </si>
  <si>
    <t>12 Sep 1972 - 29 Mar 1973</t>
  </si>
  <si>
    <t>09-A-109 F2</t>
  </si>
  <si>
    <t>09-A-109 F3</t>
  </si>
  <si>
    <t>09-A-109 F4</t>
  </si>
  <si>
    <t>Also includes 1 photograph, debrief summary, casualty reports, officer assignment, transmittal slip, special reports/chronology/personnel known to be alive/deceased, list of individuals to be released by N. Vietnam, and audio tape notes.</t>
  </si>
  <si>
    <t>Mechenbier, Edward J.</t>
  </si>
  <si>
    <t>Also includes letter home, debrief messages (chronology/personnel known to be alive/deceased), debrief abstract, and reports information on other POWs.</t>
  </si>
  <si>
    <t>Also includes debrief abstract and debrief messages (personnel known to be alive/deceased).</t>
  </si>
  <si>
    <t>Also includes 1 photograph, debrief summary (inside verbatim), casualty reports, audio tape notes, special report/chronology/personnel known to be alive, and camp schematics (maps).</t>
  </si>
  <si>
    <t>Zuberbuhler, Rudolph U.</t>
  </si>
  <si>
    <t>McMurry</t>
  </si>
  <si>
    <t>09-A-110 F1</t>
  </si>
  <si>
    <t>McNish</t>
  </si>
  <si>
    <t>McSwain</t>
  </si>
  <si>
    <t>28 Jul 1966 - 4 Mar 1973</t>
  </si>
  <si>
    <t>Means</t>
  </si>
  <si>
    <t>09-A-110 F2</t>
  </si>
  <si>
    <t>09-A-110 F3</t>
  </si>
  <si>
    <t>09-A-110 F4</t>
  </si>
  <si>
    <t xml:space="preserve">Also includes debrief abstract, debrief messages (chronology/personnel known to be alive), and reports on other POWs. </t>
  </si>
  <si>
    <t>N-43 Ha Lo - Hanoi Hilton; Dan Hoi - Camp Faith; Luang Lang - Dogpatch;</t>
  </si>
  <si>
    <t xml:space="preserve">Also includes 1 photograph, debrief summary, chronology/personnel known to be alive/deceased, list of individuals to be released by N. Vietnam, casualty reports, identification of POW letter, and audio tape notes. </t>
  </si>
  <si>
    <t>McDaniel, Norman A.; Barbay, Lawrence.; Hubbard, Edwin L.; Perkins, Glendon W.; Norbert, Craig R.</t>
  </si>
  <si>
    <t>Mechenbier</t>
  </si>
  <si>
    <t>09-A-111 F1</t>
  </si>
  <si>
    <t>Mecleary</t>
  </si>
  <si>
    <t>Read</t>
  </si>
  <si>
    <t>26 May 1967 - 4 Mar 1973</t>
  </si>
  <si>
    <t>09-A-111 F2</t>
  </si>
  <si>
    <t>McManus, Kevin J.</t>
  </si>
  <si>
    <t xml:space="preserve">Also includes 1 photograph, debrief summary, casualty reports, special reports/chronology/personnel known to be alive/deceased, list of individuals to be released by N. Vietnam, audio tape notes, letter from wife to Col Jarvis, 3 photographs of news conference, and camp schematics (maps). </t>
  </si>
  <si>
    <t>N-43 Ha Lo - Hanoi Hilton; Thermal Power Plant - Dirty Bird; N-62 Citadel - Plantation; N-53 Cu Loc - Zoo; N-84 Dan Hoi - Camp Faith; Luang Lang - Dogpatch</t>
  </si>
  <si>
    <t>N-43 Ha Lo - Hanoi Hilton; N-53 Cu Loc - Zoo; N-84 Dan Hoi - Camp Faith</t>
  </si>
  <si>
    <t>N-43 Ha Lo - Hanoi Hilton; N-53 Cu Loc - Zoo; N-84 Dan Hoi - Camp Faith; Luang Lang - Dogpatch;</t>
  </si>
  <si>
    <t>N-43 Ha Lo - Hanoi Hilton; N-62 Citadel - Plantation;
Son Tay - Camp Hope; N-84 Dan Hoi - Camp Faith; Luang Lang - Dogpatch</t>
  </si>
  <si>
    <t>N-43 Ha Lo - Hanoi Hilton; N-53 Cu Loc - Zoo; N-84 Dan Hoi - Camp Faith; Luang Lang - Dogpatch</t>
  </si>
  <si>
    <t>N-43 Ha Lo - Hanoi Hilton; N-53 Cu Loc - Zoo; N-84 Dan Hoi - Camp Faith; Luang Lang - Dogpatch; N-62 Citadel - Plantation</t>
  </si>
  <si>
    <t>N-43 Ha Lo - Hanoi Hilton; Xom Ap Lo - Briarpatch; N-53 Cu Loc - Zoo; N-84 Dan Hoi - Camp Faith; Luang Lang - Dogpatch</t>
  </si>
  <si>
    <t>N-43 Ha Lo - Hanoi Hilton; N-62 Citadel - Plantation; Luang Lang - Dogpatch; N-84 Dan Hoi - Camp Faith; Son Tay - Camp Hope;</t>
  </si>
  <si>
    <t>N-43 Ha Lo - Hanoi Hilton; N-53 Cu Loc - Zoo; Xom Ap Lo - Briarpatch; N-84 Dan Hoi - Camp Faith</t>
  </si>
  <si>
    <t xml:space="preserve">N-43 Ha Lo - Hanoi Hilton; N-53 Cu Loc - Zoo; N-84 Dan Hoi - Camp Faith; </t>
  </si>
  <si>
    <t>N-43 Ha Lo - Hanoi Hilton; N-53 Cu Loc - Zoo; N-84 Dan Hoi - Camp Faith; Laung Lang - Dogpatch; N-62 Citadel - Plantation;</t>
  </si>
  <si>
    <t>N-43 Ha Lo- Hanoi Hilton; N-62 Citadel - Plantation; N-84 Dan Hoi - Camp Faith; N-53 Cu Loc - Zoo; Luang Lang - Dogpatch</t>
  </si>
  <si>
    <t xml:space="preserve">N-43 Ha Lo - Hanoi Hilton; N-84 Dan Hoi - Camp Faith; N-53 Cu Loc - Zoo; Luang Lang - Dogpatch; </t>
  </si>
  <si>
    <t>N-43 Ha Lo- Hanoi Hilton; Xom Ap Lo - Briarpatch; N-53 Cu Loc - Zoo; N-84 Dan Hoi - Camp Faith; Luang Lang - Dogpatch;</t>
  </si>
  <si>
    <t>N-43 Ha Lo - Hanoi Hilton; Son Tay - Camp Hope; N-84 Dan Hoi - Camp Faith</t>
  </si>
  <si>
    <t>N-43 Ha Lo - Hanoi Hilton; N-53 Cu Loc - Zoo; Son Tay - Camp Hope; N-84 Dan Hoi - Camp Faith</t>
  </si>
  <si>
    <t xml:space="preserve">N-43 Ha Lo - Hanoi Hilton; N-62 Citadel -  Plantation; N-84 Dan Hoi - Camp Faith; </t>
  </si>
  <si>
    <t>N-53 Cu Loc - Zoo; N-43 Ha Lo - Hanoi Hilton; Son Tay - Camp Hope; N-84 Dan Hoi - Camp Faith; Luang Lang - Dogpatch</t>
  </si>
  <si>
    <t>N-43 Ha Lo - Hanoi Hilton; N-62 Citadel - Plantation; N-53 Cu Loc - Zoo; N-84 Dan Hoi - Camp Faith; Luang Lang - Dogpatch</t>
  </si>
  <si>
    <t>N-43 Ha Lo - Hanoi Hilton; N-53 Cu Loc - Zoo; N-84 Dan Hoi - Camp Faith;</t>
  </si>
  <si>
    <t>N-43 Ha Lo - Hanoi Hilton; N-53 Cu Loc - Zoo; N-84 Dan Hoi - Camp Faith; Luang Lang - Dogpatch; N-62 Citadel - Plantation;</t>
  </si>
  <si>
    <t>N-43 Ha Lo - Hanoi Hilton; Xom Ap Lo - Briarpatch; N-53 Cu Loc - Zoo; N-84 Dan Hoi - Camp Faith;</t>
  </si>
  <si>
    <t xml:space="preserve">N- 43 Ha Lo - Hanoi Hilton; Thermal Power Plant - Dirty Bird; N-62 Citadel - Plantation; N-62 Cu Loc - Zoo; N-84 Dan Hoi - Camp Faith; </t>
  </si>
  <si>
    <t>N-43 Ha Lo - Hanoi Hilton; Thermal Power Plant - Dirty Bird; N-62 Citadel - Plantation; N-53 Cu Loc - Zoo; Luang Lang - Dogpatch</t>
  </si>
  <si>
    <t>Mehl</t>
  </si>
  <si>
    <t>30 May 1967 - 4 Mar 1973</t>
  </si>
  <si>
    <t>09-A-111 F3 Cont.</t>
  </si>
  <si>
    <t>Mehrer</t>
  </si>
  <si>
    <t>25 Dec 1968 - 16 mar 1973</t>
  </si>
  <si>
    <t>09-A-112 F1</t>
  </si>
  <si>
    <t>Merritt</t>
  </si>
  <si>
    <t>16 Sep 1965 - 12 Feb 1973</t>
  </si>
  <si>
    <t>Metzger</t>
  </si>
  <si>
    <t>Alton</t>
  </si>
  <si>
    <t>26 Apr 1967 - 4 Mar 1973</t>
  </si>
  <si>
    <t>Also includes casualty report, POW status, debrief abstract, army debrief messages (chronology/personnel known to be alive/deceased), and report on other POWs.</t>
  </si>
  <si>
    <t>Also includes 1 photograph, debrief summary, casualty reports, photo identification with photograph, 3 IIRs, alleged message/letter, chronology report/personnel known to be alive/deceased, list of individuals to be released by N. Vietnam, audio tape notes, Dogpatch sketch and facilities description, and camp schematics (maps).</t>
  </si>
  <si>
    <t>09-A-112 F2</t>
  </si>
  <si>
    <t>09-A-112 F3</t>
  </si>
  <si>
    <t>09-A-112 F4</t>
  </si>
  <si>
    <t>Edison</t>
  </si>
  <si>
    <t>Lt Col, USMC</t>
  </si>
  <si>
    <t>13 Oct 1967 - 12 Feb 1973</t>
  </si>
  <si>
    <t>09-A-113 F1</t>
  </si>
  <si>
    <t>22 May 1968 - 14 Mar 1973</t>
  </si>
  <si>
    <t>09-A-113 F2</t>
  </si>
  <si>
    <t xml:space="preserve">Warner, James H. </t>
  </si>
  <si>
    <t>N-43 Ha Lo - Hanoi Hilton; N-62 Citadel - Plantation; N-53 Cu Loc - Zoo; Luang Lang - Dogpatch</t>
  </si>
  <si>
    <t>Also includes debrief summary, notes/memos on visit in 1996, article on slander suit, alleged broadcasts/messages, Excerpt on Miller from the book P.O.W. by Hubbell, notes on broadcasts/videos, Philadelphia Inquirer article 1970, and NIS investigation report. Second folder has first half of debrief transcript. Third folder has second half of debrief transcript. Fourth folder has summary of significant findings 1971-1972.</t>
  </si>
  <si>
    <t>Also includes 3 photographs, debrief abstract, casualty reports, biographical data, ONI 53-1A prisoner, an IIR, navy debrief messages (missing part of message 4), aircraft loss report (personal authenticator/personnel casualty report/preliminary message/daily statistical data), POW status reports, NIS investigation report, and prisoner of war debriefing intelligence report. Second folder has egress recap debriefing form. Third folder has second copy of debrief summary (only one counted). Fourth folder as homecoming message on James Williamson.</t>
  </si>
  <si>
    <t>15 Apr 1970 - 5 Mar 1973</t>
  </si>
  <si>
    <t>09-A-113 F3 Cont.</t>
  </si>
  <si>
    <t>09-A-113 F4 Cont.</t>
  </si>
  <si>
    <t>Milligan</t>
  </si>
  <si>
    <t>20 May 1967 - 18 Feb 1973</t>
  </si>
  <si>
    <t xml:space="preserve">Also includes debrief abstract and army debrief messages (personnel known to be alive/deceased/chronology report). </t>
  </si>
  <si>
    <t>Does not include debrief summary typical of army debriefs but there is a note that Major Gostas became disoriented and subject to fantasy during debriefing so they may not have finished his debrief. Includes personnel known to be alive/deceased reports, chronology reports, handwritten debrief notes on each camp, handwritten notes on status during debrief, timeline of captivity, and schematics (maps) of camps, and special debriefing report.</t>
  </si>
  <si>
    <t>09-A-69 F5</t>
  </si>
  <si>
    <t>Debriefing was done in RVN. Includes memo on review of intelligence debriefing files, data of release, preliminary data, biographical data, and PW chronology.</t>
  </si>
  <si>
    <t>Includes debrief messages, recap of captivity, release of army personnel detained in Cambodia, article about release, and an intelligence evaluation report.</t>
  </si>
  <si>
    <t>Mobley</t>
  </si>
  <si>
    <t>24 Jun 1968 - 14 Mar 1973</t>
  </si>
  <si>
    <t>09-A-114 F1</t>
  </si>
  <si>
    <t>Moe</t>
  </si>
  <si>
    <t>16 Jan 1968 - 14 Mar 1973</t>
  </si>
  <si>
    <t>09-A-114 F2</t>
  </si>
  <si>
    <t>Molinare</t>
  </si>
  <si>
    <t>27 Apr 1972 - 28 Mar 1973</t>
  </si>
  <si>
    <t>Monlux</t>
  </si>
  <si>
    <t>09-A-114 F3</t>
  </si>
  <si>
    <t>09-A-114 F4</t>
  </si>
  <si>
    <t>Also includes debrief abstract, casualty report, particular information on LT Mobley, navy debrief messages, Bupers orders, NIS investigation report, and Virginia Pilot article. Second folder has an additional copy of debrief summary (only one counted).</t>
  </si>
  <si>
    <t>Carpenter, Nicholas.</t>
  </si>
  <si>
    <t>Also includes debrief summary, casualty reports, special reports/chronology/personnel known to be alive/deceased, list of individuals to be released by N. Vietnam, and audio tape notes.</t>
  </si>
  <si>
    <t>N-43 Ha Lo - Hanoi Hilton; N-62 Citadel - Plantation; Son Tay - Camp HopeN-84 Dan Hoi - Camp Faith; Luang Lang - Dogpatch;</t>
  </si>
  <si>
    <t>Stovin, Scott B.</t>
  </si>
  <si>
    <t>Sounder, James B.</t>
  </si>
  <si>
    <t>Also includes 1 photograph, debrief summary, casualty reports, wife's visit to Paris, special reports/chronology, list of individuals to be released by N. Vietnam, and audio tape notes.</t>
  </si>
  <si>
    <t>Biss, Robert I.</t>
  </si>
  <si>
    <t>Monlux, Harold D.</t>
  </si>
  <si>
    <t>Montague</t>
  </si>
  <si>
    <t>09-A-115 F1</t>
  </si>
  <si>
    <t>Moore</t>
  </si>
  <si>
    <t>Dennis</t>
  </si>
  <si>
    <t>27 Oct 1965 - 12 Feb 1973</t>
  </si>
  <si>
    <t>Morgan</t>
  </si>
  <si>
    <t>Debriefing report includes schematics. Also includes affidavit on peace committee and debrief abstract.</t>
  </si>
  <si>
    <t xml:space="preserve">Archer, Bruce R; </t>
  </si>
  <si>
    <t>Montague, Paul J.</t>
  </si>
  <si>
    <t>N-43 Ha Lo - Hanoi Hilton; N-53 Cu Loc - Zoo; Xom Ap Lo - Briarpatch; Thermal Power Plant - Dirty Bird; Son Tay - Camp Hope; N-84 Dan Hoi - Camp Faith;</t>
  </si>
  <si>
    <t xml:space="preserve">Also includes debrief summary and navy debrief reports. </t>
  </si>
  <si>
    <t>Also includes debriefing summary, casualty reports, chronology/personnel known to be alive, and audio tape notes.</t>
  </si>
  <si>
    <t>Herschel</t>
  </si>
  <si>
    <t>3 Apr 1965 - 12 Feb 1973</t>
  </si>
  <si>
    <t>Also includes 1 photograph, debrief summary, casualty reports, special report/chronology/personnel known to be alive/deceased, list of individuals to be released by N. Vietnam (one page missing), and audio tape notes.</t>
  </si>
  <si>
    <t>09-A-115 F2</t>
  </si>
  <si>
    <t>09-A-115 F3</t>
  </si>
  <si>
    <t>09-A-115 F4</t>
  </si>
  <si>
    <t>09-A-115 F5</t>
  </si>
  <si>
    <t>09-A-115 F6</t>
  </si>
  <si>
    <t>Mott</t>
  </si>
  <si>
    <t>19 May 1972 - 27 Mar 1973</t>
  </si>
  <si>
    <t xml:space="preserve">Thomas, William E. </t>
  </si>
  <si>
    <t>Mullen</t>
  </si>
  <si>
    <t>6 Jan 1967 - 4 Mar 1973</t>
  </si>
  <si>
    <t>09-A-116 F1</t>
  </si>
  <si>
    <t>Mulligan</t>
  </si>
  <si>
    <t>20 Mar 1966 - 12 Feb 1973</t>
  </si>
  <si>
    <t>8 Jun 1972 - 27 Mar 1973</t>
  </si>
  <si>
    <t>09-A-116 F2-3</t>
  </si>
  <si>
    <t xml:space="preserve">N-43 Ha Lo - Hanoi Hilton; N-53 Cu Loc - Zoo; N-84 Dan Hoi - Camp Faith </t>
  </si>
  <si>
    <t>09-A-116 F4-5 Cont.</t>
  </si>
  <si>
    <t xml:space="preserve">Myers </t>
  </si>
  <si>
    <t>Armand</t>
  </si>
  <si>
    <t>09-A-116 F6</t>
  </si>
  <si>
    <t>Folder 1 includes debrief, 1 photograph, debrief summary, casualty reports, chronology report, audio tape notes, and Sketches of camps referenced in confinement chronology. Folder 2 includes Casualty affairs file and news articles.</t>
  </si>
  <si>
    <t xml:space="preserve">Includes 1 photograph, debrief summary, casualty reports, special reports/chronology/personnel known to be alive/described, list of individuals to be released by N. Vietnam, and audio tape notes. </t>
  </si>
  <si>
    <t>9 Aug 1967 - 29 Mar 1973</t>
  </si>
  <si>
    <t>09-A-117 F1</t>
  </si>
  <si>
    <t>Nagahiro</t>
  </si>
  <si>
    <t>Nakagawa</t>
  </si>
  <si>
    <t>Nasmyth</t>
  </si>
  <si>
    <t>4 Sep 1966 - 18 Feb 1973</t>
  </si>
  <si>
    <t>09-A-117 F2</t>
  </si>
  <si>
    <t>09-A-117 F3</t>
  </si>
  <si>
    <t>09-A-117 F4</t>
  </si>
  <si>
    <t>N-43 Ha Lo - Hanoi Hilton; N- 53 Cu Loc - Zoo; N-84 Dan Hoi - Camp Faith; Luang Lang - Dogpatch N-62 Citadel - Plantation</t>
  </si>
  <si>
    <t>Lengyel, Lauren R.</t>
  </si>
  <si>
    <t>Also includes 1 photograph, debrief summary, casualty reports, officer assignment, AF returnees, special reports/chronology/personnel known to be deceased, audio tape notes, camp schematics, and release of debriefing information.</t>
  </si>
  <si>
    <t>Walters, Donovan K.;  Beens, Lynn R; Johnson, Edward; Lynn, Robert R.; Bebus, Charles J.; Heggen, Keith R.;</t>
  </si>
  <si>
    <t>Higdon, Kenneth.</t>
  </si>
  <si>
    <t>Also includes 3 photographs, debrief abstract, casualty reports, project homecoming last mission data, captivity outline, navy debrief messages, and aircraft loss reports (bright light report/personal authenticator/personnel casualty report/preliminary message). Second folder has second copy of debrief summary (only one counted).</t>
  </si>
  <si>
    <t xml:space="preserve">N- 43 Ha Lo - Hanoi Hilton; N-53 Cu Loc - Zoo; Luang Lang - Dogpatch; </t>
  </si>
  <si>
    <t>Salzarulo, Raymond P.</t>
  </si>
  <si>
    <t>Also includes 1 photograph, debrief summary (with schematics), debrief abstract, casualty reports, mother and sister's trip to SEA, Protestant Christmas Service 1969, chronology/personnel known to be alive/deceased, list of individuals to be released by N. Vietnam, and audio tape notes.</t>
  </si>
  <si>
    <t>Naughton</t>
  </si>
  <si>
    <t>18 May 1967 - 4 Mar 1973</t>
  </si>
  <si>
    <t>09-A-118 F1</t>
  </si>
  <si>
    <t>Steven</t>
  </si>
  <si>
    <t>7 Jan 1968 - 21 Jan 1968</t>
  </si>
  <si>
    <t>Neco-Quinones</t>
  </si>
  <si>
    <t>Felix</t>
  </si>
  <si>
    <t>16 Jul 1968 - 12 Feb 1973</t>
  </si>
  <si>
    <t>Newell</t>
  </si>
  <si>
    <t>Stanley</t>
  </si>
  <si>
    <t>12 Aug 1966 - 4 Mar 1973</t>
  </si>
  <si>
    <t>09-A-118 F2</t>
  </si>
  <si>
    <t>09-A-118 F3</t>
  </si>
  <si>
    <t>09-A-118 F4</t>
  </si>
  <si>
    <t>09-A-118 F5</t>
  </si>
  <si>
    <t>N-43 Ha Lo - Hanoi Hilton; Son Tay - Camp Hope; N-53 Cu Loc - Zoo; N-84 Dan Hoi - Camp Faith; Luang Lang - Dogpatch;</t>
  </si>
  <si>
    <t>Also includes Follow-up interview, debrief abstract, navy debrief messages, and personnel known to be alive/deceased report. Second folder has second copy of debrief summary (only one counted). Third folder has Egress recap debriefing form.</t>
  </si>
  <si>
    <t xml:space="preserve">Escaped after 14 days with Roha. </t>
  </si>
  <si>
    <t>Also includes army debrief messages (chronology/personnel known to be alive/deceased).</t>
  </si>
  <si>
    <t>Neuens</t>
  </si>
  <si>
    <t>N-43 Ha Lo - Hanoi Hilton; N-53 Cu Loc - Zoo; N-84 Dan Hoi - Camp Faith; Luang Lang  - Dogpatch;</t>
  </si>
  <si>
    <t>Newcomb</t>
  </si>
  <si>
    <t>Wallace</t>
  </si>
  <si>
    <t>3 Aug 1967 - 15 Mar 1973</t>
  </si>
  <si>
    <t>09-A-118 F6 Cont.</t>
  </si>
  <si>
    <t>N-43 Ha Lo - Hanoi Hilton; N-53 Cu Loc - Zoo; N-84 Dan Hoi - Camp Faith; Luang Lang  - Dogpatch; N-62 Citadel - Plantation</t>
  </si>
  <si>
    <t>Also includes 1 photograph, debrief summary, casualty reports, an IIR, father's information, MIA message to parents, special reports/chronology/personnel known to be deceased, list of individuals to be released by N. Vietnam, and audio tape notes.</t>
  </si>
  <si>
    <t>Nichols</t>
  </si>
  <si>
    <t>Aubrey</t>
  </si>
  <si>
    <t>19 May 1972 - 28 Mar 1973</t>
  </si>
  <si>
    <t>09-A-119 F1</t>
  </si>
  <si>
    <t>Nix</t>
  </si>
  <si>
    <t>Cowan</t>
  </si>
  <si>
    <t>1 Oct 1966 - 4 Mar 1973</t>
  </si>
  <si>
    <t>Norrington</t>
  </si>
  <si>
    <t>Giles</t>
  </si>
  <si>
    <t>5 May 1968 - 14 Mar 1973</t>
  </si>
  <si>
    <t>09-A-119 F2</t>
  </si>
  <si>
    <t>09-A-119 F3</t>
  </si>
  <si>
    <t>Also includes 1 photograph, debrief summary, 1 photograph, casualty reports, an IIR, chronology/personnel known to be alive/deceased, list of individuals to be released by N. Vietnam, and audio tape notes.</t>
  </si>
  <si>
    <t>Tangeman, Richard G.</t>
  </si>
  <si>
    <t>12 Aug 1967 - 14 Mar 1973</t>
  </si>
  <si>
    <t>09-A-119 F4</t>
  </si>
  <si>
    <t>Also includes 1 photograph, debrief summary, an IIR, casualty report, officer assignment, IIR with photo, special reports/chronology/personnel known to be alive/deceased, list of individuals to be released by N. Vietnam, and audio tape notes. Second folder has report on Edward Burdett.</t>
  </si>
  <si>
    <t>North</t>
  </si>
  <si>
    <t>1 Aug 1966 - 4 Mar 1973</t>
  </si>
  <si>
    <t>09-A-120 F1</t>
  </si>
  <si>
    <t>Nowicki</t>
  </si>
  <si>
    <t>2 Nov 1969 - 27 Mar 1973</t>
  </si>
  <si>
    <t>O'Connor</t>
  </si>
  <si>
    <t>4 Feb 1968 -5 Mar 1973</t>
  </si>
  <si>
    <t>Odell</t>
  </si>
  <si>
    <t>09-A-120 F2</t>
  </si>
  <si>
    <t>09-A-120 F3</t>
  </si>
  <si>
    <t>09-A-120 F4</t>
  </si>
  <si>
    <t>Also includes debrief abstract, army debrief messages (chronology/personnel known to be alive/deceased), and news article.</t>
  </si>
  <si>
    <t>Fields, Ronald; Alder; Reeves;</t>
  </si>
  <si>
    <t>Also includes 1 photograph, debrief summary, casualty reports, Select Committee on POW/MIA correspondence, memo for record, special reports/chronology/personnel known to be alive/deceased, list of individuals to be released by N. Vietnam, audio tape notes, and microfiche copy of debrief (only original counted though this does have an abstract not in original).</t>
  </si>
  <si>
    <t>O'Neil</t>
  </si>
  <si>
    <t>29 Sep 1972 - 29 Mar 1973</t>
  </si>
  <si>
    <t>09-A-121 F1</t>
  </si>
  <si>
    <t>Ortiz-Rivera</t>
  </si>
  <si>
    <t>27 Dec 1966 - 23 Jan 1968</t>
  </si>
  <si>
    <t>Osborne</t>
  </si>
  <si>
    <t>23 Sep 1968 - 12 Feb 1973</t>
  </si>
  <si>
    <t>Osburn</t>
  </si>
  <si>
    <t>12 Feb 1969 - 11 Apr 1969</t>
  </si>
  <si>
    <t>09-A-121 F2</t>
  </si>
  <si>
    <t>09-A-121 F3</t>
  </si>
  <si>
    <t>09-A-121 F4</t>
  </si>
  <si>
    <t>Boskjevac, Michael J.</t>
  </si>
  <si>
    <t>Also includes 1 photograph, debrief summary, casualty reports, alleged messages, last known location of MIA, special reports/chronology/personnel known to be alive/deceased, debriefing transcript edit, and FOIA request notes Bosiljevac.</t>
  </si>
  <si>
    <t xml:space="preserve">N-43 Ha Lo - Hanoi Hilton; N-62 Citadel - Zoo; N-53 Cu Loc - Zoo; </t>
  </si>
  <si>
    <t xml:space="preserve">Also includes debrief abstract, navy debrief messages, comments on prisoners, NIS investigation report, and new article. Second folder has second copy of debrief summary (only one copy counted). Third folder has reports of other PW's. Fourth folder has additional debrief information. </t>
  </si>
  <si>
    <t xml:space="preserve">Herlik, Querin; Fisher, John; Pryor, Robert; </t>
  </si>
  <si>
    <t>Also includes debrief messages but is missing report #1.</t>
  </si>
  <si>
    <t>Overly</t>
  </si>
  <si>
    <t>11 Sep 1967 - 16 Feb 1968</t>
  </si>
  <si>
    <t>09-A-121 F5-F7</t>
  </si>
  <si>
    <t>09-A-122 F1-F2</t>
  </si>
  <si>
    <t xml:space="preserve">First 24 pages are a debrief of Black, Mathney, and Overly, the rest is just on Overly. </t>
  </si>
  <si>
    <t>Padgett</t>
  </si>
  <si>
    <t>09-A-122 F3</t>
  </si>
  <si>
    <t>Also includes 2 photographs, debrief summary, casualty report, officer assignment, alleged messages, special reports/chronology/personnel known to be alive, and audio tape notes.</t>
  </si>
  <si>
    <t>Jasper</t>
  </si>
  <si>
    <t>Ssgt, USAF</t>
  </si>
  <si>
    <t>30 Oct 1965 - 4 Nov 1965</t>
  </si>
  <si>
    <t>09-A-123 F1</t>
  </si>
  <si>
    <t>Paige</t>
  </si>
  <si>
    <t>22 Jul 1972 - 29 Mar 1973</t>
  </si>
  <si>
    <t>Parrott</t>
  </si>
  <si>
    <t>16 Aug 1967 - 14 Mar 1973</t>
  </si>
  <si>
    <t>Parsels</t>
  </si>
  <si>
    <t xml:space="preserve">Peel </t>
  </si>
  <si>
    <t>31 May 1965 - 12 Feb 1973</t>
  </si>
  <si>
    <t>Penn</t>
  </si>
  <si>
    <t>6 Aug 1972 - 29 Mar 1973</t>
  </si>
  <si>
    <t>09-A-123 F2</t>
  </si>
  <si>
    <t>09-A-123 F3</t>
  </si>
  <si>
    <t>09-A-123 F4</t>
  </si>
  <si>
    <t>09-A-123 F5</t>
  </si>
  <si>
    <t xml:space="preserve">Also includes navy debrief messages and NIS investigation report.  </t>
  </si>
  <si>
    <t>N-43 Ha Lo - Hanoi Hilton; N-62 Citadel - Plantation; N-84 Dan Hoi - Camp Faith; N-53 Cu Loc - Zoo; Luang Lang - Dogpatch;</t>
  </si>
  <si>
    <t>Lyons, James M.; Kobashigawa, Tom; Hefel, Daniel H.;</t>
  </si>
  <si>
    <t>Also includes army debrief messages (chronology/personnel known to be alive/deceased) and debrief abstract.</t>
  </si>
  <si>
    <t>Also includes 1 photograph, debrief summary, casualty report, 1 photograph, navy debrief message, special report/chronology/personnel known to be alive/deceased, list of individuals to be released by N. Vietnam, audio tape notes, and IIRs.</t>
  </si>
  <si>
    <t>N-43 Ha Lo - Hanoi Hilton; Xom Ap Lo - Briarpatch; Thermal Power Plant - Dirty Bird; Son Tay - Camp Hope; N-84 Dan Hoi - Camp Faith; Luang Lang - Dogpatch</t>
  </si>
  <si>
    <t>Also includes debrief abstract and navy debrief messages.  Second folder has second copy of debrief summary (not counted). Third folder has egress recap debriefing form. Folder four and five have navy messages.</t>
  </si>
  <si>
    <t>Perkins</t>
  </si>
  <si>
    <t>Glendon</t>
  </si>
  <si>
    <t>09-A-124 F1</t>
  </si>
  <si>
    <t>09-A-123 F6 Cont.</t>
  </si>
  <si>
    <t>Perricone</t>
  </si>
  <si>
    <t>Peterson</t>
  </si>
  <si>
    <t>10 Sep 1966 - 4 Mar 1973</t>
  </si>
  <si>
    <t>2 Nov 1969 - 10 Dec 1969</t>
  </si>
  <si>
    <t>Pfister</t>
  </si>
  <si>
    <t>09-A-124 F2</t>
  </si>
  <si>
    <t>09-A-124 F3</t>
  </si>
  <si>
    <t>09-A-124 F4 Cont.</t>
  </si>
  <si>
    <t>Note that audio tape is in box 11-F-F1A, three copies of the summary only one counted towards total, Debrief abstract, and homecoming navy message debriefs. Also in folder are copies of articles about his divorce while in captivity and Hanoi broadcast.</t>
  </si>
  <si>
    <t>only captive for one day maybe no debrief.</t>
  </si>
  <si>
    <t>Also includes debrief abstract and NIS Investigation reports. Second folder has press release/photo report. Third folder has NOK personal documents. Fourth folder has mishap/search/rescue reports. Fifth folder has navy debrief reports (missing report 2).</t>
  </si>
  <si>
    <t>N-53 Cu Loc - Zoo; N-84 Dan Hoi - Camp Faith; N-43 Ha Lo - Hanoi Hilton; Luang Lang - Dogpatch;</t>
  </si>
  <si>
    <t>Also includes 1 photograph, debrief summary (inside debrief cover), casualty reports, 3 photographs, letter to Fairchild about letter code, article on family, special reports/chronology/personnel known to be alive/deceased, list of individuals to be released by N. Vietnam, audio tape notes, and camp schematics (maps).</t>
  </si>
  <si>
    <t>McDaniel, Norman A.; Barbay, Lawrence.; Means, William H.; Hubbard, Edwin L.;  Norbert, Craig R.</t>
  </si>
  <si>
    <t>Also includes agent report on DeBruin, debrief abstract, army debrief messages (chronology/personnel known to be alive/deceased), and identification of US MIA in Southeast Asia. Second folder has handwritten debriefing notes.</t>
  </si>
  <si>
    <t>Also includes 1 photograph, debrief summary, tape log, extracts from debrief, alleged message, waiver, audio tape notes, special reports/chronology/personnel known to be alive/deceased, news articles, and three photographs.</t>
  </si>
  <si>
    <t>Chirichigno.</t>
  </si>
  <si>
    <t xml:space="preserve">Anton, Frank; </t>
  </si>
  <si>
    <t>09-A-124 F5-F6 Cont.</t>
  </si>
  <si>
    <t>Also includes debrief abstract and army debrief messages (personnel known to be alive/deceased/chronology report). Second folder has handwritten debriefing notes.</t>
  </si>
  <si>
    <t>Pirie</t>
  </si>
  <si>
    <t>22 Jun 1967 - 18 Feb 1973</t>
  </si>
  <si>
    <t>09-A-125 F2</t>
  </si>
  <si>
    <t>09-A-125 F1</t>
  </si>
  <si>
    <t>Pitchford</t>
  </si>
  <si>
    <t>Pitzer</t>
  </si>
  <si>
    <t>MSGT, USA</t>
  </si>
  <si>
    <t>Plumb</t>
  </si>
  <si>
    <t>19 May 1967 - 18 Feb 1973</t>
  </si>
  <si>
    <t>09-A-125 F3</t>
  </si>
  <si>
    <t>09-A-125 F4</t>
  </si>
  <si>
    <t xml:space="preserve">N-43 Ha Lo - Hanoi Hilton; Thermal Power Plant - Dirty Bird; N-62 Citadel - Plantation; N-53 Cu Loc - Zoo; </t>
  </si>
  <si>
    <t>Also includes 1 photograph, debrief summary, casualty reports, special report/chronology/personnel known to be alive/deceased, list of individuals to be released by N. Vietnam, and audio tape notes.</t>
  </si>
  <si>
    <t>Trier, Robert.</t>
  </si>
  <si>
    <t>Also includes longer debrief summary with camp drawings.</t>
  </si>
  <si>
    <t>29 Oct 1963 - 11 Nov 1967</t>
  </si>
  <si>
    <t>N-43 Ha Lo - Hanoi Hilton; N-62 Citadel - Plantation; N-53 Cu Loc - Zoo; N-84 Dan Hoi - Camp Faith; Luang Lang - Dogpatch;</t>
  </si>
  <si>
    <t>Anderson, Gareth L.</t>
  </si>
  <si>
    <t xml:space="preserve">Also includes final summary report, debrief abstract, POW status report, NIS investigation report, captivity outline, camp schematics (maps), navy debrief messages, and Time article. Second folder has second copy of debrief summary (only one counted). Third folder has egress recap debriefing form. </t>
  </si>
  <si>
    <t>Polfer</t>
  </si>
  <si>
    <t>Clarence</t>
  </si>
  <si>
    <t xml:space="preserve">09-A-125 F5-F7 Cont. </t>
  </si>
  <si>
    <t>Kernen, Joseph E.</t>
  </si>
  <si>
    <t>Pollack</t>
  </si>
  <si>
    <t>09-A-126 F1</t>
  </si>
  <si>
    <t>Pollard</t>
  </si>
  <si>
    <t>Ben</t>
  </si>
  <si>
    <t>15 May 1967 - 4 Mar 1973</t>
  </si>
  <si>
    <t>Prather</t>
  </si>
  <si>
    <t>8 Apr 1971 - 27 Mar 1973</t>
  </si>
  <si>
    <t>Price</t>
  </si>
  <si>
    <t>Prendergast</t>
  </si>
  <si>
    <t xml:space="preserve">Escaped 9 Mar 1967  </t>
  </si>
  <si>
    <t>09-A-126 F2</t>
  </si>
  <si>
    <t>09-A-126 F3</t>
  </si>
  <si>
    <t>09-A-126 F4</t>
  </si>
  <si>
    <t>09-A-126 F5</t>
  </si>
  <si>
    <t>Hughey, Kenneth R.</t>
  </si>
  <si>
    <t>Also includes 1 photograph, debrief summary, casualty reports, two photographs, messages home, special reports/chronology/personnel known to be alive/deceased, list of personnel to be released by N. Vietnam, and audio tape notes.</t>
  </si>
  <si>
    <t>Also includes debrief abstract and army debrief messages (chronology/personnel known to be alive/deceased.</t>
  </si>
  <si>
    <t>Also includes SERE debrief memos, an IIR, navy debrief messages, and ONI 53-1 Recovered. Second folder has SERE Newsletter debrief.</t>
  </si>
  <si>
    <t>30 Jul 1972 -29 Mar 1973</t>
  </si>
  <si>
    <t>09-A-127 F1</t>
  </si>
  <si>
    <t>Profilet</t>
  </si>
  <si>
    <t>Pryor</t>
  </si>
  <si>
    <t>Purcell</t>
  </si>
  <si>
    <t>Benjamin</t>
  </si>
  <si>
    <t>LTC, USA</t>
  </si>
  <si>
    <t>2 Feb 1968 - 27 Mar 1973</t>
  </si>
  <si>
    <t>09-A-127 F2</t>
  </si>
  <si>
    <t>09-A-127 F3</t>
  </si>
  <si>
    <t>09-A-127 F4</t>
  </si>
  <si>
    <t>09-A-127 F5</t>
  </si>
  <si>
    <t>Also includes 1 photograph, debrief summary, casualty report, Hanoi press conference, chronology report, and audio tape notes.</t>
  </si>
  <si>
    <t>Only includes navy debrief messages and debrief abstract.</t>
  </si>
  <si>
    <t>Also includes camp location note, debrief abstract, additional questions, army debrief messages (chronology/personnel known to be alive/deceased), and handwritten debrief notes. Second folder has prisoner of war statement of service promotion.</t>
  </si>
  <si>
    <t>Also includes 1 photograph, debrief summary, casualty reports, summary of PW/MIA incidents, an IIR, special report/chronology, list of personnel to be released by N. Vietnam, audio tape notes, and 3 photographs.</t>
  </si>
  <si>
    <t>Purrington</t>
  </si>
  <si>
    <t>20 Oct 1966 - 18 Feb 1973</t>
  </si>
  <si>
    <t>09-A-127 F6-8 Cont.</t>
  </si>
  <si>
    <t>N-53 Cu Loc - Zoo; N-84 Dan Hoi - Camp Faith; N-43 Ha Lo - Hanoi Hilton; Luang Lang - Dogpatch</t>
  </si>
  <si>
    <t>Potter</t>
  </si>
  <si>
    <t>Pyle</t>
  </si>
  <si>
    <t>Quinn</t>
  </si>
  <si>
    <t>Darrel</t>
  </si>
  <si>
    <t>09-A-128 F1</t>
  </si>
  <si>
    <t>09-A-128 F2</t>
  </si>
  <si>
    <t>Also includes 1 photograph, debrief summary, note about death, casualty report, alleged message, special reports/chronology, audio tape notes, and camp schematics (maps) (also has extracts from debriefs but these were not counted).</t>
  </si>
  <si>
    <t>Sandvick, Robert.</t>
  </si>
  <si>
    <t xml:space="preserve">Also includes 1 photograph, debrief summary, officer assignment, casualty reports, chronology/personnel known to be alive, list of personnel to be released by N. Vietnam, audio tape notes, and camp schematics (maps). </t>
  </si>
  <si>
    <t>Raebel</t>
  </si>
  <si>
    <t>17 Aug 1972 - 29 Mar 1973</t>
  </si>
  <si>
    <t>09-A-129 F1</t>
  </si>
  <si>
    <t>Randall</t>
  </si>
  <si>
    <t>11 Jun 1972 - 29 Mar 1973</t>
  </si>
  <si>
    <t>Rander</t>
  </si>
  <si>
    <t>09-A-129 F2</t>
  </si>
  <si>
    <t>09-A-129 F3</t>
  </si>
  <si>
    <t>Also includes debrief abstract, navy debrief summary, aircraft loss reports (personnel casualty report/preliminary message),casualty reports, correspondence from USS Saratoga, and three photographs (two copies and three slides). Second folder has second copy of debrief summary (only one counted). Third folder has egress recap debriefing form.</t>
  </si>
  <si>
    <t xml:space="preserve">Also includes debrief summary, debrief abstract, captivity outline, navy debrief messages (missing number 5), follow-up interview notes, casualty report, two pilots captured in the fields, aircraft loss (personnel casualty report/preliminary message/supplementary message/statement of loss), and 3 photographs and one page (includes copies and 3 slides). Second folder has a second copy of debrief summary (only one counted). Third folder has egress recap debriefing form. </t>
  </si>
  <si>
    <t>Also includes debrief abstract, army debrief messages (chronology/personnel known to be alive/deceased), follow-up interview, tape log, and memo on additional debriefing of army returnees.</t>
  </si>
  <si>
    <t>Ratzlaff</t>
  </si>
  <si>
    <t>Brian</t>
  </si>
  <si>
    <t>09-A-129 F4 Cont.</t>
  </si>
  <si>
    <t>09-A-129 F5-F7 Cont.</t>
  </si>
  <si>
    <t xml:space="preserve">Also includes 1 photograph, debrief summary, officer assignment, casualty reports, special report/chronology, and audio tape notes. </t>
  </si>
  <si>
    <t>Greenwood, Jim.</t>
  </si>
  <si>
    <t xml:space="preserve">N-43 Ha Lo - Hanoi Hilton; N-53 Cu Loc - Zoo; Luang Lang - Dogpatch; </t>
  </si>
  <si>
    <t>Masterson, Fred.</t>
  </si>
  <si>
    <t>Ray</t>
  </si>
  <si>
    <t>8 May 1966 - 12 Feb 1973</t>
  </si>
  <si>
    <t>Heeren, Jerome.</t>
  </si>
  <si>
    <t>Johnnie</t>
  </si>
  <si>
    <t>Rayford</t>
  </si>
  <si>
    <t>King</t>
  </si>
  <si>
    <t>2 Jul 1967 - 16 Mar 1973</t>
  </si>
  <si>
    <t>Reeder</t>
  </si>
  <si>
    <t>11 May 1972 - 27 Mar 1973</t>
  </si>
  <si>
    <t>Rehmann</t>
  </si>
  <si>
    <t>2 Dec 1966 - 12 Feb 1973</t>
  </si>
  <si>
    <t>09-A-130 F1</t>
  </si>
  <si>
    <t>09-A-130 F2</t>
  </si>
  <si>
    <t>09-A-130 F3</t>
  </si>
  <si>
    <t>09-A-130 F4</t>
  </si>
  <si>
    <t>09-A-130 F5</t>
  </si>
  <si>
    <t>Also includes 1 photograph, debrief summary, request for waiver, casualty report, officer assignment, Hanoi broadcasts, special reports/chronology/personnel known to be alive/deceased, 2 photographs, Washington Post article, list of individuals to be released by N. Vietnam, audio tape notes, camp schematics and maps (and 2 photos of camp setup).</t>
  </si>
  <si>
    <t>N-43 Ha Lo - Hanoi Hilton; N-53 Cu Loc - Zoo; N-51 Xom Ap Lo - Briarpatch; Thermal Power Plant - Dirty Bird; N-69 Son Tay - Camp Hope; N-84 Dan Hoi - Camp Faith</t>
  </si>
  <si>
    <t>Also includes army debrief messages (chronology/personnel known to be alive/deceased), radio transcriptions, letters home, reports information on other POWs, and letter delivery.</t>
  </si>
  <si>
    <t xml:space="preserve">N-43 Ha Lo - Hanoi Hilton; </t>
  </si>
  <si>
    <t xml:space="preserve">Also includes army debrief messages (chronology/personnel known to be alive/deceased) and magazine article. </t>
  </si>
  <si>
    <t xml:space="preserve">N-43 Ha Lo - Hanoi Hilton; N-53 Cu Loc - Zoo; N-62 Citadel - Plantation; Thermal Power Plant - Dirty Bird; N-84 Dan Hoi - Camp Faith; </t>
  </si>
  <si>
    <t>Mcrae, David E.</t>
  </si>
  <si>
    <t>Also includes 3 photographs, ONI 53-A1 Prisoner, debrief abstract, radio broadcast, NOK notification, San Diego Union article, navy debrief messages, aircraft loss reports, and NIS investigation report.</t>
  </si>
  <si>
    <t>Reich</t>
  </si>
  <si>
    <t>Kittinger, Joseph W.</t>
  </si>
  <si>
    <t xml:space="preserve">Also includes 1 photograph, debrief summary, operation homecoming letter, casualty reports, debrief report, audio tape notes, and 1 photograph of homecoming. </t>
  </si>
  <si>
    <t>Reynolds</t>
  </si>
  <si>
    <t xml:space="preserve">Jon </t>
  </si>
  <si>
    <t>28 Nov 1965 - 12 Feb 1973</t>
  </si>
  <si>
    <t>09-A-130 F6 Cont.</t>
  </si>
  <si>
    <t>09-A-130 F7 Cont.</t>
  </si>
  <si>
    <t>N-43 Ha Lo - Hanoi Hilton; N-53 Cu Loc - Zoo; Thermal Power Plant - Dirty Bird; N-84 Dan Hoi - Camp Faith; Luang Lang - Dogpatch;</t>
  </si>
  <si>
    <t>Also includes 1 photograph, officer assignment, casualty reports, special reports/chronology, List of individuals to be released by N. Vietnam, and audio tape notes.</t>
  </si>
  <si>
    <t>Riate</t>
  </si>
  <si>
    <t>Alfonso</t>
  </si>
  <si>
    <t>Ssgt, USMC</t>
  </si>
  <si>
    <t>26 Apr 1967 - 16 Mar 1973</t>
  </si>
  <si>
    <t>09-A-131 F1</t>
  </si>
  <si>
    <t>Only includes NIS investigation report (statements by other POWs on charges).</t>
  </si>
  <si>
    <t>Rice</t>
  </si>
  <si>
    <t>Ridgeway</t>
  </si>
  <si>
    <t>25 Feb 1968 - 16 Mar 1973</t>
  </si>
  <si>
    <t>Riess</t>
  </si>
  <si>
    <t>24 Dec 1972 - 28 Mar 1973</t>
  </si>
  <si>
    <t>09-A-131 F2</t>
  </si>
  <si>
    <t>09-A-131 F3</t>
  </si>
  <si>
    <t>09-A-131 F4</t>
  </si>
  <si>
    <t>09-A-131 F5</t>
  </si>
  <si>
    <t>Ringsdorf</t>
  </si>
  <si>
    <t>Herbert</t>
  </si>
  <si>
    <t>11 Nov 1966 - 18 Feb 1973</t>
  </si>
  <si>
    <t xml:space="preserve">N-43 Ha Lo - Hanoi Hilton;  </t>
  </si>
  <si>
    <t>N-43 Ha Lo - Hanoi Hilton; N-53 Cu Loc - Zoo; N-62 Citadel - Plantation;  N-84 Dan Hoi - Camp Faith; Luang Lang - Dogpatch;</t>
  </si>
  <si>
    <t>Butt, Richard L.</t>
  </si>
  <si>
    <t>Also includes 1 photograph, debrief summary, casualty report, Green interview, pilots in pajamas interview and letter, special report/chronology/personnel known to be alive/deceased, list of individuals to be released by N. Vietnam, and audio tape notes.</t>
  </si>
  <si>
    <t>Transcripts of tapes 5-12 (1-4 are missing) Also includes debrief summary, news articles, debrief abstract, debrief message, and an affidavit. (Debrief summary includes 3 maps).</t>
  </si>
  <si>
    <t>Risner</t>
  </si>
  <si>
    <t>Maj, USMC</t>
  </si>
  <si>
    <t>20 Aug 1968 - 22 Aug 1968</t>
  </si>
  <si>
    <t>09-A-132 F1</t>
  </si>
  <si>
    <t>Robinson</t>
  </si>
  <si>
    <t>Rivers</t>
  </si>
  <si>
    <t>10 Sep 1965 - 12 Feb 1973</t>
  </si>
  <si>
    <t>09-A-132 F2-F6</t>
  </si>
  <si>
    <t>09-A-132 F7-F9</t>
  </si>
  <si>
    <t>Summary includes map of escape and health records.</t>
  </si>
  <si>
    <t>09-A-133 F1</t>
  </si>
  <si>
    <t>SSgt, USAF</t>
  </si>
  <si>
    <t>Rodriguez</t>
  </si>
  <si>
    <t>Ferdinand</t>
  </si>
  <si>
    <t>Pvt, USA</t>
  </si>
  <si>
    <t>14 Apr 1968 - 12 Feb 1973</t>
  </si>
  <si>
    <t>09-A-133 F2</t>
  </si>
  <si>
    <t>09-A-133 F3</t>
  </si>
  <si>
    <t>Roha</t>
  </si>
  <si>
    <t>09-A-133 F4</t>
  </si>
  <si>
    <t>Cheney, Kevin J.</t>
  </si>
  <si>
    <t>Also includes 1 photograph, debrief summary, casualty reports, PW identification, officer assignment, audio tape notes, and memory bank prisoner list.</t>
  </si>
  <si>
    <t>Black, Arthur N.; Curtis, Thomas J.; Forby, Willis E.</t>
  </si>
  <si>
    <t xml:space="preserve">N-43 Ha Lo - Hanoi Hilton; N-53 Cu Loc - Zoo; N-51 Xom Ap Lo - Briarpatch;  </t>
  </si>
  <si>
    <t>Also includes three photographs, debrief summary, casualty reports, alleged message, IIRs with photos (5), confirmation of PW status, an IIR on captured pilot, special reports/chronology/personnel known to be alive/deceased, list of individuals to be released by N. Vietnam, audio tape notes, and news articles.</t>
  </si>
  <si>
    <t>only includes army debrief messages (chronology/personnel known to be alive/deceased) news article, treatment letter. Second folder has a request for statement letter.</t>
  </si>
  <si>
    <t>Also includes NIS investigation report.</t>
  </si>
  <si>
    <t>14 May 1967 - 4 Mar 1973</t>
  </si>
  <si>
    <t>Rose</t>
  </si>
  <si>
    <t>09-A-133 F5 Cont.</t>
  </si>
  <si>
    <t>09-A-133 F6 Cont.</t>
  </si>
  <si>
    <t>Southwick, Charles E.</t>
  </si>
  <si>
    <t>Also includes 1 photograph, debrief summary, casualty reports, alleged messages, special reports/chronology/personnel known to be deceased, and audio tape notes.</t>
  </si>
  <si>
    <t xml:space="preserve">Callaghan, Peter A. </t>
  </si>
  <si>
    <t>8 Feb 1968 - 5 Mar 1973</t>
  </si>
  <si>
    <t>09-A-134 F1</t>
  </si>
  <si>
    <t>Rowe</t>
  </si>
  <si>
    <t>1 Lt, USA</t>
  </si>
  <si>
    <t>29 Oct 1963 - 31 Dec 1968</t>
  </si>
  <si>
    <t>09-A-134 F2-F5</t>
  </si>
  <si>
    <t>Ziegler, Roy E.; Chenoweth, Robert P.; Lenker, Michael R.; Purcell, Benjamin H.; George, James E.</t>
  </si>
  <si>
    <t>Ruhling</t>
  </si>
  <si>
    <t>Mark</t>
  </si>
  <si>
    <t>23 Nov 1968 - 14 Mar 1973</t>
  </si>
  <si>
    <t>09-A-135 F1</t>
  </si>
  <si>
    <t>Rudloff</t>
  </si>
  <si>
    <t>10 May 1972 - 28 Mar 1973</t>
  </si>
  <si>
    <t>09-A-135 F2</t>
  </si>
  <si>
    <t>Cuthbert, Bradley.</t>
  </si>
  <si>
    <t xml:space="preserve">N-43 Ha Lo - Hanoi Hilton; N-62 Citadel - Plantation; N-84 Dan Hoi - Camp Faith; </t>
  </si>
  <si>
    <t>Also includes 1 photograph, debrief summary, casualty reports, statement about Cuthbert, intelligence report analysis, special reports/chronology/personnel known to be alive, list of individuals to be released by N. Vietnam, and audio tape notes.</t>
  </si>
  <si>
    <t>Blackburn, Harry L.</t>
  </si>
  <si>
    <t>Rumble</t>
  </si>
  <si>
    <t>Wesley</t>
  </si>
  <si>
    <t>28 Apr 1968 - 5 Aug 1969</t>
  </si>
  <si>
    <t>09-A-136 F1-F5</t>
  </si>
  <si>
    <t>Finlay, John S.</t>
  </si>
  <si>
    <t>JPRA-35-ATC-Disc 1 356-358</t>
  </si>
  <si>
    <t>Runyan</t>
  </si>
  <si>
    <t>29 Apr 1966 - 12 Feb 1973</t>
  </si>
  <si>
    <t>09-A-137 F1</t>
  </si>
  <si>
    <t>Rutledge</t>
  </si>
  <si>
    <t>Sandvick</t>
  </si>
  <si>
    <t>Sawhill</t>
  </si>
  <si>
    <t>09-A-137 F2</t>
  </si>
  <si>
    <t>09-A-137 F3</t>
  </si>
  <si>
    <t>09-A-137 F5</t>
  </si>
  <si>
    <t>09-A-137 F6</t>
  </si>
  <si>
    <t>Also includes 1 photograph, debrief summary, identification of Runyan, 1 photograph, an IIR, chronology/personnel known to be alive/deceased, list of individuals to be released by N. Vietnam, and audio tape notes.</t>
  </si>
  <si>
    <t xml:space="preserve">N-43 Ha Lo - Hanoi Hilton; N-62 Citadel - Plantation; N-84 Dan Hoi - Camp Faith; Luang Lang - Dogpatch; </t>
  </si>
  <si>
    <t>Also includes debrief abstract and navy debrief messages. Folder 2 has aircraft loss reports (daily statistical/personal authenticator/personnel casualty report).</t>
  </si>
  <si>
    <t>Schierman</t>
  </si>
  <si>
    <t>Schoeffel</t>
  </si>
  <si>
    <t>09-A-138 F1-F3</t>
  </si>
  <si>
    <t>09-A-139 F1</t>
  </si>
  <si>
    <t>09-A-139 F2-F4</t>
  </si>
  <si>
    <t>Schrump</t>
  </si>
  <si>
    <t>Schulz</t>
  </si>
  <si>
    <t>09-A-140 F1</t>
  </si>
  <si>
    <t>Schweitzer</t>
  </si>
  <si>
    <t>Schwertfeger</t>
  </si>
  <si>
    <t>Seeber</t>
  </si>
  <si>
    <t>Seek</t>
  </si>
  <si>
    <t>09-A-140 F2</t>
  </si>
  <si>
    <t>09-A-140 F3</t>
  </si>
  <si>
    <t>09-A-140 F4</t>
  </si>
  <si>
    <t>09-A-140 F5</t>
  </si>
  <si>
    <t>Sexton</t>
  </si>
  <si>
    <t>Sehorn</t>
  </si>
  <si>
    <t>09-A-141 F7</t>
  </si>
  <si>
    <t>09-A-141 F1-F6</t>
  </si>
  <si>
    <t xml:space="preserve">Also includes debrief abstract, postgraduate program, news articles, navy debrief messages, and thesis on affect of deprivation on human values of POWs. Second folder has second copy of debrief summary. </t>
  </si>
  <si>
    <t>Pyle, Thomas.</t>
  </si>
  <si>
    <t xml:space="preserve">N-43 Ha Lo - Hanoi Hilton; N-62 Citadel - Plantation; N-53 Cu Loc - Zoo; Luang  Lang - Dogpatch; </t>
  </si>
  <si>
    <t>Gerndt, Gerald L.</t>
  </si>
  <si>
    <t>JPRA-35-ATC-Disc 1 359</t>
  </si>
  <si>
    <t>28 Aug 1965 - 12 Feb 1973</t>
  </si>
  <si>
    <t>N-43 Ha Lo - Hanoi Hilton; N-53 Cu Loc - Zoo; N-51 Xom Ap Lo - Briarpatch; Thermal Power Plant - Dirty Bird; N-69 Son Tay - Camp Hope; N-84 Dan Hoi - Camp Faith; Luang Lang - Dogpatch;</t>
  </si>
  <si>
    <t xml:space="preserve">Also includes debrief abstract, Follow-up interview, navy debrief messages, and NIS investigation report. Folder 2 has second copy of debrief summary (only one counted). Third folder has egress recap debriefing form. </t>
  </si>
  <si>
    <t>4 Oct 1967 - 14 Mar 1973</t>
  </si>
  <si>
    <t>23 May 1968 - 12 Feb 1973</t>
  </si>
  <si>
    <t>16 Nov 1967 - 14 Mar 1973</t>
  </si>
  <si>
    <t>5 Jan 1968 - 14 Mar 1973</t>
  </si>
  <si>
    <t>Debrief is in folder 3. Folder 2 includes debrief summary, debrief abstract, chronology/personnel known to be alive/deceased, army debrief messages, and follow-up interview. Folder 4 has the handwritten debriefing notes.</t>
  </si>
  <si>
    <t xml:space="preserve">N-43 Ha Lo - Hanoi Hilton; N-53 Cu Loc - Zoo; N-84 Dan Hoi - Camp Faith; N-62 Citadel - Plantation; </t>
  </si>
  <si>
    <t>Also includes debrief abstract, 'debrief transcript' (but in third person), and navy debrief messages. Second folder has second copy of debrief summary (only one counted).</t>
  </si>
  <si>
    <t>Sullivan, Timothy B.</t>
  </si>
  <si>
    <t>Shanahan</t>
  </si>
  <si>
    <t>Shankel</t>
  </si>
  <si>
    <t>Shattuck</t>
  </si>
  <si>
    <t>Shepard</t>
  </si>
  <si>
    <t>09-A-142 F1</t>
  </si>
  <si>
    <t>09-A-142 F2</t>
  </si>
  <si>
    <t>09-A-142 F3</t>
  </si>
  <si>
    <t>09-A-142 F4</t>
  </si>
  <si>
    <t>Shingaki</t>
  </si>
  <si>
    <t>Tamotsu</t>
  </si>
  <si>
    <t>Shively</t>
  </si>
  <si>
    <t>Shumaker</t>
  </si>
  <si>
    <t>09-A-143 F1</t>
  </si>
  <si>
    <t>09-A-143 F2</t>
  </si>
  <si>
    <t>09-A-143 F3</t>
  </si>
  <si>
    <t>Galati, Ralph W.</t>
  </si>
  <si>
    <t>Also includes debrief summary, casualty reports, press conference memo, chronology report, and audio tape notes.</t>
  </si>
  <si>
    <t>Also includes debrief abstract and navy debrief messages. Folder 2 has second copy of debrief summary (only one counted).</t>
  </si>
  <si>
    <t>N-43 Ha Lo - Hanoi Hilton; N-53 Cu Loc - Zoo; N-51 Xom Ap Lo - Briarpatch; Thermal Power Plant - Dirtybird; N-69 Son Tay - Camp Hope; N-84 Dan Hoi - Camp Faith; Luang Lang - Dogpatch</t>
  </si>
  <si>
    <t>Spencer, William.</t>
  </si>
  <si>
    <t>12 Aug 1969 - 8 Oct 1971</t>
  </si>
  <si>
    <t>14 Dec 1967 - 14 Dec 1973</t>
  </si>
  <si>
    <t>Debrief summary includes photocopies of photos of other POWs and schematics. Folder 1 also includes an IIR, and review of Sexton debriefings. Folder 2 has the 21 original photos from the army debrief report. Folder 3 has navy debrief messages. Folder 4 has JPRC recovery operations and NIS investigation report . Folder 5 has news articles. Folder 6 has army debrief messages.</t>
  </si>
  <si>
    <t>N-43 Ha Lo - Hanoi Hilton; N-53 Cu Loc - Zoo; N-62 Citadel - Plantation; N-84 Dan Hoi - Camp Faith;</t>
  </si>
  <si>
    <t>15 Aug 1968 - 14 Mar 1973</t>
  </si>
  <si>
    <t>23 Dec 1965 - 12 Feb 1973</t>
  </si>
  <si>
    <t>11 Jul 1966 - 12 Feb 1973</t>
  </si>
  <si>
    <t>Also includes 1 photograph, debrief summary, casualty reports, personnel known to be alive/deceased, list of individuals to be released by N. Vietnam, audio tape notes, exploitation events, and camp schematics (maps).</t>
  </si>
  <si>
    <t>Hicks, Terrin D.</t>
  </si>
  <si>
    <t xml:space="preserve">N-Ha Lo - Hanoi Hilton; N-62 Citadel - Plantation; N-53 Cu Loc - Zoo; </t>
  </si>
  <si>
    <t>N-Ha Lo - Hanoi Hilton; N-53 Cu Loc - Zoo; N-51 Xom Ap Lo - Briarpatch; N-84 Dan Hoi - Camp Faith; Luang Lang - Dogpatch;</t>
  </si>
  <si>
    <t>Also includes debrief abstract and navy debrief messages. Second folder has second copy of debrief summary (only one counted).</t>
  </si>
  <si>
    <t>Also includes 1 photograph, debrief summary, request for information on pilot, notes on Hicks, chronology/personnel known to be deceased, list of individuals to be released by N. Vietnam, and audio tape notes.</t>
  </si>
  <si>
    <t>Also includes 1 photograph, debrief summary, camp schematics (maps), handwritten debrief notes, casualty reports, 5 photographs, capture reports, an IIR, special reports/chronology/personnel known to be alive/deceased, list of individuals to be released by N. Vietnam, and audio tape notes.</t>
  </si>
  <si>
    <t>Grega, George;</t>
  </si>
  <si>
    <t>Only includes debrief summary.</t>
  </si>
  <si>
    <t>19 Aug 1972 - 29 Mar 1973</t>
  </si>
  <si>
    <t>Behnfeldt, Roger E.</t>
  </si>
  <si>
    <t>5 May 1967 - 18 Feb 1973</t>
  </si>
  <si>
    <t xml:space="preserve">N-43 Ha Lo - Hanoi Hilton; N-53 Cu Loc - Zoo; N-84 Dan Hoi - Camp Faith; Luang Lang - Dogpatch;  </t>
  </si>
  <si>
    <t>Also includes 1 photograph, debrief summary, special reports/chronology/personnel known to be alive/deceased, list of individuals to be released by N. Vietnam, audio tape notes, news clippings, correspondence with Mrs. Shively, casualty reports, pilots in pajamas, POW siting/visitation, capture and interview with three photographs, news articles, and debrief tape abstract.</t>
  </si>
  <si>
    <t>11 Feb 1965 - 12 Feb 1973</t>
  </si>
  <si>
    <t xml:space="preserve">N-43 Ha Lo - Hanoi Hilton; N-51 Xom Ap Lo - Briarpatch; N-53 Cu Loc - Zoo; </t>
  </si>
  <si>
    <t>Also includes debrief abstract, navy debrief messages, joint debrief on other POWs, and NIS investigation report. Second folder has second copy of debrief summary (only one counted). Third folder has photograph identification report. Fourth folder has a debriefing report.</t>
  </si>
  <si>
    <t>Shore</t>
  </si>
  <si>
    <t>Check Microfilm pg 218</t>
  </si>
  <si>
    <t>Shuman</t>
  </si>
  <si>
    <t>Sienicki</t>
  </si>
  <si>
    <t>Sigler</t>
  </si>
  <si>
    <t>29 Apr 1966 - 4 Mar 1973</t>
  </si>
  <si>
    <t>09-A-144 F1</t>
  </si>
  <si>
    <t>09-A-144 F2</t>
  </si>
  <si>
    <t>09-A-144 F3</t>
  </si>
  <si>
    <t>Also includes debrief abstract, casualty reports, biographical data, report of capture, ONI 53-1A Prisoner, aircraft loss reports (Missing personnel/personnel casualty report/preliminary message), alleged messages, navy debrief messages, NIS Investigation report, and 4 photographs. Second folder has second copy of debrief summary (only one counted). Third folder has egress recap debriefing form.</t>
  </si>
  <si>
    <t>Doss, Dale W.</t>
  </si>
  <si>
    <t>Stephenson, Mark.</t>
  </si>
  <si>
    <t>Sima</t>
  </si>
  <si>
    <t>15 Oct 1965 - 12 Feb 1973</t>
  </si>
  <si>
    <t>09-A-145 F1</t>
  </si>
  <si>
    <t>Simms</t>
  </si>
  <si>
    <t>Simonet</t>
  </si>
  <si>
    <t>Simpson</t>
  </si>
  <si>
    <t>09-A-145 F2</t>
  </si>
  <si>
    <t>09-A-145 F3</t>
  </si>
  <si>
    <t>09-A-145 F4</t>
  </si>
  <si>
    <t xml:space="preserve">Also includes 1 photograph, debrief summary, casualty reports, memo on wife, special reports/chronology/personnel known to be alive/deceased, list of individuals to be released by N. Vietnam. </t>
  </si>
  <si>
    <t>N-43 Ha Lo - Hanoi Hilton; N-53 Cu Loc - Zoo; N-51 Xom Ap Lo - Briarpatch; N-84 Dan Hoi - Camp Faith; Luang Lang - Dogpatch;</t>
  </si>
  <si>
    <t>Also includes sworn statement about detention and army debrief messages (missing number 3 and 7).</t>
  </si>
  <si>
    <t xml:space="preserve">N-62 Citadel - Plantation; N-84 Dan Hoi - Camp Faith; N-43 Ha Lo - Hanoi Hilton; </t>
  </si>
  <si>
    <t xml:space="preserve">Also includes 1 photograph, debrief summary, casualty reports, officer assignment, </t>
  </si>
  <si>
    <t xml:space="preserve">Thomas, Robert J.; Ferguson Walter L.; Rissi, Donald L.;  </t>
  </si>
  <si>
    <t>Singleton</t>
  </si>
  <si>
    <t>09-A-146 F1</t>
  </si>
  <si>
    <t>Bradley</t>
  </si>
  <si>
    <t>25 Mar 1966 - 12 Feb 1973</t>
  </si>
  <si>
    <t>2 Jun 1967 - 4 Mar 1973</t>
  </si>
  <si>
    <t>13 May 1968 - 1 Jan 1969</t>
  </si>
  <si>
    <t>09-A-146 F2</t>
  </si>
  <si>
    <t>09-A-146 F3</t>
  </si>
  <si>
    <t>09-A-146 F4</t>
  </si>
  <si>
    <t>Also includes 1 photograph, debrief summary, casualty reports, chronology report/personnel known to be alive, list of individuals to be released from N. Vietnam, audio tapes, extract from debrief, and news articles.</t>
  </si>
  <si>
    <t xml:space="preserve">N-43 Ha Lo - Hanoi Hilton; N-53 Cu Loc - Zoo; N-51 Xom Ap Lo - Briarpatch; </t>
  </si>
  <si>
    <t xml:space="preserve">N-43 Ha Lo - Hanoi Hilton; N-62 Citadel - Plantation; N-53 Cu Loc - Zoo; N-84 Dan Hoi - Camp Faith; </t>
  </si>
  <si>
    <t xml:space="preserve">Also includes a transcript from May 25, 1973 (in Folder 2) which is different from the debrief, but in first person. Folder One has debriefing summary, photograph, special reports/personnel known to be alive, audio tape notes, escape and evasion in Laos, shorter debrief summary, casualty reports, E&amp;E locations from DIA, and special report 61. </t>
  </si>
  <si>
    <t>7 Apr 1972 - 12 Feb 1973</t>
  </si>
  <si>
    <t>09-A-147 F1</t>
  </si>
  <si>
    <t>09-A-147 F3</t>
  </si>
  <si>
    <t>Second folder has evasion and escape memo and news article photo.</t>
  </si>
  <si>
    <t>Debrief abstract, chronology/personnel known to be alive, and army debrief message Lull.</t>
  </si>
  <si>
    <t>09-A-148 F1</t>
  </si>
  <si>
    <t>09-A-148 F2</t>
  </si>
  <si>
    <t>Also includes 1 photograph, debrief summary, casualty reports, special reports/chronology/personnel known to be deceased, list of individuals to be released by N. Vietnam, news articles, broadcasts/alleged messages, audio tape notes, and 13 photographs.</t>
  </si>
  <si>
    <t>N-43 Ha Lo - Hanoi Hilton; N-84 Dan Hoi - Camp Faith; N-62 Citadel - Plantation;</t>
  </si>
  <si>
    <t>Smith, Wayne O.</t>
  </si>
  <si>
    <t>Simonet, Kenneth.</t>
  </si>
  <si>
    <t>Also includes 1 photograph, debrief summary, casualty reports, chronology/personnel known to be alive/deceased, list of individuals to be released by N. Vietnam, officer assignment, and audio tape notes.</t>
  </si>
  <si>
    <t>Sooter</t>
  </si>
  <si>
    <t>17 Feb 1967 - 5 Mar 1973</t>
  </si>
  <si>
    <t>09-A-149 F1</t>
  </si>
  <si>
    <t>Sounder</t>
  </si>
  <si>
    <t>Southwick</t>
  </si>
  <si>
    <t>Sparks</t>
  </si>
  <si>
    <t xml:space="preserve">Miller, Ted; </t>
  </si>
  <si>
    <t>Also includes debrief abstract, chronology/personnel known to be alive/deceased, and discussion with Sooters physician.</t>
  </si>
  <si>
    <t xml:space="preserve">Molinare, Albert; </t>
  </si>
  <si>
    <t>09-A-149 F2</t>
  </si>
  <si>
    <t>Rollins, Jack.</t>
  </si>
  <si>
    <t>Also includes debrief abstract, navy debrief messages, and NIS investigation report. Second folder has second copy of debrief summary.</t>
  </si>
  <si>
    <t>09-A-149 F3</t>
  </si>
  <si>
    <t>Hall, Maurice D.;</t>
  </si>
  <si>
    <t>09-A-149 F4</t>
  </si>
  <si>
    <t>Spencer</t>
  </si>
  <si>
    <t>18 Feb 1966 - 12 Feb 1973</t>
  </si>
  <si>
    <t>Ruffin, Jim.</t>
  </si>
  <si>
    <t>09-A-149 F5</t>
  </si>
  <si>
    <t>Also includes debrief abstract, navy debrief messages, and NIS investigation report. Second folder has second copy of debrief summary (only one counted).</t>
  </si>
  <si>
    <t>09-A-149 F6</t>
  </si>
  <si>
    <t>Seek, Brian J.</t>
  </si>
  <si>
    <t>Also includes 1 photograph, debrief summary, casualty reports, special reports/chronology/personnel known to be alive, and audio tape notes.</t>
  </si>
  <si>
    <t>Spoon</t>
  </si>
  <si>
    <t>Springman</t>
  </si>
  <si>
    <t>Stackhouse</t>
  </si>
  <si>
    <t>Stafford</t>
  </si>
  <si>
    <t>Hugh</t>
  </si>
  <si>
    <t>09-A-150 F1</t>
  </si>
  <si>
    <t xml:space="preserve">N-43 Ha Lo - Hanoi Hilton; N-53 Cu Loc - Zoo; N-84 Dan Hoi - Camp Faith; Luang Lang - Dogpatch; </t>
  </si>
  <si>
    <t>Baugh, William.</t>
  </si>
  <si>
    <t>Also includes one photograph, debrief summary, special reports/personnel known to be alive/deceased, and list of individuals to be released by N. Vietnam.</t>
  </si>
  <si>
    <t>25 May 1970 - 12 Feb 1973</t>
  </si>
  <si>
    <t>Sponeybarger</t>
  </si>
  <si>
    <t>09-A-150 F2</t>
  </si>
  <si>
    <t>09-A-150 F3</t>
  </si>
  <si>
    <t>09-A-150 F4</t>
  </si>
  <si>
    <t>09-A-150 F5</t>
  </si>
  <si>
    <t>Also includes debrief abstract, chronology/personnel known to be alive/deceased, news article, psychiatric evaluation, letter from mother to adjutant General, reassignment, and staff journal log on next assignment.</t>
  </si>
  <si>
    <t>25 Apr 1967 - 4 Mar 1973</t>
  </si>
  <si>
    <t>Also includes debrief abstract, handwritten list of documents, navy debrief messages, and NIS investigation report. Second folder has second copy of debrief summary (only one counted).</t>
  </si>
  <si>
    <t>Carey, David J.</t>
  </si>
  <si>
    <t>09-A-151 F1</t>
  </si>
  <si>
    <t>Stavast</t>
  </si>
  <si>
    <t>17 Sep 1967 - 14 Mar 1973</t>
  </si>
  <si>
    <t>Sterling</t>
  </si>
  <si>
    <t>09-A-151 F2</t>
  </si>
  <si>
    <t>09-A-151 F3</t>
  </si>
  <si>
    <t>Rich, Richard.</t>
  </si>
  <si>
    <t>Showtime 604</t>
  </si>
  <si>
    <t>Also includes debrief abstract, 1 photograph, casualty reports, particular information on CDR Startk, aircraft loss reports (Patterson&amp;McDaniel/casualty report-final/preliminary message/statistical data/NOK notification), navy debrief messages, medical information, payment information, and news article. Second folder has second copy of debrief summary.</t>
  </si>
  <si>
    <t>Venanzi, Gerald S.;</t>
  </si>
  <si>
    <t>N-43 Ha Lo - Hanoi Hilton; N-53 Cu Loc - Zoo; Luang Lang - Dogpatch; N-62 Citadel - Plantation;</t>
  </si>
  <si>
    <t>Madison, Thomas H.</t>
  </si>
  <si>
    <t>N-43 Ha Lo - Hanoi Hilton; N-53 Cu Loc - Zoo; N-84 Dan Hoi - Camp Faith;  Luang Lang - Dogpatch</t>
  </si>
  <si>
    <t>Also includes 1 photograph, debrief summary, casualty reports, 4 photographs, special report/chronology/personnel known to be alive/deceased, list of individuals to be released by N. Vietnam, audio tape notes, an IIR, and alleged statements.</t>
  </si>
  <si>
    <t>Stier</t>
  </si>
  <si>
    <t>09-A-152 F1</t>
  </si>
  <si>
    <t>Stirm</t>
  </si>
  <si>
    <t>27 Oct 1967 - 14 Mar 1973</t>
  </si>
  <si>
    <t>Stischer</t>
  </si>
  <si>
    <t>13 Apr 1968 - 28 Mar 1973</t>
  </si>
  <si>
    <t>Stockdale</t>
  </si>
  <si>
    <t>9 Sep 1965 - 12 Feb 1973</t>
  </si>
  <si>
    <t>09-A-152 F2</t>
  </si>
  <si>
    <t>09-A-152 F3</t>
  </si>
  <si>
    <t>09-A-152 F4</t>
  </si>
  <si>
    <t>09-A-153 F1-3</t>
  </si>
  <si>
    <t xml:space="preserve">N-43 Ha Lo - Hanoi Hilton; N69 - Son Tay - Camp Hope; N-53 Cu Loc - Zoo; N-84 Dan Hoi - Camp Faith; Luang Lang - Dogpatch; N-62 Citadel - Plantation; </t>
  </si>
  <si>
    <t xml:space="preserve">Also includes 1 photograph, debrief summary, casualty reports, medical update, alleged messages, chronology/personnel known to be alive/deceased, list of individuals to be released by N. Vietnam, audio tape notes, and camp schematics (maps). </t>
  </si>
  <si>
    <t xml:space="preserve">N-43 Ha Lo - Hanoi Hilton; N-62 Citadel - Plantation;  </t>
  </si>
  <si>
    <t xml:space="preserve">Verhees, Donald L. </t>
  </si>
  <si>
    <t>Also includes 1 photograph, debrief summary, casualty reports, special reports/chronology/personnel known to be alive/deceased, audio tape notes, mission narrative report (SAR of backseater), and crash and capture site map.</t>
  </si>
  <si>
    <t>Also includes debrief abstract and navy debrief messages (missing report 3 and 39).</t>
  </si>
  <si>
    <t>Teague, James E. "Jack".</t>
  </si>
  <si>
    <t>Stockman</t>
  </si>
  <si>
    <t>Hervey</t>
  </si>
  <si>
    <t>11 Jun 1967 - 4 Mar 1973</t>
  </si>
  <si>
    <t>09-A-153 F4</t>
  </si>
  <si>
    <t>Storey</t>
  </si>
  <si>
    <t xml:space="preserve">Folder 1 has second copy of navy debrief messages (but includes number 39, only report 39 counted). Folder 2 Foundations of Moral Obligation Course summary, In Love and War book, White House correspondence with wife, and NIS investigation report.  Folder 3 the world of Epictetus, news articles, and book concerns.                                                                                                                                                                                                                                                                                                                                                                                                                                                                                                                                                                                                                                                                                                                                 </t>
  </si>
  <si>
    <t>Webb, Roland.</t>
  </si>
  <si>
    <t>N-43 Ha Lo - Hanoi Hilton; Thermal Power Plant - Dirty Bird; N-69 Son Tay - Camp Hope; N-84 Dan Hoi - Camp Faith; Luang Lang - Dogpatch;</t>
  </si>
  <si>
    <t>Also includes 1 photograph, debrief summary, casualty reports, officer assignment, special reports/chronology/personnel known to be alive/deceased, list of individuals to be released by N. Vietnam, and audio tape notes.</t>
  </si>
  <si>
    <t>Stratton</t>
  </si>
  <si>
    <t>5 Jan 1967 - 4 Mar 1973</t>
  </si>
  <si>
    <t>09-A-155 F1</t>
  </si>
  <si>
    <t>Strickland</t>
  </si>
  <si>
    <t>8 Jan 1968 - 5 Nov 1969</t>
  </si>
  <si>
    <t>Stutz</t>
  </si>
  <si>
    <t>Leroy</t>
  </si>
  <si>
    <t>Sullivan</t>
  </si>
  <si>
    <t>Dwight</t>
  </si>
  <si>
    <t>09-A-155 F2</t>
  </si>
  <si>
    <t>09-A-155 F3</t>
  </si>
  <si>
    <t xml:space="preserve">Verbatim is titled interview instead of debrief and is 2 years after debrief. Also includes debrief abstract, statement on Code of Conduct, list of individuals to be released by N. Vietnam, Navy debrief messages, alleged messages, personnel known to be alive/deceased, Operation Homecoming transportation and hospital locations, NIS investigation report, news articles, DIA report on drugs, two photograph negatives, and Turn on the Lights article.                                                                                                                                                                                                                                                                                                                                                                                                                                                                                                                                                                                                                                                                                                                                                                                                                                                                                                                                                                                                                                                                                                                                                                                                                                                                                                                                                                                                                                                                                                                                                                                                                                                                                                                                                                      </t>
  </si>
  <si>
    <t>Gregory, Robert R.</t>
  </si>
  <si>
    <t xml:space="preserve">N-43 Ha Lo - Hanoi Hilton; N-53 Cu Loc - Zoo; N-69 Son Tay - Camp Hope; </t>
  </si>
  <si>
    <t>Also includes 1 photograph, debrief summary, special reports/chronology/personnel known to be alive/deceased, list of individuals to be released by N. Vietnam, and JSSA review of notes.</t>
  </si>
  <si>
    <t>Sweeney</t>
  </si>
  <si>
    <t>19 Feb 1969 - 17 Aug 1970</t>
  </si>
  <si>
    <t>Sumpter</t>
  </si>
  <si>
    <t>Swindle</t>
  </si>
  <si>
    <t>Orson</t>
  </si>
  <si>
    <t>Cpt, USMC</t>
  </si>
  <si>
    <t>11 Nov 1966 - 4 Mar 1973</t>
  </si>
  <si>
    <t>Tabb</t>
  </si>
  <si>
    <t>12 Apr 1970 - 27 Mar 1973</t>
  </si>
  <si>
    <t>Taliaferro</t>
  </si>
  <si>
    <t>Cpl, USMC</t>
  </si>
  <si>
    <t>6 Feb 1968 - 13 Feb 1968</t>
  </si>
  <si>
    <t>09-A-153 F5</t>
  </si>
  <si>
    <t>09-A-154 F1</t>
  </si>
  <si>
    <t>09-A-154 F2</t>
  </si>
  <si>
    <t>09-A-154 F3</t>
  </si>
  <si>
    <t>09-A-154 F4</t>
  </si>
  <si>
    <t>Schulz, Paul.</t>
  </si>
  <si>
    <t>Also includes follow-up interview, debrief abstract, status of other POWs, homecoming press conference, and navy debrief messages.</t>
  </si>
  <si>
    <t xml:space="preserve">Also includes 1 photograph, debrief summary, casualty reports, chronology report/personnel known to be alive/deceased, list of individuals to be released by N. Vietnam, and audio tape notes. </t>
  </si>
  <si>
    <t>Walker, Hubert C.; Lebert, Ronald M.; Terrell, Irby; Mercer, Sonnie; Pedroli, Pete; Thompson;</t>
  </si>
  <si>
    <t>N-43 Ha Lo - Hanoi Hilton; N-53 Cu Loc - Zoo; Thermal Power Plant - Dirty Bird; N-69 Son Tay - Camp Hope; N-84 Dan Hoi - Camp Faith</t>
  </si>
  <si>
    <t>Robinson, Gus B.;</t>
  </si>
  <si>
    <t>Also includes debrief abstract and army debrief messages (chronology and personnel known to be alive/deceased).</t>
  </si>
  <si>
    <t>Escaped from captivity.</t>
  </si>
  <si>
    <t>Also includes news article, USMC debrief messages, and news articles. Second folder has Operation Homecoming debrief which includes medical records and rights of the Sgt.</t>
  </si>
  <si>
    <t>Intel debrief is longer but is in third person. Also includes debrief abstract. Second folder has USN debrief summary looks like it includes NIS reports. Third folder has NOK notifications, reports of POW status by other POWs, photo analysis, and IIRs (grouped as one number).</t>
  </si>
  <si>
    <t>09-A-155 F4 Cont.</t>
  </si>
  <si>
    <t>09-A-155 F5 Cont.</t>
  </si>
  <si>
    <t>09-A-155 F6 Cont.</t>
  </si>
  <si>
    <t>Talley</t>
  </si>
  <si>
    <t>Bernard</t>
  </si>
  <si>
    <t>09-A-156 F1</t>
  </si>
  <si>
    <t>Tangeman</t>
  </si>
  <si>
    <t>09-A-156 F2</t>
  </si>
  <si>
    <t>09-A-156 F3-F5</t>
  </si>
  <si>
    <t>Norrington, Giles R.</t>
  </si>
  <si>
    <t>Peterson, Douglas B.</t>
  </si>
  <si>
    <t>Also includes 1 photograph, debrief summary, casualty report, news article, Vietnam visit invitation, special reports/chronology/personnel known to be alive/deceased, list of individuals to be released by N. Vietnam, and audio tape notes.</t>
  </si>
  <si>
    <t>Padgett, James.</t>
  </si>
  <si>
    <t>Also includes 1 photograph, debrief summary, casualty reports, audio tape notes, and chronology report.</t>
  </si>
  <si>
    <t>Tanner</t>
  </si>
  <si>
    <t>9 Oct 1966 - 4 Mar 1973</t>
  </si>
  <si>
    <t>09-A-157 F1</t>
  </si>
  <si>
    <t>Taylor</t>
  </si>
  <si>
    <t>20 Mar 1968 - 6 May 1968</t>
  </si>
  <si>
    <t>Tellier</t>
  </si>
  <si>
    <t>19 Jun 1969 - 27 Mar 1973</t>
  </si>
  <si>
    <t>09-A-157 F2</t>
  </si>
  <si>
    <t>09-A-157 F3</t>
  </si>
  <si>
    <t>Terry, Ross R.</t>
  </si>
  <si>
    <t>Also includes debrief abstract, Navy debrief messages, and NIS investigation report. Second folder has second copy of debrief summary(only one counted). Third folder has egress recap debriefing form.</t>
  </si>
  <si>
    <t>Also includes debrief abstract, POW status report, casualty report, biographical data, navy debrief messages, press conference, alleged messages/broadcasts, ONI 53-1A Prisoner, aircraft loss report(personnel casualty report/daily statistical) and news articles. Second folder has second copy of debrief summary (only one counted). Third folder has egress recap debriefing form.</t>
  </si>
  <si>
    <t>Intel debrief is long but in third person. Also includes debrief summary. Second folder has debrief message about eyesight. Third folder has debrief message on a deceased POW.</t>
  </si>
  <si>
    <t>Temperley</t>
  </si>
  <si>
    <t>N-43 Ha Lo - Hanoi Hilton; N-69 Son Tay - Camp Hope; N-84 Dan Hoi - Camp Faith; N-53 Cu Loc - Zoo; Luang Lang - Dogpatch; N-62 Citadel - Plantation;</t>
  </si>
  <si>
    <t xml:space="preserve">Also includes 1 photograph, debrief summary, 5 photographs, casualty reports, Hanoi broadcasts, IIRs, officer reassignment, special reports/chronology/personnel known to be alive/deceased, list of individuals to be released by N. Vietnam, and audio tape notes. </t>
  </si>
  <si>
    <t>09-A-157 F4</t>
  </si>
  <si>
    <t>Talley, Bernard.</t>
  </si>
  <si>
    <t>Terrell</t>
  </si>
  <si>
    <t>Irby</t>
  </si>
  <si>
    <t>09-A-158 F1</t>
  </si>
  <si>
    <t>Ross</t>
  </si>
  <si>
    <t>CW3, USMC</t>
  </si>
  <si>
    <t>09-A-158 F2</t>
  </si>
  <si>
    <t>Walker, Hubert C.; Lebert, Ronald M.; Sumpter, Thomas; Mercer, Sonnie; Pedroli, Pete; Thompson;</t>
  </si>
  <si>
    <t>N-43 Ha Lo - Hanoi Hilton;  N-62 Citadel - Plantation; N-69 Son Tay - Camp Hope; N-84 Dan Hoi - Camp Faith; Luang Lang - Dogpatch;</t>
  </si>
  <si>
    <t>Tanner, Charles.</t>
  </si>
  <si>
    <t>Also includes navy debrief messages, debrief abstract, chronology report, You Need a Way Out research paper, and NIS investigation report. Second folder has personnel known to be alive/deceased. Third folder has second copy of debrief summary (only one counted). Fourth Folder is egress recap debriefing form.</t>
  </si>
  <si>
    <t>Folder 3 has verbatim debriefing report. Folder 5 (1 and 2) has verbatim debrief tapes 4 - 12 (tapes 1-3 are missing). Folder 6 has summary of experiences.</t>
  </si>
  <si>
    <t>Mott, David P.</t>
  </si>
  <si>
    <t xml:space="preserve">09-A-158 F3-F6 Cont. </t>
  </si>
  <si>
    <t>Thompson</t>
  </si>
  <si>
    <t>7 Feb 1968 - 5 Mar 1973</t>
  </si>
  <si>
    <t>09-A-159 F1</t>
  </si>
  <si>
    <t>26 Mar 1964 - 16 Mar 1973</t>
  </si>
  <si>
    <t>20 Mar 1968 - 2 Aug 1968</t>
  </si>
  <si>
    <t>Thornton</t>
  </si>
  <si>
    <t>20 Feb 1967 - 4 Mar 1973</t>
  </si>
  <si>
    <t>09-A-159 F2</t>
  </si>
  <si>
    <t>09-A-159 F5</t>
  </si>
  <si>
    <t>09-A-159 F3-F4</t>
  </si>
  <si>
    <t>Whitesides, Richard;</t>
  </si>
  <si>
    <t>Tester</t>
  </si>
  <si>
    <t>20 May 1968 - 10 Jun 1968</t>
  </si>
  <si>
    <t>Shared with Lehrman check 09-A-176 or 09-A-175</t>
  </si>
  <si>
    <t>Folder 3 has casualty report, personal data form, broadcasts, Catholic University Law questionnaire, August 20 letter, counterintelligence debriefing, news articles, and an IIR. Folder 4 has 17 IIRs (information on interrogations/indoctrination/enemy  knowledge/medical care/propaganda magazine/daily life) and 21 photographs with the last IIR, and verbatim debrief and 1 photograph.</t>
  </si>
  <si>
    <t>Goodman, Russell C.;</t>
  </si>
  <si>
    <t>N-43 Ha Lo - Hanoi Hilton; N-62 Citadel - Plantation; Thermal Power Plant - Dirty Bird; N-69 Son Tay - Camp Hope; N-84 Dan Hoi - Camp Faith; Luang Lang - Dogpatch;</t>
  </si>
  <si>
    <t xml:space="preserve">Also includes debrief abstract and Navy debrief messages.  </t>
  </si>
  <si>
    <t>Thorsness</t>
  </si>
  <si>
    <t>09-A-160 F1</t>
  </si>
  <si>
    <t>Tinsley</t>
  </si>
  <si>
    <t>Coy</t>
  </si>
  <si>
    <t>9 Mar 1969 - 5 Nov 1969</t>
  </si>
  <si>
    <t>Tomes</t>
  </si>
  <si>
    <t>7 Jul 1966 - 12 Feb1973</t>
  </si>
  <si>
    <t>09-A-160 F2</t>
  </si>
  <si>
    <t>09-A-160 F3</t>
  </si>
  <si>
    <t>Also includes 1 photograph, debrief summary, casualty report, 3 IIRs, alleged messages, news articles, visit to JSSA, special reports/chronology/personnel known to be alive/deceased, and list of individuals to be released by N. Vietnam.</t>
  </si>
  <si>
    <t xml:space="preserve">N-43 Ha Lo - Hanoi Hilton; N-53 Cu Loc - N-84 Dan Hoi - Camp Faith; </t>
  </si>
  <si>
    <t>Johnson, Harold E.</t>
  </si>
  <si>
    <t>Also includes magazine article and army debrief messages.</t>
  </si>
  <si>
    <t xml:space="preserve">N-43 Ha Lo - Hanoi Hilton; N-N-51 Xom Ap Lo - Briarpatch; N-84 Dan Hoi - Camp Faith; </t>
  </si>
  <si>
    <t>Torkelson</t>
  </si>
  <si>
    <t>Loren</t>
  </si>
  <si>
    <t>29 Apr 1967 - 4 Mar 1973</t>
  </si>
  <si>
    <t>09-A-161 F1</t>
  </si>
  <si>
    <t xml:space="preserve">N-43 Ha Lo - Hanoi Hilton; N-53 Cu Loc - Zoo; N-62 Citadel - Plantation; N-84 Dan Hoi - Camp Faith; Luang Lang - Dogpatch; </t>
  </si>
  <si>
    <t xml:space="preserve">Pollin, George J. </t>
  </si>
  <si>
    <t>Also includes 1 photograph, debrief summary, casualty reports, interviews and broadcasts from captivity, 2 IIRs, chronology report/personnel known to be alive/deceased, list of individuals to be released by N. Vietnam, audio tape notes, camps schematics (maps), and five photographs.</t>
  </si>
  <si>
    <t>Trautman</t>
  </si>
  <si>
    <t>Konrad</t>
  </si>
  <si>
    <t>5 Oct 1967 - 14 Mar 1973</t>
  </si>
  <si>
    <t>09-A-161 F2</t>
  </si>
  <si>
    <t>Also includes 1 photograph, debrief summary, casualty reports, POW awards group, letter to Westbrook, news article, special reports/chronology/personnel known to be alive/deceased, list of individuals to be released by N. Vietnam, and audio tape notes.</t>
  </si>
  <si>
    <t>Triebel</t>
  </si>
  <si>
    <t>09-A-162 F1</t>
  </si>
  <si>
    <t>Trimble</t>
  </si>
  <si>
    <t>Tschudy</t>
  </si>
  <si>
    <t>18 Jun 1965 - 12 Feb 1973</t>
  </si>
  <si>
    <t>Tyler</t>
  </si>
  <si>
    <t>09-A-162 F2</t>
  </si>
  <si>
    <t>09-A-162 F3</t>
  </si>
  <si>
    <t>09-A-162 F4-F5</t>
  </si>
  <si>
    <t>Everett, David A.;</t>
  </si>
  <si>
    <t>Triebel, Theodore W.;</t>
  </si>
  <si>
    <t>Also includes casualty report, debrief abstract, Navy debrief messages, status of POW, MIA status letter, aircraft loss reports (personal authenticator/preliminary message/personnel casualty/notification of NOK), alleged messages and broadcasts, an IIR with three photographs, and 1 photograph. Second folder has a second copy of debrief summary (only one counted).</t>
  </si>
  <si>
    <t>Jefcoat, Carl H.;</t>
  </si>
  <si>
    <t>Trimble, Jack R.</t>
  </si>
  <si>
    <t>Also includes 1 photograph, debrief summary, casualty report, audio tape notes, and chronology report.</t>
  </si>
  <si>
    <t>Denton, Jeremiah A.;</t>
  </si>
  <si>
    <t>N-43 Ha Lo - Hanoi Hilton; N-51 Xom Ap Lo - Briarpatch; N-53 Cu Loc - Zoo; Thermal Power Plant - Dirty Bird; N-69 Son Tay - Camp Hope; N-84 Dan Hoi - Camp Faith; Luang Lang - Dogpatch;</t>
  </si>
  <si>
    <t xml:space="preserve">Also includes debrief abstract, Navy debrief messages, NIS investigation report, and news article. Second folder has second copy of debrief summary (only one counted). Third folder has egress recap debriefing form. </t>
  </si>
  <si>
    <t>N-43 Ha Lo - Hanoi Hilton; N-53 Cu Loc - Zoo; N-62 Citadel - Plantation; Luang Lang - Dogpatch; N-84 Dan Hoi - Camp Faith</t>
  </si>
  <si>
    <t>Also includes 1 photograph, debrief summary, casualty reports, audio tape notes, special reports/chronology/personnel known to be alive/deceased, list of individuals to be released by N. Vietnam, officer assignment, and camp schematics. Second folder has debriefing report on Charles Lane.</t>
  </si>
  <si>
    <t>Uyeyama</t>
  </si>
  <si>
    <t>19 May 1968 - 14 Mar 1973</t>
  </si>
  <si>
    <t>09-A-163 F1</t>
  </si>
  <si>
    <t>11 Feb 1968 - 17 Apr 1969</t>
  </si>
  <si>
    <t>Vaughan</t>
  </si>
  <si>
    <t>09-A-163 F2</t>
  </si>
  <si>
    <t>09-A-163 F3</t>
  </si>
  <si>
    <t>Van Loan</t>
  </si>
  <si>
    <t>20 May 1967 - 4 Mar 1973</t>
  </si>
  <si>
    <t>09-A-163 F4</t>
  </si>
  <si>
    <t>Also includes 1 photograph, debrief summary, casualty reports, debrief addition, audio tape notes, and map. Second folder has debriefing report on Art Means.</t>
  </si>
  <si>
    <t xml:space="preserve">Johnson; </t>
  </si>
  <si>
    <t>Also includes 1 photograph, debrief summary, casualty reports, Hanoi news, audio tape notes, and chronology report.</t>
  </si>
  <si>
    <t>Milligan, Joseph E.;</t>
  </si>
  <si>
    <t>Van Loan, Jack L.;</t>
  </si>
  <si>
    <t>N-43 Ha Lo - Hanoi Hilton; Thermal Power Plant - Dirty Bird; N-62 Citadel - Plantation; N-53 Cu Loc - Zoo; N-84 Dan Hoi - Camp Faith; Luang Lang - Dogpatch;</t>
  </si>
  <si>
    <t>Also includes 1 photograph, debrief summary, debrief request, casualty reports, chronology report/personnel known to be alive, list of individuals to be released by N. Vietnam, and audio tape notes.</t>
  </si>
  <si>
    <t>Vavroch</t>
  </si>
  <si>
    <t>Duane</t>
  </si>
  <si>
    <t>09-A-164 F1</t>
  </si>
  <si>
    <t>Venanzi</t>
  </si>
  <si>
    <t>Vissotzky</t>
  </si>
  <si>
    <t>09-A-164 F2</t>
  </si>
  <si>
    <t>09-A-164 F3</t>
  </si>
  <si>
    <t>Also includes 1 photograph, debrief summary, casualty reports, and special report/chronology/personnel known to be deceased.</t>
  </si>
  <si>
    <t xml:space="preserve">N-43 Ha Lo - Hanoi Hilton; N-69 Son Tay - Camp Hope; N-53 Cu Loc - Zoo; N-84 Dan Hoi - Camp Faith; Luang Lang - Dogpatch; N-62 Citadel - Plantation; </t>
  </si>
  <si>
    <t>Also includes 1 photograph, debrief abstract, oral history interview, research project, casualty reports, Hanoi broadcasts, special reports/chronology/personnel known to be alive/deceased, list of individuals to be released by N. Vietnam, audio tape notes, 5 photographs, and sighting of downed pilot. Second folder has debrief summary.</t>
  </si>
  <si>
    <t>Stavast, John E.;</t>
  </si>
  <si>
    <t>Also includes 1 photograph, debrief summary, casualty reports, homecoming guidance, chronology report/personnel known to be deceased, list of individuals to be released by N. Vietnam, audio tape notes, news article, and camp schematics (maps).</t>
  </si>
  <si>
    <t>Vogel</t>
  </si>
  <si>
    <t>22 May 1967 - 4 Mar 1973</t>
  </si>
  <si>
    <t>09-A-165 F1</t>
  </si>
  <si>
    <t>Vohden</t>
  </si>
  <si>
    <t>09-A-165 F2-F4</t>
  </si>
  <si>
    <t>Van Putten</t>
  </si>
  <si>
    <t>Baldwin, Dave;</t>
  </si>
  <si>
    <t xml:space="preserve">N-43 Ha Lo - Hanoi Hilton; N-53 Cu Loc - Zoo; N-62 Citadel - Plantation; Luang Lang - Dogpatch;  </t>
  </si>
  <si>
    <t>Also includes 1 photograph, debrief summary, casualty reports, 1 photograph, special reports/chronology/personnel known to be alive/deceased, list of individuals to be released by N. Vietnam, and audio tape notes.</t>
  </si>
  <si>
    <t xml:space="preserve">N-43 Ha Lo - Hanoi Hilton; N-53 Cu Loc - Zoo; N-84 Dan  Hoi - Camp Faith; </t>
  </si>
  <si>
    <t>Also includes debrief summary, debrief abstract, Status of other POWs, last mission data, Follow-up interview, navy debrief messages, ONI 53-1A Prisoner, casualty report, biographical data, alleged messages, names from Weaver, press conference, news articles, camp schematics (maps), Stress and the Vietnam POW paper, and NIS investigation report. Second folder has verbatim transcript. Folder 3 has second copy of debrief summary (only once counted). Folder 4 has egress recap debriefing form.</t>
  </si>
  <si>
    <t>Waddell</t>
  </si>
  <si>
    <t>5 Jul 1967 - 4 Mar 1973</t>
  </si>
  <si>
    <t>09-A-166 F1</t>
  </si>
  <si>
    <t>Waggoner</t>
  </si>
  <si>
    <t>12 Sep 1966 - 4 Mar 1973</t>
  </si>
  <si>
    <t>09-A-166 F2</t>
  </si>
  <si>
    <t xml:space="preserve">N-43 Ha Lo - Hanoi Hilton; N-53 Cu Loc - Zoo; N-84 Dan Hoi - Camp Faith; Luang Lang - Dogpatch; N-62 Citadel - Plantation; </t>
  </si>
  <si>
    <t>Also includes 1 photograph, debrief summary, casualty reports, JSSA visit, chronology report/personnel known to be alive/deceased, list of individuals to be released by N. Vietnam, statement on Cameron, Cobeil, and Connell, audio tape notes, camp sketch, and report on capture of US pilot.</t>
  </si>
  <si>
    <t>Walker</t>
  </si>
  <si>
    <t>09-A-167 F1</t>
  </si>
  <si>
    <t>Wallingford</t>
  </si>
  <si>
    <t>Walsh</t>
  </si>
  <si>
    <t>26 Sep 1972  - 12 Feb 1973</t>
  </si>
  <si>
    <t>Waltman</t>
  </si>
  <si>
    <t>19 Sep 1966 - 4 Mar 1973</t>
  </si>
  <si>
    <t>09-A-167 F2</t>
  </si>
  <si>
    <t>09-A-167 F3</t>
  </si>
  <si>
    <t>Mercer, Pollard H.; Terrell, Irby D.; 
Pedroli, Attilio; Sumpter, Thomas W.; Walker, Hubert C.; Thompson, James E.</t>
  </si>
  <si>
    <t>Terrell, Irby;       Lebert, Ronald M.; Sumpter, Thomas; Mercer, Sonnie; Pedroli, Pete; Thompson;</t>
  </si>
  <si>
    <t>Also includes 1 photograph, debrief summary, casualty reports, alleged messages, and audio tape notes.</t>
  </si>
  <si>
    <t>Also includes summary of experiences and debrief abstract. Second folder short debrief summary. Third Folder has handwritten debriefing notes. Fourth Folder has marine homecoming messages. Fifth folder has case documents on Walsh.</t>
  </si>
  <si>
    <t xml:space="preserve">N-43 Ha  Lo - Hanoi Hilton; N-53 Cu Loc - Zoo; N-84 Dan Hoi - Camp Faith; Luang Lang - Dogpatch; </t>
  </si>
  <si>
    <t xml:space="preserve">Also includes 1 photograph, debrief summary, JPRA transmittal sheet, casualty reports, 4 photographs, alleged messages and broadcasts, photo IIR with one photograph, special reports/chronology/personnel known to be alive/deceased, list of individuals to be released by N. Vietnam, audio tape notes, camp schematics (maps), and news articles. </t>
  </si>
  <si>
    <t xml:space="preserve">09-A-167 F4 Cont. </t>
  </si>
  <si>
    <t>Wanat</t>
  </si>
  <si>
    <t xml:space="preserve">Ward </t>
  </si>
  <si>
    <t>09-A-168 F1</t>
  </si>
  <si>
    <t>Warner</t>
  </si>
  <si>
    <t>13 Oct 1967 - 14 Mar 1973</t>
  </si>
  <si>
    <t>Watkins</t>
  </si>
  <si>
    <t>9 Jan 1968 - 5 Nov 1969</t>
  </si>
  <si>
    <t>09-A-168 F2</t>
  </si>
  <si>
    <t>09-A-168 F3</t>
  </si>
  <si>
    <t>09-A-168 F4</t>
  </si>
  <si>
    <t xml:space="preserve">(Last page of debrief summary mentions 2 reels of debriefing tape.) Also includes debrief abstract, army debrief messages, and news article. </t>
  </si>
  <si>
    <t>Also includes debrief summary, casualty reports, audio tape notes, and chronology report.</t>
  </si>
  <si>
    <t>Miller, Edison W.</t>
  </si>
  <si>
    <t xml:space="preserve">N-43 Ha Lo - Hanoi Hilton; N-69 Son Tay - Camp Hope; N-84 Dan Hoi - Camp Faith; Luang Lang - Dogpatch; N-62 Citadel - Plantation; </t>
  </si>
  <si>
    <t>Two debrief summaries had different information and were added together in count. Also includes Witness statement and army debrief messages.</t>
  </si>
  <si>
    <t>Also includes summary of experiences, medical intelligence debriefing, and news articles. Second folder has marine debrief messages.</t>
  </si>
  <si>
    <t>DOD</t>
  </si>
  <si>
    <t>Killed in training exercise</t>
  </si>
  <si>
    <t>T</t>
  </si>
  <si>
    <t>Died in a car accident</t>
  </si>
  <si>
    <t>Died from prostate cancer</t>
  </si>
  <si>
    <t>pulmonary embolism</t>
  </si>
  <si>
    <t>Appleby, Ivan D.</t>
  </si>
  <si>
    <t>31 Jan 1968 - 1 Feb 1968</t>
  </si>
  <si>
    <t>Died of cancer</t>
  </si>
  <si>
    <t>Age</t>
  </si>
  <si>
    <t>Webb</t>
  </si>
  <si>
    <t>09-A-168 F5 Cont.</t>
  </si>
  <si>
    <t>Also includes 1 photograph, debrief summary, casualty reports, Fonda FOIA request, cemeteries in N. Vietnam, handwritten confinement list, JPRA transmittal sheet, audio tape notes, POWs seen by Overly/Black/Matheny, list of individuals to be released by N. Vietnam, special reports/chronology/personnel known to be alive/deceased, Whiz was not Webb, and news article.</t>
  </si>
  <si>
    <t>Died of Congestive heart failure.</t>
  </si>
  <si>
    <t>Wells</t>
  </si>
  <si>
    <t>09-A-169 F1</t>
  </si>
  <si>
    <t xml:space="preserve">Wheat </t>
  </si>
  <si>
    <t>29 Aug 1966 - 4 Mar 1973</t>
  </si>
  <si>
    <t>Hildebrand, Leland H.</t>
  </si>
  <si>
    <t>Also includes 1 photograph, debrief summary, officer assignment, casualty reports, biographical data, alleged messages, audio tape notes, chronology report/personnel known to be deceased,</t>
  </si>
  <si>
    <t>09-A-169 F2</t>
  </si>
  <si>
    <t>09-A-169 F3</t>
  </si>
  <si>
    <t>09-A-169 F4</t>
  </si>
  <si>
    <t>N-43 Ha Lo - Hanoi Hilton; N-53 Cu Loc - Zoo; Luang Lang - Dogpatch;</t>
  </si>
  <si>
    <t xml:space="preserve">Also includes 1 photograph, debrief summary, casualty reports, lessons learned, 4 photographs, a news article picture, alleged messages, 2 IIRs, special reports/chronology/personnel known to be alive/deceased, list of individuals to be released by N. Vietnam, and audio tape notes. </t>
  </si>
  <si>
    <t>Also includes 1 photograph, debrief summary, pressure against family of PW, casualty reports, officer assignment, special reports/chronology/personnel known to be alive/deceased, list of individuals to be released by N. Vietnam, and audio tape notes.</t>
  </si>
  <si>
    <t>Mayer, Roderick L.;</t>
  </si>
  <si>
    <t xml:space="preserve">Also includes camp schematics (maps), debrief abstract, Prisoner of War debriefing intelligence, captivity outline, and Navy debrief messages. Second folder has second copy of debrief summary (only one counted). Third folder has egress recap debriefing form. </t>
  </si>
  <si>
    <t>White</t>
  </si>
  <si>
    <t>15 Nov 1969 - 1 Apr 1973</t>
  </si>
  <si>
    <t>09-A-169 F5 Cont.</t>
  </si>
  <si>
    <t xml:space="preserve">09-A-169 F6 Cont. </t>
  </si>
  <si>
    <t>09-A-169 F7 Cont.</t>
  </si>
  <si>
    <t xml:space="preserve">N-43 Ha Lo - Hanoi Hilton; N-53 Cu Loc - Zoo; N-51 Xom AP Lo - Briarpatch; N-84 Dan Hoi - Camp Faith; N-124 Loung Lang - Dogpatch; </t>
  </si>
  <si>
    <t>Graf, John G.</t>
  </si>
  <si>
    <t>Wideman</t>
  </si>
  <si>
    <t>6 May 1967 - 4 Mar 1973</t>
  </si>
  <si>
    <t xml:space="preserve">N-43 Ha Lo - Hanoi Hilton; N-62 Citadel - Plantation; N-53 Cu Loc - Zoo; N-84 Dan Hoi - Camp Faith; N-124 Loung Lang - Dogpatch; </t>
  </si>
  <si>
    <t xml:space="preserve">Also includes debrief abstract, navy debrief messages, status of other POWs, NIS investigation report, and tape index. (tape index shows recordings but we do not have the audio). Second folder has second copy of debrief summary (only once counted). Third folder has egress recap debriefing form. </t>
  </si>
  <si>
    <t>Wieland</t>
  </si>
  <si>
    <t xml:space="preserve">C. </t>
  </si>
  <si>
    <t>Died of pancreatic cancer</t>
  </si>
  <si>
    <t>Died in plane crash</t>
  </si>
  <si>
    <t>Died of Parkinson's disease</t>
  </si>
  <si>
    <t>Died of injuries 17 days after repatriation</t>
  </si>
  <si>
    <t>Died from injuries 15 days after repatriation</t>
  </si>
  <si>
    <t>Committed Suicide months after repatriation</t>
  </si>
  <si>
    <t>Died of Aortic Aneurysm</t>
  </si>
  <si>
    <t>Byrns</t>
  </si>
  <si>
    <t xml:space="preserve">Died of Leukemia </t>
  </si>
  <si>
    <t xml:space="preserve">Died of Heart ailments </t>
  </si>
  <si>
    <t>Died in a house fire</t>
  </si>
  <si>
    <t>Died of throat cancer</t>
  </si>
  <si>
    <t>Died of heart failure</t>
  </si>
  <si>
    <t>Only found on one site no obit.</t>
  </si>
  <si>
    <t>Seems like the report is missing pages, was in Vietnam to find his MIA brother.</t>
  </si>
  <si>
    <t>Died from Suicide because of ALS</t>
  </si>
  <si>
    <t>Complications from a heart ailment</t>
  </si>
  <si>
    <t>Wilber</t>
  </si>
  <si>
    <t>16 Jun 1968 - 12 Feb 1973</t>
  </si>
  <si>
    <t>09-A-170 F1-F28</t>
  </si>
  <si>
    <t>Rupinski, Bernard F.</t>
  </si>
  <si>
    <t>Folder 1 Leon Ellis interview. Folder 2 Finley interview. Folder 3 Kenneth Fisher interview. Folder 4 Kenneth Frazer interview. Folder 5 Guy interview. Folder 6 Halyburton interview. Folder 7 Hawley Interview. Folder 8 Ingvalson interview. Folder 9 has an additional copy of the interviews listed above (this copy not counted). Folder 10 Consolidated report interviews not in previous box. Folder 11 Mcleary/Coffee report and navy debrief messages. Folder 12 MISC homecoming files.</t>
  </si>
  <si>
    <t>09-A-171 F1-F9
09-A-171 F10-F12 Cont.</t>
  </si>
  <si>
    <t>Wilmoth</t>
  </si>
  <si>
    <t>Hal</t>
  </si>
  <si>
    <t>Winn</t>
  </si>
  <si>
    <t>20 May 1972 - 28 Mar 1973</t>
  </si>
  <si>
    <t>09-A-172 F1</t>
  </si>
  <si>
    <t>09-A-172 F2</t>
  </si>
  <si>
    <t>09-A-172 F3</t>
  </si>
  <si>
    <t>Markle, John D.;</t>
  </si>
  <si>
    <t>Also includes 1 photograph, debrief summary, casualty reports, and special reports/chronology.</t>
  </si>
  <si>
    <t>Christian, Michael D.;</t>
  </si>
  <si>
    <t>Williams, Lewis I.;</t>
  </si>
  <si>
    <t>N-43 Ha Lo - Hanoi Hilton; N-53 Cu Loc - Zoo; N-84 Dan Hoi - Camp Faith; N-124 Loung Lang - Dogpatch;</t>
  </si>
  <si>
    <t xml:space="preserve">Also includes army debrief messages. </t>
  </si>
  <si>
    <t>Lateral Sclerosis</t>
  </si>
  <si>
    <t>Complications from fall</t>
  </si>
  <si>
    <t xml:space="preserve">Leo </t>
  </si>
  <si>
    <t>Found reference of death but no date</t>
  </si>
  <si>
    <t>09-A-177 F</t>
  </si>
  <si>
    <t>Couldn’t find Obit</t>
  </si>
  <si>
    <t>Died of lung cancer</t>
  </si>
  <si>
    <t>Homer</t>
  </si>
  <si>
    <t>Noted that he died but no obit.</t>
  </si>
  <si>
    <t>Couldn’t find obit.</t>
  </si>
  <si>
    <t>Congestive heart failure</t>
  </si>
  <si>
    <t>Probably Cancer (donate to ACS on Obit)</t>
  </si>
  <si>
    <t>Listed as lengthy illness</t>
  </si>
  <si>
    <t>Pulmonary Hypertension</t>
  </si>
  <si>
    <t>Not mentioned in Obit.</t>
  </si>
  <si>
    <t>Died of Heart attack</t>
  </si>
  <si>
    <t>Not mentioned  in article.</t>
  </si>
  <si>
    <t>Died in a plane crash</t>
  </si>
  <si>
    <t>Donat</t>
  </si>
  <si>
    <t>Gutterson</t>
  </si>
  <si>
    <t>Complications of a stroke</t>
  </si>
  <si>
    <t>09-A-173 F1</t>
  </si>
  <si>
    <t>9 Aug 1968 - 14 Mar 1973</t>
  </si>
  <si>
    <t>Recorded in box inventory and M3 but not in box</t>
  </si>
  <si>
    <t>09-A-173 F2</t>
  </si>
  <si>
    <t>09-A-173 F3</t>
  </si>
  <si>
    <t>09-A-173 F4</t>
  </si>
  <si>
    <t xml:space="preserve">Also includes 1 photograph, debrief summary, officer assignment, casualty reports, special reports/chronology/personnel known to be alive/deceased, list of individuals to be released by N. Vietnam, audio tape notes, and news article on capture. </t>
  </si>
  <si>
    <t>Chambers, Carl D.</t>
  </si>
  <si>
    <t>Also includes 2 photographs, debrief summary, casualty reports, audio tape notes, special reports/chronology,  and magazine article.</t>
  </si>
  <si>
    <t>Poole, Charles S.; Cooper, Richard; Brown, Charles A.; Alexander, Fernando; Barrows, Henry C.;</t>
  </si>
  <si>
    <t>Poole, Charles S.; Cooper, Richard; Brown, Charles A.; Alexander, Fernando; Wilson, Hal K.;</t>
  </si>
  <si>
    <t>Poole, Charles S.; Cooper, Richard; Brown, Charles A.; Barrows, Henry C.; Wilson, Hal K.;</t>
  </si>
  <si>
    <t>Poole, Charles S.; Cooper, Richard; Alexander, Fernando.; Barrows, Henry C.; Wilson, Hal K.;</t>
  </si>
  <si>
    <t xml:space="preserve">Also includes debrief summary, E &amp; E debriefing, mission narrative, exploitation events, places of confinement, manuscript approval, fact sheet, Minneapolis Tribune, Executive proclamation, phone calls between Mrs. Winn and Lt Col Kidder, letter about Cora Weiss, special reports/chronology/personnel known to be alive/deceased, and list of individuals to be released by N. Vietnam. </t>
  </si>
  <si>
    <t>Died from complications of Parkinson's</t>
  </si>
  <si>
    <t>Couldn’t find Obit.</t>
  </si>
  <si>
    <t>24 Aug 1969 - 25 Aug 1969</t>
  </si>
  <si>
    <t>Irwin;</t>
  </si>
  <si>
    <t xml:space="preserve">pneumonia </t>
  </si>
  <si>
    <t>Not mentioned</t>
  </si>
  <si>
    <t>Lengthy illness</t>
  </si>
  <si>
    <t>was in a coma.</t>
  </si>
  <si>
    <t>Died of Hypoxia after making an emergency landing</t>
  </si>
  <si>
    <t>Killed while piloting light plane</t>
  </si>
  <si>
    <t>Died after a year of failing health</t>
  </si>
  <si>
    <t>Couldn't find Obit.</t>
  </si>
  <si>
    <t>Congestive heart failure and advanced lung disease</t>
  </si>
  <si>
    <t>after a brief illness'</t>
  </si>
  <si>
    <t>Yes</t>
  </si>
  <si>
    <t>Killed by suicide bomber in Beruit embassy</t>
  </si>
  <si>
    <t>Not mention in Obit.</t>
  </si>
  <si>
    <t>Myers</t>
  </si>
  <si>
    <t>Atterberry, Edward.</t>
  </si>
  <si>
    <t>Chronic kidney problems</t>
  </si>
  <si>
    <t>attributed to time in captivity</t>
  </si>
  <si>
    <t>died after a long illness</t>
  </si>
  <si>
    <t>Died of brain tumor</t>
  </si>
  <si>
    <t>Died in plane crash (still on active duty)</t>
  </si>
  <si>
    <t>Cant find any information  but he is listed as passed.</t>
  </si>
  <si>
    <t>Died of a stroke</t>
  </si>
  <si>
    <t>Died in ambush in Manila (shot)</t>
  </si>
  <si>
    <t>Died on active duty</t>
  </si>
  <si>
    <t>Womack</t>
  </si>
  <si>
    <t>Sammie</t>
  </si>
  <si>
    <t>8 Oct 1966 - 2 Feb 1967</t>
  </si>
  <si>
    <t>09-A-174 F1</t>
  </si>
  <si>
    <t>Woods</t>
  </si>
  <si>
    <t>18 Sep 1968 - 12 Feb 1973</t>
  </si>
  <si>
    <t>12 Oct 1966 - 4 Mar 1973</t>
  </si>
  <si>
    <t>Wright</t>
  </si>
  <si>
    <t>Buddy</t>
  </si>
  <si>
    <t>22 Sep 1968 - 6 Oct 1968</t>
  </si>
  <si>
    <t>Writer</t>
  </si>
  <si>
    <t>15 Feb 1968 - 14 Mar 1973</t>
  </si>
  <si>
    <t>09-A-174 F2</t>
  </si>
  <si>
    <t>09-A-174 F3</t>
  </si>
  <si>
    <t>09-A-174 F4</t>
  </si>
  <si>
    <t>09-A-174 F5</t>
  </si>
  <si>
    <t>Also includes letters and highlights of Crafts/Womack debriefing.</t>
  </si>
  <si>
    <t>N-43 Ha Lo - Hanoi Hilton; N-62  Citadel - Plantation; N-84 Dan Hoi - Camp Faith;</t>
  </si>
  <si>
    <t xml:space="preserve">N-43 Ha Lo - Hanoi Hilton; N-53 Cu Loc - Zoo; N-124 Loung Lang - Dogpatch; </t>
  </si>
  <si>
    <t>Also includes informal debrief, debrief abstract, navy debrief messages, and a news article. Second folder has second copy of debrief summary.</t>
  </si>
  <si>
    <t>Also includes processing of escaped POW and army debrief messages.</t>
  </si>
  <si>
    <t>Carpenter, Joe;</t>
  </si>
  <si>
    <t xml:space="preserve">N-43 Ha Lo - Hanoi Hilton; N-62 Citadel - Plantation; N-69 Son Tay - Camp Hope; N-84 Dan Hoi - Camp Faith; N-124 Luang Lang - Dogpatch; </t>
  </si>
  <si>
    <t>Heart attack</t>
  </si>
  <si>
    <t>Weiland</t>
  </si>
  <si>
    <t>Murdered in Atlanta hotel room</t>
  </si>
  <si>
    <t>MFLM 031 R9  Also look at summaries in 09-A-174 F1. 09-B-27, Folder 1.</t>
  </si>
  <si>
    <t>09-B-27, Folder 1</t>
  </si>
  <si>
    <t>Confinement Chronology</t>
  </si>
  <si>
    <t>Laos; N-43 Ha Lo - Hanoi Hilton; Camp LuLu</t>
  </si>
  <si>
    <t>Laos; N-43 Ha Lo - Hanoi Hilton; N-62 Citadel - Plantation; Camp LuLu</t>
  </si>
  <si>
    <t>Young</t>
  </si>
  <si>
    <t>09-A-175 F1</t>
  </si>
  <si>
    <t>Yuill</t>
  </si>
  <si>
    <t>09-A-175 F2</t>
  </si>
  <si>
    <t>Ziegler</t>
  </si>
  <si>
    <t>09-A-175 F3</t>
  </si>
  <si>
    <t>Zuberbuhler</t>
  </si>
  <si>
    <t>Rudolph</t>
  </si>
  <si>
    <t>09-A-175 F4</t>
  </si>
  <si>
    <t xml:space="preserve">Brunson, Cecil H. </t>
  </si>
  <si>
    <t xml:space="preserve">Fryer, Benjamin; Lewis, Frank; </t>
  </si>
  <si>
    <t>Rose, Joseph; Chenoweth, Robert P.; Lenker, Michael R.; Purcell, Benjamin H.; George, James E.;</t>
  </si>
  <si>
    <t>Also includes debrief abstract, chronology/personnel known to be alive, and a news article.</t>
  </si>
  <si>
    <t>McMurray, Frederick C.</t>
  </si>
  <si>
    <t>Also includes 1 photograph, debrief summary, casualty reports, MIA/NVN status, operation homecoming status, audio tape notes, and special reports/chronology report.</t>
  </si>
  <si>
    <t>Zuhoski</t>
  </si>
  <si>
    <t>31 Jul 1967 - 14 Mar 1973</t>
  </si>
  <si>
    <t>09-A-175 F5 (Cont).</t>
  </si>
  <si>
    <t>Zupp</t>
  </si>
  <si>
    <t>Klaus</t>
  </si>
  <si>
    <t>09-A-175 F6 (Cont).</t>
  </si>
  <si>
    <t>N-43 Ha Lo - Hanoi Hilton; N-53 Cu Loc - Zoo;N-84 Dan Hoi - Camp Faith;N-124 Loung Lang - Dogpatch; N-62 Citadel - Plantation</t>
  </si>
  <si>
    <t>Summary/Intelligence debrief/Egress Recap form</t>
  </si>
  <si>
    <t>McCullough, Ralph W.; Price, Donald E.; Wilmoth, Floyd A.</t>
  </si>
  <si>
    <t>27 Oct 1967 - 16 Feb 1968</t>
  </si>
  <si>
    <t>09-A-176, F9</t>
  </si>
  <si>
    <t>Debrief summary number 4.</t>
  </si>
  <si>
    <t>09-A-176, F10</t>
  </si>
  <si>
    <t>Debrief summary number 12.</t>
  </si>
  <si>
    <t>09-A-176, F11</t>
  </si>
  <si>
    <t>09-A-176, F12</t>
  </si>
  <si>
    <t>Debrief summary number 10.</t>
  </si>
  <si>
    <t>Frishmann</t>
  </si>
  <si>
    <t>09-A-176, F20</t>
  </si>
  <si>
    <t>Debrief messages</t>
  </si>
  <si>
    <t>09-A-176, F21
09-A-176, F21
09-A-176, F23</t>
  </si>
  <si>
    <t>Debrief messages and bright light report.</t>
  </si>
  <si>
    <t>Fourth Allied Prisoner of War Wing debrief</t>
  </si>
  <si>
    <t>Flynn, John P.</t>
  </si>
  <si>
    <t>Ranking member</t>
  </si>
  <si>
    <t>09-A-177, F1</t>
  </si>
  <si>
    <t>Briefing on captivity experience, lessons learned and recommendations for the future</t>
  </si>
  <si>
    <t>Briefing for Joint Staff</t>
  </si>
  <si>
    <t>IIRs and debrief messages</t>
  </si>
  <si>
    <t>debrief messages</t>
  </si>
  <si>
    <t>09-A-177, F2</t>
  </si>
  <si>
    <t>09-A-177, F3</t>
  </si>
  <si>
    <t>09-A-177, F4</t>
  </si>
  <si>
    <t>09-A-177, F8
09-A-177, F9</t>
  </si>
  <si>
    <t>Issac</t>
  </si>
  <si>
    <t>09-A-177, F16</t>
  </si>
  <si>
    <t>Press conference</t>
  </si>
  <si>
    <t>15 Nov 1969 - 01 Apr 1973</t>
  </si>
  <si>
    <t>01 Feb 1968 - 27 Mar 1973</t>
  </si>
  <si>
    <t>Sworn Statements</t>
  </si>
  <si>
    <t>09-A-177, F15</t>
  </si>
  <si>
    <t>09-A-177, F9</t>
  </si>
  <si>
    <t>Evaluation of captivity behavoir</t>
  </si>
  <si>
    <t>Timeline, maps, description of captivity and return</t>
  </si>
  <si>
    <t>intelligence debrief</t>
  </si>
  <si>
    <t>Combined messages intelligence debrief</t>
  </si>
  <si>
    <t>2/1//1965</t>
  </si>
  <si>
    <t xml:space="preserve"> 6/12/1968</t>
  </si>
  <si>
    <t>Abstracts from debrief</t>
  </si>
  <si>
    <t>Provides camp locations and camp descriptions</t>
  </si>
  <si>
    <t>09-A-176, F1
09-A-176, F2
09-A-176, F3</t>
  </si>
  <si>
    <t>Summary/debrief messages, department of state memos/release and debriefing, and debrief messages/press/release documents.</t>
  </si>
  <si>
    <t>09-A-176, F13
09-A-176, F14
09-A-176, F15</t>
  </si>
  <si>
    <t>09-A-176, F13
09-A-176, F14
09-A-176, F16</t>
  </si>
  <si>
    <t>09-A-176, F13
09-A-176, F14
09-A-176, F17
09-A-176,F18</t>
  </si>
  <si>
    <t>Press conference/release documents, POW Lists, and debrief messages.</t>
  </si>
  <si>
    <t xml:space="preserve">Press conference/release documents, POW Lists, IIRs, POWs mentioned and lists.  </t>
  </si>
  <si>
    <t>McCuistion</t>
  </si>
  <si>
    <t>First folder has Verbatim debrief transcription. Second folder has debrief summary.  Third folder has McCain file record summary Vol. 1. Fourth folder has McCain file record summary Vol. 2. Fifth folder has egress recap debriefing form. Sixth folder has debrief abstract, navy debrief messages, and captivity interview. Seventh folder has follow-up interview. Eight Folder (folder 5) clippings and correspondence. Ninth Folder (folder 5) DPMO folder.</t>
  </si>
  <si>
    <t>09-A-106 F4-F5</t>
  </si>
  <si>
    <t>09-A-57 F4</t>
  </si>
  <si>
    <t>21 Jul 1967 - 15 Mar 1973</t>
  </si>
  <si>
    <t>Moved to 09-A in April 2018. First folder has navy debrief messages. Second folder has debrief abstract. Third folder has letters to family. Fourth folder has aircraft loss reports.</t>
  </si>
  <si>
    <t>Check to make sure it is in the B-62 box, don’t remember finding it when I was searching. (says it is a summary of the debrief held so there is a verbatim somewhere, Feb 1973) Check CD not in box.</t>
  </si>
  <si>
    <t xml:space="preserve">
09-A-1, F6 Microfiche 2822-2824</t>
  </si>
  <si>
    <t xml:space="preserve">Debrief summary.  </t>
  </si>
  <si>
    <t>Check JPRA-64-MFCH-Disc-A2, Also check 09-A-30, Folder 1</t>
  </si>
  <si>
    <t>only in captivity one day maybe they did not debrief him. Look at 09-A-30, Folder 1</t>
  </si>
  <si>
    <r>
      <t xml:space="preserve">Debrief summary. 09-B-62 F1 discusses comments from audio recording of Clodeon (8 pgs) Summary 09-A-1 F1. </t>
    </r>
    <r>
      <rPr>
        <sz val="10"/>
        <rFont val="Arial"/>
        <family val="2"/>
      </rPr>
      <t>Check 09-B-21 F27</t>
    </r>
  </si>
  <si>
    <t>Medical Update</t>
  </si>
  <si>
    <t>Compete summary is in second folder, summary in first folder (not counted) has note about pages removed. Also includes debrief abstract, navy debrief messages, and an article on POW survival. Third folder has egress recap debriefing form.</t>
  </si>
  <si>
    <t>Also includes 1 photograph, debrief summary, casualty reports, casualty status report, special reports/chronology/personnel known to be alive, list of individuals to be released by N. Vietnam, and audio tape notes.</t>
  </si>
  <si>
    <t>Also includes 1 photograph, debrief summary, camp Duon Ke information and sketches, analysis release, Leonard note, Camp Bau Cau sketch and POWs, tape event sequence, Plantation Gardens, camp schematics (maps), casualty reports, circumstances of loss, audio tape notes, and POW returns to "Christmas".</t>
  </si>
  <si>
    <t>Reported shootdown memo, incident description, debrief abstract, casualty reports, letters to Mrs. Lerseth, POW debriefing intelligence of LT Roger Lerseth, note, personnel casualty report, radio transcription, navy debrief messages, and 3 photographs. Second folder has second copy of debrief summary (only one counted).</t>
  </si>
  <si>
    <t xml:space="preserve">Also includes 3 photographs, debrief abstract, casualty reports, navy debrief messages, missing crewmen report, egress recap pow debrief info, personal authenticator, Duc the Thao magazine summary, navy preliminary report/supplementary reports/personnel casualty report, and bright light photography. Second folder has second copy of debrief summary (only one counted).                                            </t>
  </si>
  <si>
    <t xml:space="preserve">Also includes 1 photograph, debrief summary, officer assignment, casualty reports, chronology/personnel known to be alive/deceased, and audio tape notes. </t>
  </si>
  <si>
    <t xml:space="preserve">Also includes debrief abstract, debrief messages (personnel known to be alive/deceased), and navy debrief message on cemeteries. </t>
  </si>
  <si>
    <t xml:space="preserve">Also includes 1 photograph, debrief summary, synopsis, assignment data, post captivity data, casualty reports, chronology/personnel known to be alive/deceased, audio tape notes, and tracking of former pow (enlisted). </t>
  </si>
  <si>
    <t>Also includes debrief messages (Chronology/personnel known to be alive/deceased), reports information on, and debrief abstract.</t>
  </si>
  <si>
    <t>Also includes 1 photograph, debrief summary, casualty reports, 2 photographs, an IIR, message home, special report/chronology/personnel known to be alive, list of individuals to be released by N. Vietnam, and audio notes.</t>
  </si>
  <si>
    <t xml:space="preserve">Also includes 1 photograph, debrief summary, casualty reports, an IIR, chronology/personnel known to be alive/deceased, list of individuals to be released by N. Vietnam, and audio tape notes. </t>
  </si>
  <si>
    <t>Also includes debrief abstract and debrief messages (chronology/personnel known to be alive/deceased).</t>
  </si>
  <si>
    <t>Also includes 3 photographs (with duplicates and 3 slides), debrief abstract, navy debrief messages, aircraft reports (preliminary message/personal authenticator/personnel casualty report/supplemental report), casualty reports, project homecoming Specific intelligence collection, and fighter squadron 103 casualty report. Second folder has second copy of debrief summary.</t>
  </si>
  <si>
    <t>Also includes debrief summary, annotated summary, air craft reports (preliminary message/personnel casualty report/supplemental casualty report/personal authenticator), radio reports of capture, background info on Matheny, correspondence between Navy and parents, news of release, list of POWs, navy debrief messages, notification of NOK,  casualty reports, Hanoi radio text, news articles, the America magazine, and 7 photographs (including letters). Second folder has second copy of debrief summary. Third folder has verbatim transcript, notes about transcript, and tracking of receipt of transcript. Also see Matheny, Black, and Overly info in 09-A-176.</t>
  </si>
  <si>
    <t>Also includes debrief summary, casualty reports with note, status of PALs/PW cemeteries, radio transcript, chronology report, and audio tape notes.</t>
  </si>
  <si>
    <t>Also includes 1 photograph, debrief summary, casualty reports, sighting of prisoner CIA, 1 photograph, special report/chronology/personnel known to be alive/deceased, list of individuals to be released by N. Vietnam, officer assignment, and audio tape notes.</t>
  </si>
  <si>
    <t>Also includes follow-up interview, Jane Fonda article, debrief abstract, ONI 53-1A prisoner, casualty reports, biographical data, outline summary, navy debrief messages, and aircraft reports (personal authenticator/personnel casualty report/Statistical summary/preliminary report). Second folder has transcript but it is counted first. Third folder has egress recap debriefing form. Fourth folder has 4 photographs and an envelop. Fifth folder has debrief summary.</t>
  </si>
  <si>
    <t>Also includes 1 photograph, debrief summary, 3 photographs, an IIR on shoot down with photo, an IIR with excerpt from Japanese paper, chronology/personnel known to be alive/deceased, list of individuals to be released by N. Vietnam, and audio tape notes.</t>
  </si>
  <si>
    <t>Also includes debrief summary, debrief abstract, 3 photographs, ONI 53-1 A prisoner, casualty report, biographical data, aircraft loss reports (personal authenticator/preliminary message/radio announcement of capture/personnel casualty report), navy debrief messages, status on other POW/MIAs, Prisoner of War debriefing intelligence, and NIS investigation report. Second folder has egress debrief form, 26 photos of one hand code and 26 photos of two-hand code. Third folder has second copy of debrief summary (only one counted).</t>
  </si>
  <si>
    <t xml:space="preserve">Also includes 3 photographs, navy debrief messages, debrief abstract, air craft loss reports (personnel casualty report/radio announcement of capture/daily statistic/preliminary message/personal authenticator), casualty reports, biographical data, ONI 53-1A prisoner, status on other POW/MIAs, Prisoner of War debriefing intelligence, and NIS investigation report. Second folder has second copy of debrief summary (only one counted). Third folder has egress recap debriefing form. </t>
  </si>
  <si>
    <t>Also includes debrief abstract, navy debrief messages, and NIS investigation report. Second folder has second copy of debrief summary (only one counted). Third folder has egress recap debriefing form.</t>
  </si>
  <si>
    <t>Also includes 1 photograph, debrief summary, casualty reports, officer assignment, special reports/chronology/personnel known to be alive/deceased, list of individuals to be released by N. Vietnam, foreign medical personnel, and audio tape notes.</t>
  </si>
  <si>
    <t>Also includes 1 photograph, debrief summary, casualty reports, 1 photograph, special reports/personnel known to be alive/deceased/chronology, list of individuals to be released by N. Vietnam, audio tape notes, and camp schematics (maps)/descriptions.</t>
  </si>
  <si>
    <t>Also includes navy debrief messages and NIS investigation report. Second folder has casualty/NOK reports. Third folder has second copy of debrief summary (only one counted). Fourth folder has Mishap/Search/Rescue reports.</t>
  </si>
  <si>
    <t>Also includes 1 photograph, debrief summary, officer assignment, casualty reports, special report/chronology/personnel known to be deceased.</t>
  </si>
  <si>
    <t xml:space="preserve">Folder 2 includes debrief summary, debrief abstract, interview, navy debrief messages, JSSA Collamore findings, outline of captivity, tape log, news articles, and NIS investigation report. Folder 3 has debrief transcript. Second Folder 3 has official debrief summary copy (not counted). Third folder 3 has </t>
  </si>
  <si>
    <t xml:space="preserve">Also includes 1 photograph, debrief summary, casualty reports, special report/chronology/personnel known to be alive/deceased, list of individuals to be released by N. Vietnam, audio tape notes, and camp schematics (maps). </t>
  </si>
  <si>
    <t>Also includes debrief abstract, casualty reports, biographical data, letter home, navy debrief messages, aircraft loss reports (circumstances/bright light/personal authenticator/preliminary message/supplemental message), four photographs and one envelop, and Hanoi interviews with POWs. Second folder has second copy of debrief summary (only one counted).</t>
  </si>
  <si>
    <t xml:space="preserve">Also includes 2 photographs (are both him?), casualty reports, special reports/chronology/personnel known to be deceased, list of individuals to be released by N. Vietnam, audio tape notes, Xmas 69 photo identification, and time magazine article. Second folder has special report #100. </t>
  </si>
  <si>
    <t>Also includes letter about National liberation Front, note about Kushner, letter on return of US Army PW, navy messages on ortiz-revera and agosto-santos release,  and Navy debrief messages.</t>
  </si>
  <si>
    <t xml:space="preserve">Folder 5 has debrief summary, 1 photograph, casualty reports, casualty status, personal data questionnaire, 1 photograph, news articles, letters, memo  on Overly debriefing, places of confinement, exploitation events, Hanoi news of release, notes on debriefing relating to Hughes, sentinel echo message, debriefing timeline, and debriefing guide. Folder 6 has IIRs, Overly meeting with DVR officials in France, release of prisoners sentinel echo message, chronology of events, PW study, initial debriefing, and navy debriefing messages. Folder 7 discussion of Overly's meeting with North Vietnamese. </t>
  </si>
  <si>
    <t>Talley, William H.</t>
  </si>
  <si>
    <t xml:space="preserve">Also includes debrief summary, permission to extract from debriefing, casualty reports, interview in N. Vietnam, IIR with photo, an IIR radiophoto No 461, special reports/chronology/personnel known to be alive/deceased, list of individuals to be released, and audio tape notes. </t>
  </si>
  <si>
    <t>Includes 3 photographs, debrief abstract, casualty reports, particular information on LTJG Penn, casualty incident analysis, navy debrief messages, pow status, circumstances of status, aircraft loss reports (personnel casualty report/downed personnel/supplementary report), and Hanoi broadcasts. Second folder has second copy of debrief summary (not counted).</t>
  </si>
  <si>
    <t>Verbatim is an interview. Also includes debrief summary, shoot down debriefing, and debriefing of escort.</t>
  </si>
  <si>
    <t>Also includes debrief abstract, ONI 53-1A Prisoner, aircraft loss reports (crew statements/preliminary message/personnel casualty report/maps of loss/supplemental report/biographical data, casualty report), navy debrief messages, and bright light photos with 3 photographs. Folder 6 has Egress recap debriefing form. Folder 7 has second copy of debrief summary (only one counted).</t>
  </si>
  <si>
    <t>Also includes 1 photograph, debrief summary, casualty reports, special reports/personnel known to be alive/deceased, list of personnel to be released by N. Vietnam, and audio tape notes.</t>
  </si>
  <si>
    <t>Folder 6 also includes debrief abstract, Oni 53-1A Prisoner, casualty report, biographical data, navy debrief messages, aircraft loss reports (preliminary message/personnel casualty/daily statistical reports), other POWs status, prisoner of war diary, 3 photographs, and camps schematics (maps). Folder 7 has Egress recap debriefing form. Folder 8 has second copy of debrief summary (not counted).</t>
  </si>
  <si>
    <t>Also includes debrief abstract, outline of captivity, navy debrief messages, camp schematics (maps), status of other POWs, and NIS investigation report. Second folder has egress recap debriefing form. Third folder has second copy of debrief summary (only one counted).</t>
  </si>
  <si>
    <t>Summary includes POW debriefing intelligence. Also includes debrief abstract, hand written debrief notes, 5 photographs, casualty reports, biographical data, ONI 53-1A Prisoner, aircraft loss reports (personnel casualty report/preliminary message), Hanoi broadcasts, navy debrief reports, and other POW status. Second folder has second copy of debrief summary (only one counted). Third folder has egress recap debriefing form.</t>
  </si>
  <si>
    <t>Also includes 1 photograph, debrief summary, waiver request, casualty reports, special reports/chronology, and audio tape notes.</t>
  </si>
  <si>
    <t xml:space="preserve">Also includes 1 photograph. Folder 2 has debriefing summary, memorandums for record, casualty report, comments on Risner's debriefing report, next assignment, handwritten debriefing summary, transmitted Risner papers (wing policies and message to returned POWs), list of archives/media, and comments on POW confinement transcript. Folder 3  special reports 1-6 and 8-13. Folder 4 Chronology report, army paper interview, list of individuals to be released by N. Vietnam, homecoming press conference, and debrief messages. Folder 5 has IIRs and foreign broadcasts and articles. Folder 6 has news and magazine articles and 19 photographs, </t>
  </si>
  <si>
    <t>Also includes debrief abstract, follow-up interview, follow-up questionnaire, follow-up interview 2, navy debrief messages, NIS investigation report, and addendums to highlight messages. Folder 8 has a second copy of the debrief summary (only one counted). Folder 9 has the egress recap debriefing form.</t>
  </si>
  <si>
    <t>Also includes 3 photographs, debrief abstract, ONI 53-1A Prisoner, Aircraft Loss reports (preliminary message/personnel casualty/personal authenticator/daily statistics), casualty report, biographical data, navy debrief messages, and NIS investigation report. Second folder has second copy of debrief summary (only one counted).</t>
  </si>
  <si>
    <t>Verbatim Transcript also has portions in third person. Folder 2 also includes intelligence evaluation report. Folder 3 recovery messages, processing messages, army debrief messages, and Follow-up interview tape log. Folder 4 news clippings. Folder 5 has survival, resistance and escape; biographical data, visit of Maj Rowe, Stevens on Maj Rowe, record of coordination, exploitation division, visit to white house, report on interview, and EEi for debriefing.</t>
  </si>
  <si>
    <t xml:space="preserve">Also includes 3 photographs, debrief summary, debrief abstract, letter home, biographical data, Hanoi interviews with POWs, aircraft loss (personnel casualty report/Hanoi text/report on status/status of awards/personal authenticators), account of POW display, navy debrief messages, casualty report, ONI 53-1A Prisoner, </t>
  </si>
  <si>
    <t>Also includes 1 photograph. Folder 1 has casualty reports, debrief summary, sentinel echo egress recap report, casualty status, downing report, Quang Binh map, Rumble release, summary of experiences of 3 POWs, reception of PWs, review of SEA War Records, background paper on debriefing of Rumble. Folder 2 has statement on treatment, signal program and letters, list of names, examination of POW letters, Stone face, POWs in North Vietnam, captivity description, partial list of pows, and FOIA request. Folder 3 has IIRs. Folder 4 has review of SEA War records and air force debrief messages. Folder 5 has intelligence reports, navy debrief messages, and sentinel echo debriefing.</t>
  </si>
  <si>
    <t>Also includes 1 photograph, debrief summary, Dogpatch schematics, casualty reports, newspaper photo, 3 photographs, officer assignment, 1969 Christmas service, chronology/personnel known to be alive/deceased, list of individuals to be released by N. Vietnam, and audio tape notes.</t>
  </si>
  <si>
    <t>Also includes 1 photograph, debrief summary, 1 photograph, casualty report, 1969 Christmas service, special reports/chronology/personnel known to be alive/deceased, list of individuals to be released by N. Vietnam, audio tape notes, and an IIR.</t>
  </si>
  <si>
    <t>Verbatim debrief includes tape abstracts. Also includes debriefing summary, tape log, SAR shoot down trap, Recommendations for achievement, Allied POW Wing, special reports, arrangements to see debrief for Mr. Schierman, 1 photograph, casualty reports, special reports/chronology, list of individuals to be released by N. Vietnam, audio tape notes, tape objectives, places of confinement, camp schematics (maps), and news articles.</t>
  </si>
  <si>
    <t>Also includes 1 photograph, debrief summary, casualty reports, alleged message, photo IIR, 2 photographs, statements in the press, Washington post article, photograph with caption, special reports/chronology/personnel known to be alive/deceased,</t>
  </si>
  <si>
    <t>Also includes 1 photograph, debrief summary, chronology/personnel known to be alive/deceased, redressal form, audio tape notes, officer assignment, casualty reports, camp schematics (maps), and navy debrief message.</t>
  </si>
  <si>
    <t xml:space="preserve">Also includes 2 photographs, debrief summary, waiver of assignment restriction, casualty report, special reports/chronology/personnel known to be alive/deceased, and audio tape notes. </t>
  </si>
  <si>
    <t xml:space="preserve">Also includes 1 photograph, debrief summary, casualty reports, physical description of Dogpatch, special reports/chronology/personnel known to be alive/deceased, list of individuals to be released by N. Vietnam, and news articles. </t>
  </si>
  <si>
    <t xml:space="preserve">Also includes debrief abstract, navy debrief messages, NIS investigation report, and a news article. Second folder has second copy of debrief summary (only one counted). Third folder has egress recap debriefing form. </t>
  </si>
  <si>
    <t xml:space="preserve">Also includes 1 photograph, debrief summary, retirement request, casualty reports, special reports/chronology, list of individuals to be released by N. Vietnam, audio tape notes, and a news article photograph. </t>
  </si>
  <si>
    <t>Also includes debrief abstract, casualty reports, navy debrief messages, biographical data, ONI 53-1A prisoner, and aircraft loss reports (personnel casualty report/speedletter/Teague statement/preliminary message/statistical data/personal authenticator/supplementary message. Second folder has second copy of debrief summary. Third folder has egress recap debriefing form. Fourth folder has debriefing report on Harry Blackburn.</t>
  </si>
  <si>
    <t>Also includes returnee contact report, debrief abstract, chronology report/personnel known to be alive, alleged messages, reports information on other POWs, letters of correspondence through Cora Weiss, and photo comparison results.</t>
  </si>
  <si>
    <t>Also includes debrief abstract, casualty reports, biographical data, 2 photographs, Vietnam news agency, ONI 53-1A prisoner, Aircraft loss reports (Missing personnel/personnel casualty report/preliminary message), navy debrief messages, POW interview reports, NIS investigation report, and news article. Second folder has second copy of debrief summary (only one counted).</t>
  </si>
  <si>
    <t>Also includes 1 photograph, debrief summary, casualty reports, an IIR, special report/chronology/personnel known to be alive/deceased, 1969 Christmas film, list of individuals to be released by N. Vietnam, and audio tape notes.</t>
  </si>
  <si>
    <t>Also includes 1 photograph, debrief summary, casualty reports, alleged messages, chronology report/personnel known to be alive/deceased, list of individuals to be released by N. Vietnam, audio tape notes, declassification of Confidential air war college professional study by Stockman correspondence, and Professional study 5437 (Authority, leadership, organization and discipline amount US POWs in the Hanoi Prison System).</t>
  </si>
  <si>
    <t>Also includes debrief summary of three POWs, army debrief messages, army debrief messages three POWs, Hanoi broadcast, and news articles.</t>
  </si>
  <si>
    <t xml:space="preserve">Also includes 1 photograph, debrief summary, casualty report, chronology report, list of individuals to be released by N. Vietnam, and audio tape notes. </t>
  </si>
  <si>
    <t>Also includes debrief abstract, chronology/personnel known to be alive/deceased, and news articles. Second folder has handwritten debriefing notes. Third folder has debriefing reports on Thompson. Fourth folder has confinement chronology report. Fifth folder has circumstances of release report.</t>
  </si>
  <si>
    <t>Also includes preliminary report on experimental debriefing, NOK notification, army returnee report, reports on debriefing process, press relations, army debrief messages, recap requirements, medical condition, Air Force interview, memorandum for the record, drawings of bunker and POW camp report, news article, POW chronology, timeline of recovery return and debriefing, debrief distribution report, and investigation of van Putten contract.</t>
  </si>
  <si>
    <t>Also includes 1 photograph, debrief summary, casualty reports, chronology report/personnel known to be alive/deceased, list of individuals to be released by N. Vietnam, officer assignment, and audio tape notes.</t>
  </si>
  <si>
    <t>Also includes reinterview of White, camp schematics (maps), debrief summary review, release of debrief to Senate Subcommittee, U.S. Army Personnel missing biographical data, basis for PW status, post-capture photograph of White report, casualty reports, release of additional US Army PW, debrief abstract, and army debrief messages.</t>
  </si>
  <si>
    <t>Also includes debrief abstract, casualty report, aircraft loss (personal authenticator/preliminary message/personnel casualty report), POW photograph identification, handwriting sample, 2 photographs, navy debrief messages, three photographs, and letter about photographs. Second folder has debrief summary (only one counted). Third folder has egress recap debriefing form.</t>
  </si>
  <si>
    <t xml:space="preserve">Folder 1 has debriefing notes and portions of the verbatim debrief. Folder 2 has navy debrief message, aircraft loss reports (NOK notification/personnel casualty report), alleged message/broadcasts, Follow-up interview, and news articles. Folder 3 has NCIS testimony of Col. Theodore Guy. Folder 4 Stockdale correspondence/charges. Folder 5 Ramsey Clark interview. Folder 6 has 4th Allied POW Wing policies and camp regulations. Folder 7 has returnee press conference. Folder 8 has report of ad hoc working group covering decisions on court-martial/barbed wire command/hand written notes/military law review/code of conduct. Folder 9 60 minutes interview. Folder 10 Wilber-Miller chronology. Folder 11 Molinare interview. Folder 12 Hoffman interview. Folder 13 Rudloff interview. Folder 14 Gartley statement. Folder 15 Kenneth H. Johnson statement. Folder 16 Schwertfeger interview. Folder 17 Latendresse interview. Folder 18 has Stockdale interview. Folder 19 Logan interview. Folder 20 Penn Interview. Folder 21 Shumaker interview. Folder 22 Nichols interview. Folder 23 Ensch interview. Folder 24 Beeler interview. Folder 25 Rutledge interview.  Folder 26 Seek Statement. Folder 27 Miller-Wilber charges. Folder 28 NIS investigation report. </t>
  </si>
  <si>
    <t>Also includes debrief summary, officer assignment, casualty reports, Writter letter correspondence about Mr. Quy, special report/chronology, list of individuals to be released by N. Vietnam, audio tape notes, and news article.</t>
  </si>
  <si>
    <t>Also includes 1 photograph, debrief summary, casualty reports, alleged statement, audio tape notes, and chronology.</t>
  </si>
  <si>
    <t>Debrief is labeled as intelligence debrief.  Also includes debrief summary, Personnel known to be alive/deceased, Casualty report, biographical data, debrief abstract, POW list, ONI 53-1A Prisoner, Report of aircraft accident (personnel casualty/Preliminary message/daily statistical/personal authenticator), three photographs, and two letters. Second folder has second copy of debrief summary (not counted).  Third folder has egress recap debriefing form.</t>
  </si>
  <si>
    <t>Debriefing Agency</t>
  </si>
  <si>
    <t>Debrief summary, audio recording notes, maps, casualty reports, and an IIR, 09-B-62 F14, 39 pgs. 16 photographs (11 of Col. Dodge). Recorded message home from Vietnam on ATR-95.</t>
  </si>
  <si>
    <t>Additional items in folder 09-A-4 F4, but mostly copies of documents in folder 3, the clinical documents are not duplicates. 171 pages in 09-B-63 F3, include Homecoming Navy message debriefs, FBI investigations, most of the rest is copies of the documents/pictures in 09-A-4 F3</t>
  </si>
  <si>
    <t>Two copies of summaries, did not count the second one. Also includes Operation Homecoming Navy Message debriefs (two copies. only counted one). Also includes biographical data, and JoPrep,  Casualty, and shoot down reports, should these move to 09-C? Lastly there is a copy of the Egress debrief form in 09-A-4 F8 which is 200 pages. There is a third copy of the summary and a second copy of the egress debrief form in 09-A-4 Cont. Folder 9 and 10. (neither are included in page count but the egress form in 09-A-4 Cont. seems to contain some of the originals while the other one is entirely a copy.</t>
  </si>
  <si>
    <t>also includes audio tape notes (11), Egress recap messages (26), summary (9), and casualty reports (3).</t>
  </si>
  <si>
    <t>One debrief intelligence debrief report (third person but lengthy and has audio reel information) and one summary of experiences. 09-A-7 Cont. F5 includes documentation on the shoot down and his capture (crew thought he was KIA), Investigation into his recordings and treatment, and letters.</t>
  </si>
  <si>
    <t xml:space="preserve">Two copies of summary (only one counted), 3 photographs, debrief abstract, FBI harassment investigation of sister, Homecoming navy message debriefs, Egress debrief form, JoPrep and ONI reports, casualty and biographical data, Pows on day of release, and returnee logistics and hospital assignments. 09-A-8 Cont., F4 has a complete Egress Recap debrief form and a third copy of the summary (not counted). </t>
  </si>
  <si>
    <t>Also includes List of known personnel and debrief abstract.</t>
  </si>
  <si>
    <t>Two copies of summary (only one counted), 3 photographs, debrief abstract, casualty reports, JoPrep/SAR, Personal authenticator reports, Navy message debrief reports, POWs in Laos, Report of status, photos of downed personnel, Naval Intelligence Command letter, Handwriting sample, debrief form, and an article. Third copy of summary, copy of casualty reports, ONI 53-1A prisoner report, copy of Mishap/search/rescue reports, copy of egress recap report, and a copy of homecoming debrief report in 09-A-13 Cont. F3.</t>
  </si>
  <si>
    <t>Also includes 3 photographs, Intelligence Information telegram, debrief abstract, Homecoming navy message debriefs, JoPrep, casualty reports, radio recordings and propaganda letters, letter to family, background on shoot down, photo comparison, POW status, POW photo, and debrief form. An additional copy of the debrief summary is in 09-A-13 Cont.</t>
  </si>
  <si>
    <t>Also includes 2 IIR reports, audio tape notes, special report/personnel known to be alive, Operation Homecoming US personnel list, POW sightings report, unidentified photos, casualty reports, and a summary of debriefing.</t>
  </si>
  <si>
    <t>Also includes debrief summary with two maps, debrief analysis comparison list, audio tape notes, special reports, and casualty reports.</t>
  </si>
  <si>
    <t>Also includes 4 photographs, Special report, debrief summary, personnel known to be alive, audio tape notes, casualty report, Washington Post photo, DRV message, operation homecoming list, Possible MIA identification and messages home, DRV propaganda, and an Eye-witness statement from Cpt Laine.</t>
  </si>
  <si>
    <t xml:space="preserve">Also includes follow-up interview handwritten notes, two copies debrief summary (only one counted), note about DPMO, debrief abstract, Navy Message debriefs, and NCIS investigation. In 09-A-15 Cont., there is another copy of the debrief summary and a another copy of a homecoming debrief report. </t>
  </si>
  <si>
    <t>There are 8 more folders containing 668 more pages a majority seem to be on the release of black, overly, and norris which I think should be moved to 09-B…. Need to determine next move before preserving and creating item breakdown for this box.</t>
  </si>
  <si>
    <t>Also includes special reports/personnel known to be alive and  the Ex-POW Jinxed article.</t>
  </si>
  <si>
    <t>Also includes detailed index of tapes, Egress recap reports, list of individuals to be released by N. Vietnam, audio tape notes, debrief summary, and special reports.</t>
  </si>
  <si>
    <t>Summary (three copies only one counted and SICR (specific Intelligence Collection Requirement). Also includes NIS investigation, debrief abstract, 2 articles, and Navy message debriefs.</t>
  </si>
  <si>
    <t>Also includes summary, special reports/personnel known to be alive, list of individuals to be released by N. Vietnam, special topics, and audio tape notes.</t>
  </si>
  <si>
    <t>Includes 5 photographs, 3 drawn charts, 5 maps, 1 article, 1 fax sheet, special reports/personnel known to be alive, Navy messages, suicide articles, audio recording notes, list of individuals to be released by N. Vietnam, casualty reports, one negative, Aleksandr visit to Vietnam, and shoot down report.</t>
  </si>
  <si>
    <t>Includes 6 photographs, 3 drawn maps, 3 maps, debrief summary, Foreign broadcast info, casualty report, photo evaluation report, audio tape notes, special reports/personnel known to be alive, and homecoming recovery report.</t>
  </si>
  <si>
    <t>There are two additional copies of the debrief summary (only one is counted), 1 map, Navy debrief messages (duplicate of this in extra folder), NIS Investigation, and the abstract debrief.</t>
  </si>
  <si>
    <t xml:space="preserve">Also includes casualty report, Christmas message, and special reports/personnel known to be alive. </t>
  </si>
  <si>
    <t>Also includes 2 maps, casualty reports, messages home, audio tape notes, special reports, and camp regulations.</t>
  </si>
  <si>
    <t>Is a summary but includes some first person quotes from interviews with commissioner at POW camp.  Also includes escape article, interagency document request, second summary, following passed FYI,</t>
  </si>
  <si>
    <t xml:space="preserve">Also includes 3 photographs, special report with hand drawn maps, maps, debrief summary, reports on propaganda and interviews on us involvement in Vietnam, list of individuals to be released by N. Vietnam, casualty reports, Washington post article, audio tape notes, and special reports/personnel known to be alive. </t>
  </si>
  <si>
    <t>Includes two more copies of the summary (only one counted), three photographs, debrief abstract, ONI report, casualty report, biographical data, notice of father's death, navy message debriefs, Status report, Carey shoot down/capture reports.</t>
  </si>
  <si>
    <t>In folder 6 there is an additional audio recording transcript, but seems to be more about his mission and being shotdown/capture than the debrief is. In folder 4 there are casualty reports, description of loss, personal data form by wife, casualty status report, POW study orders, medical debrief, counterintelligence debriefing summary and transcript, and one photograph. Folder 5 includes IIRs.</t>
  </si>
  <si>
    <t xml:space="preserve">Also includes debrief abstract, casualty reports, officer assignment, identification of POW, JOPREP, audio tape notes, chronology/photo identification, list of individuals to be released by N. Vietnam, and 4 maps. </t>
  </si>
  <si>
    <t>Also includes debrief summary, camp map, photograph, casualty reports, One Man's Ordeal, audio tape notes, special reports/personnel known to be alive, list of individuals to be released by N. Vietnam, Suffolk Native article, and the Byword was We.</t>
  </si>
  <si>
    <t>Also includes follow-up interview notes, debrief abstract, letters from Christian, article, follow-up interview, navy message debriefs. A third copy of the summary is in the second folder (only one copy counted) and an Egress recap form is in the third folder.</t>
  </si>
  <si>
    <t xml:space="preserve">Also includes debrief abstract and Navy debrief messages. The second folder holds a message concerning his backseater. The third and fourth folder hold extra copies of the navy message reports and the debrief summary (only one counted). </t>
  </si>
  <si>
    <t>Also includes photograph, casualty reports, audio tape notes, special reports/personnel known to be alive, list of individuals to be release by N. Vietnam, casualty assistance summary, letter to Lt. Halman, travel orders, POW articles, Checklist for homecoming notification officers, and correspondences to the family.</t>
  </si>
  <si>
    <t>Also includes 8 photographs, 1 magazine excerpt, casualty report, pilot depositions, POW articles, assignment message, audio tape notes, special reports/personnel known to be alive, message home, and list of individuals to be released by N. Vietnam.</t>
  </si>
  <si>
    <t>Also includes 5 photographs, special reports, casualty reports, abstract debrief, discussion of letter from Lt. Col. Craner, shoot down reports, operation homecoming egress recap print-out, audio tape notes, chronology/special reports/debriefing reports, list of individuals to be released by N. Vietnam, JPRA correspondence with daughter, POW articles, and the debrief summary.</t>
  </si>
  <si>
    <t>Also includes audio tape notes, casualty reports, prisoner interviews, PW Camp Dogpatch, U.S. Crimes in DRV, article on wife, shoot down and capture reports, special reports/personnel known to be alive, statement, study books, biographies, 2 maps, IIR peace workers observations, comments on interview, observation of US POW, IIR, photo identification, and 13 photos and one negative (in second folder).</t>
  </si>
  <si>
    <t>Also includes photograph, debrief summary, casualty report, special reports/personnel known to be alive, homecoming statement, list of individuals to be released by N. Vietnam, and audio tape notes.</t>
  </si>
  <si>
    <t>Also includes debrief abstract, casualty reports, audio tape notes, chronology/PW identification reports, list of individuals to be released by N. Vietnam, and debrief summary.</t>
  </si>
  <si>
    <t>Also includes 6 photographs, an interview while captured, debrief summary, the article, classification guidance, casualty reports, Photo identification, DOS telegram, brainwashing article, Alleged pow actions, Hanoi broadcast article, chronology report, list of personnel to be released by N. Vietnam, audio tape notes, freedom flight article, and IIRs.</t>
  </si>
  <si>
    <t>Also includes debrief summary, memorandum for record, casualty reports, IIRs, special reports/personnel known to be alive, list of individuals to be released by N. Vietnam, audio tape notes, medal of honor article, All day's tomorrow article, Bud day article, and an information bulletin guest speaker.</t>
  </si>
  <si>
    <t>Also includes 6 photographs, significant events, 14 additional photographs with description (two are duplicates of the 6 above), SERE Newsletter debriefing, and Case study. Second folder has an additional copy of debrief. Third folder has an additional copy of the significant events document.</t>
  </si>
  <si>
    <t>Tschudy, William M.;</t>
  </si>
  <si>
    <t>Also includes photograph, debrief summary, casualty reports, chronology/usa personnel, list of individuals to be released by N. Vietnam, and audio tape notes.</t>
  </si>
  <si>
    <t xml:space="preserve">Also includes 3 maps, NIS investigation report, tape index, photocopy of egress recap form, debrief abstract, Follow-up interview, follow-up interview handwritten notes, personnel known to be alive forms, Navy debrief messages, press conference, best guess article, and what he missed the most article. Folder 5 has egress recap original (only one copy counted. Folder 6 has third copy of summary (only one counted). </t>
  </si>
  <si>
    <t>Also includes debrief abstract, navy debrief messages, and NIS investigation report. The second folder has an egress recap form. The third folder has a third copy of the summary (only one counted).</t>
  </si>
  <si>
    <t>Also includes a photograph, debrief summary, casualty report, casualty status, special report/chronology, list of individuals to be released by N. Vietnam, audio tape notes, and AF investigation report.</t>
  </si>
  <si>
    <t>Also includes debrief summary, casualty reports, debrief abstract, audio tape notes, and chronology report.</t>
  </si>
  <si>
    <t xml:space="preserve">Also includes debrief summary, casualty reports, interview in Vietnam, audio tape notes, egress recap report, special report/personnel known to be alive/deceased, and list of individuals to be released by N. Vietnam. </t>
  </si>
  <si>
    <t>Also includes 3 photographs, debrief summary, casualty reports, DOS photograph identification, message home, chronology/personnel known to be alive/pow cemeteries, list of individuals to be released by N. Vietnam, and audio tape notes.</t>
  </si>
  <si>
    <t xml:space="preserve">Also includes debrief abstract and navy debrief messages. The second folder holds the Egress Recap debriefing form, and the third is a 3rd copy  of the summary (only one counted). </t>
  </si>
  <si>
    <t>Subject was not debriefed because of legal litigation at the time of return he was interviewed in December following his repatriation for information on Riate. This folder includes the interview report and results, debrief abstract, and background information on why he was not debriefed.</t>
  </si>
  <si>
    <t>Also includes an After Action Report on the debriefing of Elias (folder 1), IIRs (folder 2),  photograph with debrief, Air Force Casualty book excerpt, possible release, personnel data questionnaire, training report, letters, medical pill analysis (folder 3),  Egress recap/coming home reports, announcement of release, interviews and messages from N. Vietnam (folder 4), E&amp;E report of Ernest S. Clark (folder 5, should this move?), 17 photographs (folder 6, should these move not all are Elias), audio tape notes, Egress recap debrief, Navy cases one crewman missing, special reports/personnel known to be alive/deceased  (folder 7), Print out of all nonreturnees Oct 1972 (folder 8), and news clippings (folder 9).</t>
  </si>
  <si>
    <t>Also includes debrief abstract and navy debrief messages. The second folder holds a photocopy of the navy debrief messages and the third folder holds a third copy of the summary(only one counted).</t>
  </si>
  <si>
    <t>Also includes chronology/personnel known to be alive, debrief abstract, and handwritten debrief notes.</t>
  </si>
  <si>
    <t>Also includes debrief summary, debrief abstract, follow-up interview, navy debrief messages, JoPrep/shoot down/SAR, intelligence debriefing log, ONI 53-1 A, casualty report, biographical data, and three photographs (there are two copies of the summary only one is counted).</t>
  </si>
  <si>
    <t>Also includes follow-up interview, places of confinement, debrief abstract, ONI 53-1A, biographical data, casualty report, JoPrep/shoot down/SAR, navy debrief messages, and NIS investigation report. Second folder has third copy of summary (only one counted). Third folder has egress recap debriefing.</t>
  </si>
  <si>
    <t>Also includes 1 photograph, debrief summary, casualty reports, audio tape notes, chronology/personnel known to be alive/deceased, and list of individuals to be released by N. Vietnam.</t>
  </si>
  <si>
    <t>Also includes Army debrief messages.</t>
  </si>
  <si>
    <t>Also includes two photographs, debrief summary, request for waiver, casualty reports, audio tape notes, personnel known to be alive, and list of individuals to be released by N. Vietnam.</t>
  </si>
  <si>
    <t xml:space="preserve">Also includes 1 photograph, 8 maps, debrief summary, reassignment, casualty reports, audio tape notes, special report/chronology, and article. </t>
  </si>
  <si>
    <t>Verbatim has notes in it that tape 14 and tape 23 transcript were destroyed in 1974. Also includes debrief summary, casualty report, 6 photographs, debriefing summary report, lessons learned, 4th combined POW Wing Admin Orders, returnee press conference, alleged statement, Hanoi Broadcasts and Hanoi names more captives articles, Vietnam Courier, Havana TV, Department of State photographs of POWs telegram, fear of an American pilot text, downed pilots over NVN, audio tape notes, list of individuals to be released by N. Vietnam, clarification report, chronology report, and three articles (the POWs: Rebuked once again, Tales of Viet Torture, and POW leader says he gave in under torture.) 09-A-57 includes egress transcript messages, special reports, and clarification messages.</t>
  </si>
  <si>
    <t>Also includes debrief summary, casualty reports, 1 photograph, capture of four Air Force personnel, combined military interrogation center report, sighting of captured US aircrews, IR 6027-9310-67, Hanoi radio translation, audio tape notes, special reports/chronology report/personnel known to be alive, and list of individuals to be released by N. Vietnam.</t>
  </si>
  <si>
    <t>Also includes debrief summary, casualty reports, 1 photograph, report on downing of US aircraft, US pilot captured in Hanoi, sighting of 3 US POWs, audio tape notes, chronology reports/personnel known to be alive, list of individuals to be released by N. Vietnam, and camp schematics (maps).</t>
  </si>
  <si>
    <t>Also includes army debrief messages (chronology/personnel known to be alive/deceased), debrief abstract, and unidentified photographs letter.</t>
  </si>
  <si>
    <t xml:space="preserve">Also includes debrief summary, final summary, casualty reports, radio transcript, magazine photo of Fraser, chronology report, and audio tape notes. </t>
  </si>
  <si>
    <t>Also includes debrief abstract. Second folder has handwritten debrief notes. Third folder has debrief intelligence briefings. Fourth folder has additional copy of debrief summary report (not counted).</t>
  </si>
  <si>
    <t xml:space="preserve">Also includes debrief summary with excerpt of tape one debrief, suggestion for change in DOD policy pertinent to PWs, discussion on captivity in North Vietnam and North Korea, supplement to Col Gaddis' debrief, casualty reports, 4 photograph, special check on USAF letters, translation of article, downing of us aircraft report, capture of Col Gladdis report, intelligence and security POW, downed flyer report, observation of US PW's in Ha Tay, radio transcript, egress recap message/special report, and list of individuals to be released by N. Vietnam. The second folder has an additional copy of the discussion on captivity in NVN and North Korea. </t>
  </si>
  <si>
    <t>Follow-up questionnaire, NIS Investigation report, debrief abstract, summary report (two copies), navy debrief messages, and Follow-up interview (two copies). Second folder has egress recap form. Third folder has a third copy of debrief summary.</t>
  </si>
  <si>
    <t>Also includes debrief abstract, ONI 53-1A prisoner, casualty reports, biographical data, follow-up interview, captivity outline, War of Words article, list of attachments (personnel in each camp, code hand signals, imprisonment chronology, interrogations, and cell floor plans), map of shoot down to arrival in Hoa Lo,  navy messages on Joprep/aircraft loss/casualty report/French reporter, and navy debrief messages. Second folder has second copy of debrief summary (only one counted). Third folder has egress recap debriefing form.</t>
  </si>
  <si>
    <t>Also includes navy debrief messages, interview transcript with RR&amp;R committee, talk to medical symposium, A POW comes home at last article, NIS investigation, and Norris/Elias debrief messages. Second folder has debrief transcripts. Third folder has second copy of debrief summary (not counted).</t>
  </si>
  <si>
    <t>Folder 1 contains debriefing. Folder 1B NIS investigation. Folder 2 debrief legal proceeding and FOIA discussion, and articles/books on Garwood. Folder 3 After Action Report. Folder 4 news clippings (PlayBoy 25). Folder 5 Medical file 1 (Medical records after return, medical records before MIA, and reports of missing/UA). Folder 6 Medical/Dental History abstract. Folder 7 Press releases and The Garwood question.</t>
  </si>
  <si>
    <t>Folder 1 Prerelease materials (IIRs, Elbert interview, letters, circumstances of capture, pamphlet, and sightings). Folder 2 NIS Chronological file 23 March 1979 to 18 April 1979 (includes Charge sheet and interviews by other POWs). Folder 3 NIS chronology file 19 April 1979 to 22 May 1979 (Interviews such as recruitment office, south Vietnamese individual, former commanding officer, and other POWs). Folder 4 NIS chronology file 23 May 1979 to 7 Jun 1979 (statement of other men  in his unit).</t>
  </si>
  <si>
    <t>Folder 1 NIS investigation 7 Jun 1979 (some items have more than one copy but are part of a report). Folder 2 NIS chronology file 8 Jun 1979 to 30 Aug 1979 (review of military record and interview of men in unit). Folder 3 NIS chronology 7 Sep 1979 to 18 Jul 1981.</t>
  </si>
  <si>
    <t>Also includes report of capture status, camp schematics (maps), debrief summary, casualty reports, letters, Chronology report/personnel known to be alive, list of individuals to be released, audio tape notes, and debrief tape abstract.</t>
  </si>
  <si>
    <t xml:space="preserve">Also includes 3 schematics (maps) of camps, IIRs, debrief summary, casualty reports, photographs, photograph report, captivity chart, precapture resistance training/chronology report/personnel known to be deceased, list of individuals to be released, and audio tape notes. </t>
  </si>
  <si>
    <t>Also includes 1 photograph, casualty reports, chronology report, list of individuals to be released by N. Vietnam, and audio tape notes.</t>
  </si>
  <si>
    <t>Also includes debrief abstract and navy debrief messages. Second folder has Egress recap debriefing form. Third folder has second copy of debrief summary (not counted).</t>
  </si>
  <si>
    <t>Debrief intelligence report is in third person but extensive. It also includes maps and schematics. Also includes debrief summary, NIS investigation report, 3 photographs, debrief abstract, note about wife's remarriage, case assignment, casualty report, biographical data, ONI 53-1A prisoner, 4th grade letters, shoot down/capture navy messages, and navy debrief messages. The second folder has the Navy repatriate debriefing form (similar to egress recap form). The third folder has a second copy of the debrief summary. The fourth folder has a navy message debriefing clarification report.</t>
  </si>
  <si>
    <t>Also includes 1 photograph, resistance training form, DOD positing on early release, debrief summary, 1 IIR, Schematics (maps) of camps, transcription of special tape C-1, short summary, interrogation questions, PW cemeteries, casualty reports, special reports/chronology reports, redressal form, audio tape notes, 1 IIR, release of Gotner's debrief for pilots widow documentation, and Navy special reports. Second older has debriefing clarification report.</t>
  </si>
  <si>
    <t xml:space="preserve">Also includes 1 photograph, final summary, Lee Meecks statement, schematic, Son Tay operation, casualty reports, photo comparison with 2 photos, special reports/chronology/personnel known to be alive/deceased, list of individuals to be released by N. Vietnam, and audio tape notes. </t>
  </si>
  <si>
    <t xml:space="preserve">Also includes 2 photographs, debrief abstract, casualty reports, special reports/chronology, list of individuals to be released by N. Vietnam, audio tape notes, narrative for power plant complex, camp schematics (maps), and map of Vietnam. </t>
  </si>
  <si>
    <t>Also includes 1 photograph, debrief summary, casualty reports, capture of downed pilot report, special reports/chronology, list of individuals to be released, and audio tape notes.</t>
  </si>
  <si>
    <t xml:space="preserve">Also includes 1 photograph, debrief summary, alleged message, IIRs, new clippings, 19 photographs, special reports, list of individuals to be released by N. Vietnam, and audio tape notes. </t>
  </si>
  <si>
    <t>Also includes 1 photograph, debrief summary, casualty reports, two photographs, radio transcript, IIR photo of US pilot, chronology/personnel known to be alive, list of individuals to be released by N. Vietnam, audio tape notes, article, and camp schematics (maps).</t>
  </si>
  <si>
    <t xml:space="preserve">Also includes debrief messages, clarification to debrief, shoot down and capture, Gurnsey release, processing of SP4 Gurnsey, processing report, casualty report, debriefing support documentation, and PW chronology. </t>
  </si>
  <si>
    <t>Created tape recording of portions reading debrief. Also includes debrief summary, debrief abstract, navy debrief messages, NIS investigation, and paperwork on review of debrief and tape recording. Second folder has an additional copy of the navy debrief messages. Third folder has second copy of debrief summary (only one counted).</t>
  </si>
  <si>
    <t xml:space="preserve">Also includes 1 photograph, 1978 permission to extract data from debrief, debrief summary, casualty reports, interview about next assignment, E&amp;E branch comments on shoot down reports, special reports/chronology/photo identification, list of individuals to be released by N. Vietnam, audio tape notes, and camp schematics (maps). </t>
  </si>
  <si>
    <t>Also includes 1 photograph, debrief summary, casualty reports, IIR, research of homecoming message, special reports/chronology/personnel known to be deceased, list of individuals to be released by N. Vietnam, and audio tape notes.</t>
  </si>
  <si>
    <t xml:space="preserve">Also includes debrief abstract, follow-up interview, NIS investigation, and Navy debrief messages. Second folder has two navy debrief messages. Third folder has a casualty report and biographical data. Fourth folder has report of other POWs. Fifth folder has mishap/search/rescue reports and ONI 53-1A prisoner report. </t>
  </si>
  <si>
    <t xml:space="preserve">Also includes 1 photograph, debrief summary, casualty reports, special reports/chronology, and audio tape notes. </t>
  </si>
  <si>
    <t>Also includes chronology/debrief messages/personnel known to be alive/deceased reports, debrief abstract, and note on Ortiz-Rivera and Agusto-Santo debriefing cross-reference. (there are two copies of the debrief summary because different portions are easier to read on each one.</t>
  </si>
  <si>
    <t>Also includes debrief summary, microfilm, an IIR, 3 photographs, casualty reports, press conference message, special reports/chronology/personnel known to be alive, list of individuals to be released by N. Vietnam, and audio tape notes. Second folder has preliminary tape of debrief transcript and second copy of transcripts of tapes 1-7.</t>
  </si>
  <si>
    <t>Also includes 1 photograph, debrief abstract, casualty reports, alleged radio messages, and special reports/personnel known to be alive.</t>
  </si>
  <si>
    <t>Also includes debrief summary, personnel casualty report, capture reports, letters home (includes photograph copies, print copies, and transparencies counted one version of each), and 2 photographs. Second folder has NIS investigation an navy messages analyzing Frishmann and Hegdahl debriefs (cross referencing them). Third folder has a second copy of the debrief summary (only one counted).</t>
  </si>
  <si>
    <t xml:space="preserve">Also includes debrief summary, daily activities summary report, Dog Patch map and description, casualty reports, special reports/chronology/personnel known to be alive/deceased, list of individuals to be released by N. Vietnam, audio tape notes, and camp schematics (maps). </t>
  </si>
  <si>
    <t>Also includes 3 photographs, debrief abstract, casualty report, bright light photos, report of POW activities in SEAsia for 1-31 December 1972, personal authenticator, preliminary message report of aircraft accident, personnel casualty report, and navy debrief messages. Second folder has second copy of debrief summary (not counted).</t>
  </si>
  <si>
    <t>Also includes debrief summary, casualty reports, officer assignment, DOD code of conduct training program memo, special reports/chronology/personnel known to be alive, list of individuals to be released by N. Vietnam, and audio tape notes.</t>
  </si>
  <si>
    <t xml:space="preserve">Also includes debrief abstract, POW questionnaire, Navy debrief messages (missing number 4), Navy messages (NOK notification, personal authenticators, personnel casualty report, and preliminary report of major aircraft accident), report of capture, Hoffman questions post captivity, mishap circumstances, POW alleged statement, casualty reports, biographical data, letter to congress, US pilot interviews, letters home and handwriting analysis, 2 photographs (and 2 negatives), Hanoi interview article, and NIS investigation. Second folder has second copy of debrief summary (not counted). </t>
  </si>
  <si>
    <t>Also includes 1 photograph, debrief summary, casualty reports, 8 photographs, special reports/chronology/personnel known to be alive/deceased, list of personnel known to be released by N. Vietnam, audio tape notes, wife's visit to DRV, House of Representatives (6/25/1969), pilots in pajamas article translation, Department of State Schoenbrun visit/interview, alleged statement, IIR with photo, DOS telegram, IIR with article, downed flier report, two articles on 3 captured pilots, and vibrations in Vientiane (summary of wife's trip to SEAsia).</t>
  </si>
  <si>
    <t>Also includes preliminary debriefing report, Close-up of Pathet Lao, Transfer of debrief to JPRA/NIS, Proposed press conference for Ilg, cover letter for debrief, shoot down and evasion narrative (original and retyped copy, only original counted).</t>
  </si>
  <si>
    <t>Also includes 1 photograph, casualty report, 13 photographs (2 of these are negatives), special reports/chronology, list of individuals to be released by N. Vietnam, audio tape notes, letters from Mrs. Ingvelson to Mrs. Fallaci and back, an IIR, Hanoi broadcasts, Fallaci source, interview with US pilots, radio transcript, and shot down from the skies over Dong Hoi.</t>
  </si>
  <si>
    <t>Also includes 1 photograph, JSSA visit letter, debrief summary and review letter, casualty reports, alleged messages, chronology/personnel known to be alive, list of individuals to be released by N. Vietnam, and audio tape notes.</t>
  </si>
  <si>
    <t>Also includes 1 photograph, debrief summary, casualty reports, officer assignment, chronology/personnel known to be alive/deceased,  list of individuals to be released by N. Vietnam, and audio tape notes.</t>
  </si>
  <si>
    <t>N-43 Ha Lo - Hanoi Hilton; N-53 Cu Loc - Zoo
Xom Ap Lo - Briar Patch; Thermal Power Plant -
Son Tay - Camp Hope; N-84 Dan Hoi - Camp Faith
Luang Lang - Dogpatch</t>
  </si>
  <si>
    <t>Also includes 1 photograph, debrief summary, 19 photographs (1 magazine photo), casualty reports, Letter to Mrs. Jones - mother, an IIR with photo, DOS telegram, Physical condition of captured US pilot, statements in the press, IIR 16mm film, IIR prisoner of war, Washington Post articles, Special reports/chronology/personnel known to be alive, list of individuals to be released by N. Vietnam, and audio tape notes.</t>
  </si>
  <si>
    <t>Also includes 1 photograph, debrief summary, casualty reports, 1 photograph, audio tape notes, special reports/chronology/personnel known to be alive, and list of individuals to be released by N. Vietnam.</t>
  </si>
  <si>
    <t>Also includes 3 photographs, debrief abstract, casualty reports, capture of Polfer and Kernan, particular information for Kernan, letters to Marion Kernan (mother), personal correspondence to LTJG Kernan, alleged messages, navy preliminary report, navy debrief messages, last mission data, operation homecoming message, confinement chronology, tape log, medical care report, copy of egress recap (not counted), and NIS investigation report. Second folder has full copy of egress recap debriefing form (counted). Third folder has third copy of debrief summary (only one counted).</t>
  </si>
  <si>
    <t xml:space="preserve">Also includes 1 photograph, debrief summary, casualty reports, photo analysis, special report/personnel known to be alive/deceased, list of individuals to be released by N. Vietnam, and audio tape notes. </t>
  </si>
  <si>
    <t>Folder 1: aircraft maintenance forms, letters from Klusmann, Handwriting assessment report, Photograph of general Singapore including photo, debriefing requirements, memorandum for record Klusmann case, schedule for debriefing, Klusmann radio statement, Klusmann letter/resistance, DIA paperwork, General Van Pao message, Lao Radio transcription, Klusmann letter analysis, letters to wife, tape debriefing disclosure, privacy message, and letter from Boun Mee Siwlay. Folder 2: has vol. I of debrief. Folder 3: has vol. II of debrief. Folder 4: SERE Newsletter No. 12 Escape of Klusmann. Folder 5: the experiences of Charles Klusmann by Terry Russell. Folder 6: Interview with Family Assistance Branch and letter analysis by the CIA. Folder 7: Chronology of events, map of shoot down, map of camps, Evasion &amp; Escape Memorandum Number Eight, and camp schematics (maps). Folder 8: Security review on notes on CAPT Charles Klusmann by T. Russell.</t>
  </si>
  <si>
    <t>19 Jan 1967 - 12 Feb 1973</t>
  </si>
  <si>
    <t>Also includes 1 photograph, debrief summary, camp schematics and map, casualty reports, debrief abstract, special reports/chronology, list of individuals to be released by N. Vietnam, audio tape notes, interview of Larson by Navy (4 pages missing), Jackson interview of Larson, Christmas service, press conference Hanoi, alleged statements and interviews, 8 photographs, note with capture photo, John Berbrich letter, and interrogation report. Second folder has special report on amputees.</t>
  </si>
  <si>
    <t>Also includes debrief abstract, POW/Captured report USS Hancock,casualty report, physical condition, loss report (personal authenticator, personnel casualty report, and prelim report), messages and letter home, navy debrief messages, and cover letter with photos (3 photos and 3 negatives). Second folder has second copy of debrief summary (only one counted).</t>
  </si>
  <si>
    <t xml:space="preserve">N-62 Citadel - Plantation; N-43 Ha Lo - Hanoi Hilton; N-53 Cu Loc - Zoo; </t>
  </si>
  <si>
    <t>Also includes 1 photograph, debrief summary, officer assignment, casualty reports, audio tape notes, chronology/personnel known to be alive, and news article.</t>
  </si>
  <si>
    <t>There is additional copy of the summary (not counted in total pages) homecoming navy message debriefs, as well as an Egress Recap debriefing forms in 09-A-4 Cont. F2. 09-B-63 F2 (1 casualty report, 1 reference to Bright Light photos, 4 pgs debrief abstract, 3 pgs JoPrep, 35 pgs homecoming navy message.</t>
  </si>
  <si>
    <t>Also includes casualty report, dengler debrief naval message, propaganda message, voice of Vietnam message home, special reports/chronology, list of individuals to be released by N. Vietnam, audio tape notes, and debrief summary.</t>
  </si>
  <si>
    <t>Intelligence debrief report is in 3rd person, references tape recordings and initial debrief report but these are not included (NARA?). Also includes debrief summary and debrief abstract. Second folder has a photocopy of intelligence debrief report (but this copy includes enclosure 2) and a photocopy of the debrief summary.</t>
  </si>
  <si>
    <t>Intelligence debrief report is in 3rd person, references tape recordings and initial debrief report but these are not included (NARA?) (two copies only one counted). Also includes debrief summary (two copies only one counted) and debrief abstract. Second folder has letter discussing his debrief and an excerpt from it.</t>
  </si>
  <si>
    <t>Also includes 1 photograph, debrief summary, debrief abstract, debrief review note, alleged messages,  casualty reports, promotions message, press conference message, personal data, camp alpha schematic (map), camp regulations, 1 photo, chronology report, audio tape notes, and camp schematics (maps).</t>
  </si>
  <si>
    <t xml:space="preserve">Also includes 1 photograph, debrief summary, casualty reports, Dogpatch map and attachment, special reports/chronology, list of individuals to be released by N. Vietnam, and a Dogpatch map with original hand-drawing. </t>
  </si>
  <si>
    <t>Also includes 5 photographs and 3 negatives, debrief abstract, casualty reports, biographical data, navy debrief messages, aircraft loss reports (personnel casualty report/personal authenticator/daily statistical data/preliminary report), Abbreviated aircraft mishap report, reports on capture, and alleged propaganda messages. Second folder has additional copy of debrief summary (only one counted).</t>
  </si>
  <si>
    <t>Also includes Special report/personnel known to be alive, audio tape notes, casualty reports, debrief summary, one photograph, and debrief tape abstract. 1 page egress recap message in 09-A-13 Cont.</t>
  </si>
  <si>
    <t>6 Oct 1973 - 19 December 73</t>
  </si>
  <si>
    <t>Second copy of debrief summary not counted, Navy messaged debriefs (120 pgs). 64 pgs Project Homecoming Navy Message 09-B-62 F6.</t>
  </si>
  <si>
    <t>Died of Malaria while imprisoned but there were reports he was executed in reprisals against American POWs.</t>
  </si>
  <si>
    <t>Nothing on her in M3. (would probably be considered 05.</t>
  </si>
  <si>
    <t>Project Homecoming /Navy Message 85 pgs, 09-B-62 F12. Another copy of Navy Messages and summary in 09-A-1 Cont. F 16 and F17.</t>
  </si>
  <si>
    <t>Lloyd</t>
  </si>
  <si>
    <t>16 Jan 1966 - 11 Feb 1973</t>
  </si>
  <si>
    <t>Two documents, one debriefing of Struharik (5 pages), the other is three pages and has comments from all at Son Tay about potential of additional prisoners in Vietnam.</t>
  </si>
  <si>
    <t>09-B-28 F8 has two pages on Waldhouse having to depart without Fiancé. F18 has DOD message on his capture.</t>
  </si>
  <si>
    <t>Employer</t>
  </si>
  <si>
    <t>Brief transcripts of audio recording and log of audio recordings (6 pgs), 120 pgs Including 51 pages of known POWs, 09-B-62 F2</t>
  </si>
  <si>
    <t xml:space="preserve">Died of Heart attack </t>
  </si>
  <si>
    <t>Alzheimer's disease</t>
  </si>
  <si>
    <t>Died of Alzheimer's disease</t>
  </si>
  <si>
    <t>Alzheimer's/dementia</t>
  </si>
  <si>
    <t>Died of pneumonia</t>
  </si>
  <si>
    <t>Parkinson's</t>
  </si>
  <si>
    <t xml:space="preserve">Alzheimer's </t>
  </si>
  <si>
    <t>PSP (Post Superanuclear Palsy)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</si>
</sst>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color theme="1"/>
      <name val="Arial"/>
      <family val="2"/>
    </font>
    <font>
      <sz val="11"/>
      <name val="Calibri"/>
      <family val="2"/>
      <scheme val="minor"/>
    </font>
    <font>
      <sz val="10"/>
      <name val="Arial"/>
      <family val="2"/>
    </font>
    <font>
      <b/>
      <sz val="11"/>
      <color theme="1"/>
      <name val="Arial"/>
      <family val="2"/>
    </font>
    <font>
      <sz val="11"/>
      <color theme="1"/>
      <name val="Arial"/>
      <family val="2"/>
    </font>
    <font>
      <sz val="11"/>
      <color rgb="FFFF0000"/>
      <name val="Arial"/>
      <family val="2"/>
    </font>
    <font>
      <b/>
      <sz val="10"/>
      <color rgb="FFFF0000"/>
      <name val="Arial"/>
      <family val="2"/>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40">
    <xf numFmtId="0" fontId="0" fillId="0" borderId="0" xfId="0"/>
    <xf numFmtId="0" fontId="0" fillId="0" borderId="0" xfId="0" applyAlignment="1">
      <alignment wrapText="1"/>
    </xf>
    <xf numFmtId="0" fontId="1" fillId="0" borderId="0" xfId="0" applyFont="1" applyAlignment="1">
      <alignment wrapText="1"/>
    </xf>
    <xf numFmtId="14" fontId="1" fillId="0" borderId="0" xfId="0" applyNumberFormat="1" applyFont="1" applyAlignment="1">
      <alignment wrapText="1"/>
    </xf>
    <xf numFmtId="14" fontId="0" fillId="0" borderId="0" xfId="0" applyNumberFormat="1" applyAlignment="1">
      <alignment wrapText="1"/>
    </xf>
    <xf numFmtId="0" fontId="3" fillId="0" borderId="0" xfId="0" applyFont="1" applyFill="1" applyAlignment="1">
      <alignment wrapText="1"/>
    </xf>
    <xf numFmtId="14" fontId="3" fillId="0" borderId="0" xfId="0" applyNumberFormat="1" applyFont="1" applyFill="1" applyAlignment="1">
      <alignment wrapText="1"/>
    </xf>
    <xf numFmtId="0" fontId="1" fillId="0" borderId="0" xfId="0" applyFont="1" applyAlignment="1">
      <alignment vertical="top" wrapText="1"/>
    </xf>
    <xf numFmtId="0" fontId="1" fillId="0" borderId="0" xfId="0" applyFont="1" applyFill="1" applyAlignment="1">
      <alignment wrapText="1"/>
    </xf>
    <xf numFmtId="14" fontId="1" fillId="0" borderId="0" xfId="0" applyNumberFormat="1" applyFont="1" applyFill="1" applyAlignment="1">
      <alignment wrapText="1"/>
    </xf>
    <xf numFmtId="0" fontId="0" fillId="0" borderId="0" xfId="0" applyAlignment="1">
      <alignment horizontal="right" wrapText="1"/>
    </xf>
    <xf numFmtId="0" fontId="0" fillId="0" borderId="0" xfId="0" applyAlignment="1">
      <alignment horizontal="left" wrapText="1"/>
    </xf>
    <xf numFmtId="0" fontId="4" fillId="0" borderId="0" xfId="0" applyFont="1"/>
    <xf numFmtId="0" fontId="5" fillId="0" borderId="0" xfId="0" applyFont="1"/>
    <xf numFmtId="0" fontId="6" fillId="0" borderId="0" xfId="0" applyFont="1"/>
    <xf numFmtId="0" fontId="1" fillId="3" borderId="0" xfId="0" applyFont="1" applyFill="1" applyAlignment="1">
      <alignment wrapText="1"/>
    </xf>
    <xf numFmtId="0" fontId="7" fillId="0" borderId="0" xfId="0" applyFont="1" applyFill="1" applyAlignment="1">
      <alignment wrapText="1"/>
    </xf>
    <xf numFmtId="0" fontId="0" fillId="0" borderId="0" xfId="0" applyFill="1" applyAlignment="1">
      <alignment wrapText="1"/>
    </xf>
    <xf numFmtId="14" fontId="0" fillId="0" borderId="0" xfId="0" applyNumberFormat="1" applyFill="1" applyAlignment="1">
      <alignment wrapText="1"/>
    </xf>
    <xf numFmtId="17" fontId="0" fillId="0" borderId="0" xfId="0" applyNumberFormat="1"/>
    <xf numFmtId="1" fontId="0" fillId="0" borderId="0" xfId="0" applyNumberFormat="1"/>
    <xf numFmtId="0" fontId="0" fillId="2" borderId="0" xfId="0" applyFill="1"/>
    <xf numFmtId="17" fontId="0" fillId="2" borderId="0" xfId="0" applyNumberFormat="1" applyFill="1"/>
    <xf numFmtId="1" fontId="0" fillId="2" borderId="0" xfId="0" applyNumberFormat="1" applyFill="1"/>
    <xf numFmtId="0" fontId="0" fillId="0" borderId="0" xfId="0" applyFill="1"/>
    <xf numFmtId="1" fontId="0" fillId="0" borderId="0" xfId="0" applyNumberFormat="1" applyFill="1"/>
    <xf numFmtId="17" fontId="0" fillId="0" borderId="0" xfId="0" applyNumberFormat="1" applyFill="1"/>
    <xf numFmtId="0" fontId="0" fillId="0" borderId="0" xfId="0" quotePrefix="1"/>
    <xf numFmtId="0" fontId="8" fillId="0" borderId="0" xfId="0" applyFont="1"/>
    <xf numFmtId="1" fontId="8" fillId="0" borderId="0" xfId="0" applyNumberFormat="1" applyFont="1"/>
    <xf numFmtId="0" fontId="0" fillId="0" borderId="0" xfId="0" applyAlignment="1">
      <alignment horizontal="right"/>
    </xf>
    <xf numFmtId="14" fontId="0" fillId="0" borderId="0" xfId="0" applyNumberFormat="1"/>
    <xf numFmtId="14" fontId="0" fillId="0" borderId="0" xfId="0" applyNumberFormat="1" applyFill="1"/>
    <xf numFmtId="0" fontId="0" fillId="0" borderId="0" xfId="0" applyAlignment="1">
      <alignment horizontal="left"/>
    </xf>
    <xf numFmtId="14" fontId="0" fillId="0" borderId="0" xfId="0" applyNumberFormat="1" applyAlignment="1">
      <alignment horizontal="right"/>
    </xf>
    <xf numFmtId="0" fontId="0" fillId="0" borderId="0" xfId="0" applyFill="1" applyAlignment="1">
      <alignment horizontal="right"/>
    </xf>
    <xf numFmtId="0" fontId="2" fillId="0" borderId="0" xfId="0" applyFont="1" applyFill="1" applyAlignment="1">
      <alignment wrapText="1"/>
    </xf>
    <xf numFmtId="14" fontId="2" fillId="0" borderId="0" xfId="0" applyNumberFormat="1" applyFont="1" applyFill="1" applyAlignment="1">
      <alignment wrapText="1"/>
    </xf>
    <xf numFmtId="0" fontId="0" fillId="0" borderId="0" xfId="0" applyAlignment="1">
      <alignment horizontal="center" wrapText="1"/>
    </xf>
    <xf numFmtId="14" fontId="0" fillId="0" borderId="0" xfId="0" applyNumberFormat="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workbookViewId="0">
      <pane ySplit="1" topLeftCell="A2" activePane="bottomLeft" state="frozen"/>
      <selection pane="bottomLeft" activeCell="A6" sqref="A6"/>
    </sheetView>
  </sheetViews>
  <sheetFormatPr defaultRowHeight="12.75" x14ac:dyDescent="0.2"/>
  <cols>
    <col min="1" max="1" width="12.28515625" style="2" customWidth="1"/>
    <col min="2" max="2" width="11.85546875" style="2" customWidth="1"/>
    <col min="3" max="3" width="7" style="2" customWidth="1"/>
    <col min="4" max="4" width="20.28515625" style="2" customWidth="1"/>
    <col min="5" max="5" width="24.5703125" style="2" customWidth="1"/>
    <col min="6" max="6" width="14.85546875" style="2" customWidth="1"/>
    <col min="7" max="7" width="17.28515625" style="2" customWidth="1"/>
    <col min="8" max="8" width="16.28515625" style="2" customWidth="1"/>
    <col min="9" max="9" width="10.7109375" style="2" customWidth="1"/>
    <col min="10" max="10" width="9.140625" style="2"/>
    <col min="11" max="11" width="13.42578125" style="2" customWidth="1"/>
    <col min="12" max="12" width="9.140625" style="2"/>
    <col min="13" max="13" width="57.5703125" style="2" customWidth="1"/>
    <col min="14" max="14" width="31.28515625" style="2" customWidth="1"/>
    <col min="15" max="16384" width="9.140625" style="2"/>
  </cols>
  <sheetData>
    <row r="1" spans="1:14" x14ac:dyDescent="0.2">
      <c r="A1" s="2" t="s">
        <v>0</v>
      </c>
      <c r="B1" s="2" t="s">
        <v>1</v>
      </c>
      <c r="C1" s="2" t="s">
        <v>2</v>
      </c>
      <c r="D1" s="2" t="s">
        <v>3360</v>
      </c>
      <c r="E1" s="2" t="s">
        <v>11</v>
      </c>
      <c r="F1" s="2" t="s">
        <v>3</v>
      </c>
      <c r="G1" s="2" t="s">
        <v>3229</v>
      </c>
      <c r="H1" s="2" t="s">
        <v>10</v>
      </c>
      <c r="I1" s="2" t="s">
        <v>12</v>
      </c>
      <c r="J1" s="2" t="s">
        <v>7</v>
      </c>
      <c r="K1" s="2" t="s">
        <v>21</v>
      </c>
      <c r="L1" s="2" t="s">
        <v>23</v>
      </c>
      <c r="M1" s="2" t="s">
        <v>39</v>
      </c>
      <c r="N1" s="2" t="s">
        <v>3069</v>
      </c>
    </row>
    <row r="2" spans="1:14" ht="38.25" x14ac:dyDescent="0.2">
      <c r="A2" s="2" t="s">
        <v>4</v>
      </c>
      <c r="B2" s="2" t="s">
        <v>5</v>
      </c>
      <c r="D2" s="2" t="s">
        <v>13</v>
      </c>
      <c r="E2" s="2" t="s">
        <v>19</v>
      </c>
      <c r="F2" s="2" t="s">
        <v>50</v>
      </c>
      <c r="G2" s="2" t="s">
        <v>9</v>
      </c>
      <c r="H2" s="3">
        <v>26735</v>
      </c>
      <c r="I2" s="2">
        <f>199+3+8</f>
        <v>210</v>
      </c>
      <c r="J2" s="2" t="s">
        <v>8</v>
      </c>
      <c r="K2" s="2" t="s">
        <v>482</v>
      </c>
      <c r="L2" s="2" t="s">
        <v>478</v>
      </c>
      <c r="M2" s="2" t="s">
        <v>3155</v>
      </c>
    </row>
    <row r="3" spans="1:14" s="8" customFormat="1" x14ac:dyDescent="0.2">
      <c r="A3" s="8" t="s">
        <v>393</v>
      </c>
      <c r="B3" s="8" t="s">
        <v>100</v>
      </c>
      <c r="E3" s="8" t="s">
        <v>394</v>
      </c>
      <c r="F3" s="8" t="s">
        <v>386</v>
      </c>
      <c r="H3" s="9"/>
      <c r="M3" s="8" t="s">
        <v>395</v>
      </c>
    </row>
    <row r="4" spans="1:14" ht="25.5" x14ac:dyDescent="0.2">
      <c r="A4" s="2" t="s">
        <v>15</v>
      </c>
      <c r="B4" s="2" t="s">
        <v>16</v>
      </c>
      <c r="C4" s="2" t="s">
        <v>17</v>
      </c>
      <c r="D4" s="2" t="s">
        <v>14</v>
      </c>
      <c r="E4" s="2" t="s">
        <v>18</v>
      </c>
      <c r="F4" s="2" t="s">
        <v>6</v>
      </c>
      <c r="G4" s="2" t="s">
        <v>20</v>
      </c>
      <c r="H4" s="3">
        <v>26732</v>
      </c>
      <c r="I4" s="2">
        <v>46</v>
      </c>
      <c r="K4" s="2" t="s">
        <v>22</v>
      </c>
      <c r="M4" s="2" t="s">
        <v>3361</v>
      </c>
    </row>
    <row r="5" spans="1:14" ht="78" customHeight="1" x14ac:dyDescent="0.2">
      <c r="A5" s="8" t="s">
        <v>24</v>
      </c>
      <c r="B5" s="2" t="s">
        <v>25</v>
      </c>
      <c r="C5" s="2" t="s">
        <v>26</v>
      </c>
      <c r="D5" s="2" t="s">
        <v>33</v>
      </c>
      <c r="E5" s="2" t="s">
        <v>29</v>
      </c>
      <c r="F5" s="2" t="s">
        <v>6</v>
      </c>
      <c r="G5" s="2" t="s">
        <v>20</v>
      </c>
      <c r="H5" s="2" t="s">
        <v>40</v>
      </c>
      <c r="I5" s="2">
        <f>94+143</f>
        <v>237</v>
      </c>
      <c r="J5" s="2" t="s">
        <v>27</v>
      </c>
      <c r="K5" s="2" t="s">
        <v>28</v>
      </c>
      <c r="L5" s="2" t="s">
        <v>165</v>
      </c>
      <c r="M5" s="8" t="s">
        <v>577</v>
      </c>
      <c r="N5" s="2" t="s">
        <v>3071</v>
      </c>
    </row>
    <row r="6" spans="1:14" s="8" customFormat="1" ht="36.75" customHeight="1" x14ac:dyDescent="0.2">
      <c r="A6" s="8" t="s">
        <v>456</v>
      </c>
      <c r="B6" s="8" t="s">
        <v>457</v>
      </c>
      <c r="C6" s="8" t="s">
        <v>58</v>
      </c>
      <c r="D6" s="8" t="s">
        <v>33</v>
      </c>
      <c r="E6" s="8" t="s">
        <v>155</v>
      </c>
      <c r="F6" s="8" t="s">
        <v>458</v>
      </c>
      <c r="G6" s="8" t="s">
        <v>14</v>
      </c>
      <c r="H6" s="9">
        <v>26724</v>
      </c>
      <c r="I6" s="8">
        <v>6</v>
      </c>
      <c r="K6" s="8" t="s">
        <v>459</v>
      </c>
      <c r="L6" s="8" t="s">
        <v>460</v>
      </c>
      <c r="M6" s="8" t="s">
        <v>3150</v>
      </c>
    </row>
    <row r="7" spans="1:14" ht="25.5" customHeight="1" x14ac:dyDescent="0.2">
      <c r="A7" s="8" t="s">
        <v>30</v>
      </c>
      <c r="B7" s="2" t="s">
        <v>31</v>
      </c>
      <c r="C7" s="2" t="s">
        <v>32</v>
      </c>
      <c r="D7" s="2" t="s">
        <v>34</v>
      </c>
      <c r="E7" s="2" t="s">
        <v>35</v>
      </c>
      <c r="F7" s="2" t="s">
        <v>6</v>
      </c>
      <c r="G7" s="2" t="s">
        <v>20</v>
      </c>
      <c r="H7" s="2" t="s">
        <v>40</v>
      </c>
      <c r="I7" s="2">
        <f>50+20</f>
        <v>70</v>
      </c>
      <c r="K7" s="2" t="s">
        <v>36</v>
      </c>
      <c r="M7" s="2" t="s">
        <v>234</v>
      </c>
    </row>
    <row r="8" spans="1:14" s="5" customFormat="1" ht="28.5" customHeight="1" x14ac:dyDescent="0.2">
      <c r="A8" s="5" t="s">
        <v>396</v>
      </c>
      <c r="B8" s="5" t="s">
        <v>397</v>
      </c>
      <c r="E8" s="5" t="s">
        <v>398</v>
      </c>
      <c r="F8" s="5" t="s">
        <v>453</v>
      </c>
      <c r="H8" s="6">
        <v>23976</v>
      </c>
      <c r="I8" s="5">
        <v>2</v>
      </c>
      <c r="K8" s="5" t="s">
        <v>454</v>
      </c>
      <c r="L8" s="5" t="s">
        <v>455</v>
      </c>
      <c r="M8" s="5" t="s">
        <v>2956</v>
      </c>
    </row>
    <row r="9" spans="1:14" s="8" customFormat="1" ht="15.75" customHeight="1" x14ac:dyDescent="0.2">
      <c r="A9" s="8" t="s">
        <v>451</v>
      </c>
      <c r="B9" s="8" t="s">
        <v>48</v>
      </c>
      <c r="C9" s="8" t="s">
        <v>32</v>
      </c>
      <c r="E9" s="8" t="s">
        <v>452</v>
      </c>
      <c r="F9" s="8" t="s">
        <v>386</v>
      </c>
      <c r="M9" s="8" t="s">
        <v>418</v>
      </c>
    </row>
    <row r="10" spans="1:14" s="8" customFormat="1" ht="15.75" customHeight="1" x14ac:dyDescent="0.2">
      <c r="A10" s="8" t="s">
        <v>399</v>
      </c>
      <c r="B10" s="8" t="s">
        <v>148</v>
      </c>
      <c r="E10" s="8" t="s">
        <v>400</v>
      </c>
      <c r="F10" s="8" t="s">
        <v>386</v>
      </c>
      <c r="M10" s="8" t="s">
        <v>401</v>
      </c>
    </row>
    <row r="11" spans="1:14" ht="51.75" customHeight="1" x14ac:dyDescent="0.2">
      <c r="A11" s="2" t="s">
        <v>37</v>
      </c>
      <c r="B11" s="2" t="s">
        <v>38</v>
      </c>
      <c r="C11" s="2" t="s">
        <v>32</v>
      </c>
      <c r="D11" s="2" t="s">
        <v>13</v>
      </c>
      <c r="E11" s="2" t="s">
        <v>3351</v>
      </c>
      <c r="F11" s="2" t="s">
        <v>39</v>
      </c>
      <c r="G11" s="2" t="s">
        <v>41</v>
      </c>
      <c r="H11" s="3">
        <v>27018</v>
      </c>
      <c r="I11" s="2">
        <v>31</v>
      </c>
      <c r="K11" s="2" t="s">
        <v>171</v>
      </c>
      <c r="M11" s="2" t="s">
        <v>172</v>
      </c>
    </row>
    <row r="12" spans="1:14" ht="38.25" customHeight="1" x14ac:dyDescent="0.2">
      <c r="A12" s="2" t="s">
        <v>76</v>
      </c>
      <c r="B12" s="2" t="s">
        <v>77</v>
      </c>
      <c r="C12" s="2" t="s">
        <v>58</v>
      </c>
      <c r="D12" s="2" t="s">
        <v>78</v>
      </c>
      <c r="E12" s="2" t="s">
        <v>79</v>
      </c>
      <c r="F12" s="2" t="s">
        <v>80</v>
      </c>
      <c r="G12" s="2" t="s">
        <v>41</v>
      </c>
      <c r="H12" s="2" t="s">
        <v>40</v>
      </c>
      <c r="I12" s="2">
        <f>8+3</f>
        <v>11</v>
      </c>
      <c r="K12" s="2" t="s">
        <v>81</v>
      </c>
    </row>
    <row r="13" spans="1:14" s="8" customFormat="1" ht="50.25" customHeight="1" x14ac:dyDescent="0.2">
      <c r="A13" s="8" t="s">
        <v>461</v>
      </c>
      <c r="B13" s="8" t="s">
        <v>462</v>
      </c>
      <c r="C13" s="8" t="s">
        <v>463</v>
      </c>
      <c r="D13" s="8" t="s">
        <v>465</v>
      </c>
      <c r="E13" s="8" t="s">
        <v>464</v>
      </c>
      <c r="F13" s="8" t="s">
        <v>85</v>
      </c>
      <c r="I13" s="8">
        <v>7</v>
      </c>
      <c r="K13" s="8" t="s">
        <v>466</v>
      </c>
      <c r="M13" s="8" t="s">
        <v>467</v>
      </c>
      <c r="N13" s="16"/>
    </row>
    <row r="14" spans="1:14" ht="38.25" x14ac:dyDescent="0.2">
      <c r="A14" s="2" t="s">
        <v>42</v>
      </c>
      <c r="B14" s="2" t="s">
        <v>43</v>
      </c>
      <c r="D14" s="2" t="s">
        <v>13</v>
      </c>
      <c r="E14" s="2" t="s">
        <v>45</v>
      </c>
      <c r="F14" s="2" t="s">
        <v>6</v>
      </c>
      <c r="G14" s="2" t="s">
        <v>20</v>
      </c>
      <c r="H14" s="2" t="s">
        <v>40</v>
      </c>
      <c r="I14" s="2">
        <f>54+64+120</f>
        <v>238</v>
      </c>
      <c r="K14" s="2" t="s">
        <v>44</v>
      </c>
      <c r="M14" s="2" t="s">
        <v>3352</v>
      </c>
    </row>
    <row r="15" spans="1:14" s="15" customFormat="1" ht="25.5" x14ac:dyDescent="0.2">
      <c r="A15" s="15" t="s">
        <v>173</v>
      </c>
      <c r="B15" s="15" t="s">
        <v>174</v>
      </c>
      <c r="C15" s="15" t="s">
        <v>26</v>
      </c>
      <c r="D15" s="15" t="s">
        <v>14</v>
      </c>
      <c r="E15" s="15" t="s">
        <v>175</v>
      </c>
      <c r="F15" s="15" t="s">
        <v>41</v>
      </c>
      <c r="G15" s="15" t="s">
        <v>41</v>
      </c>
      <c r="H15" s="15" t="s">
        <v>41</v>
      </c>
      <c r="I15" s="15">
        <v>29</v>
      </c>
      <c r="K15" s="15" t="s">
        <v>176</v>
      </c>
      <c r="M15" s="15" t="s">
        <v>3353</v>
      </c>
    </row>
    <row r="16" spans="1:14" x14ac:dyDescent="0.2">
      <c r="A16" s="2" t="s">
        <v>450</v>
      </c>
      <c r="B16" s="2" t="s">
        <v>354</v>
      </c>
      <c r="C16" s="2" t="s">
        <v>192</v>
      </c>
      <c r="E16" s="2" t="s">
        <v>448</v>
      </c>
      <c r="F16" s="2" t="s">
        <v>386</v>
      </c>
      <c r="M16" s="2" t="s">
        <v>449</v>
      </c>
    </row>
    <row r="17" spans="1:14" ht="25.5" x14ac:dyDescent="0.2">
      <c r="A17" s="2" t="s">
        <v>111</v>
      </c>
      <c r="B17" s="2" t="s">
        <v>112</v>
      </c>
      <c r="C17" s="2" t="s">
        <v>113</v>
      </c>
      <c r="D17" s="2" t="s">
        <v>34</v>
      </c>
      <c r="E17" s="2" t="s">
        <v>110</v>
      </c>
      <c r="F17" s="2" t="s">
        <v>6</v>
      </c>
      <c r="G17" s="2" t="s">
        <v>14</v>
      </c>
      <c r="H17" s="3">
        <v>24930</v>
      </c>
      <c r="I17" s="2">
        <v>12</v>
      </c>
      <c r="K17" s="2" t="s">
        <v>119</v>
      </c>
      <c r="M17" s="2" t="s">
        <v>3152</v>
      </c>
    </row>
    <row r="18" spans="1:14" s="8" customFormat="1" x14ac:dyDescent="0.2">
      <c r="A18" s="8" t="s">
        <v>402</v>
      </c>
      <c r="B18" s="8" t="s">
        <v>403</v>
      </c>
      <c r="E18" s="8" t="s">
        <v>404</v>
      </c>
      <c r="F18" s="8" t="s">
        <v>386</v>
      </c>
      <c r="H18" s="9"/>
      <c r="M18" s="8" t="s">
        <v>3354</v>
      </c>
    </row>
    <row r="19" spans="1:14" s="8" customFormat="1" x14ac:dyDescent="0.2">
      <c r="A19" s="8" t="s">
        <v>402</v>
      </c>
      <c r="B19" s="8" t="s">
        <v>447</v>
      </c>
      <c r="C19" s="8" t="s">
        <v>17</v>
      </c>
      <c r="E19" s="8" t="s">
        <v>448</v>
      </c>
      <c r="F19" s="8" t="s">
        <v>386</v>
      </c>
      <c r="H19" s="9"/>
      <c r="M19" s="8" t="s">
        <v>449</v>
      </c>
    </row>
    <row r="20" spans="1:14" ht="38.25" x14ac:dyDescent="0.2">
      <c r="A20" s="2" t="s">
        <v>56</v>
      </c>
      <c r="B20" s="2" t="s">
        <v>57</v>
      </c>
      <c r="C20" s="2" t="s">
        <v>58</v>
      </c>
      <c r="D20" s="2" t="s">
        <v>59</v>
      </c>
      <c r="E20" s="2" t="s">
        <v>60</v>
      </c>
      <c r="F20" s="2" t="s">
        <v>6</v>
      </c>
      <c r="G20" s="2" t="s">
        <v>41</v>
      </c>
      <c r="H20" s="2" t="s">
        <v>41</v>
      </c>
      <c r="I20" s="2">
        <v>140</v>
      </c>
      <c r="K20" s="2" t="s">
        <v>492</v>
      </c>
      <c r="M20" s="2" t="s">
        <v>491</v>
      </c>
    </row>
    <row r="21" spans="1:14" ht="51" x14ac:dyDescent="0.2">
      <c r="A21" s="2" t="s">
        <v>46</v>
      </c>
      <c r="B21" s="2" t="s">
        <v>47</v>
      </c>
      <c r="C21" s="2" t="s">
        <v>58</v>
      </c>
      <c r="D21" s="2" t="s">
        <v>51</v>
      </c>
      <c r="E21" s="2" t="s">
        <v>49</v>
      </c>
      <c r="F21" s="2" t="s">
        <v>50</v>
      </c>
      <c r="G21" s="2" t="s">
        <v>9</v>
      </c>
      <c r="H21" s="3">
        <v>26745</v>
      </c>
      <c r="I21" s="2">
        <f>74+28</f>
        <v>102</v>
      </c>
      <c r="K21" s="2" t="s">
        <v>3151</v>
      </c>
      <c r="L21" s="2" t="s">
        <v>478</v>
      </c>
      <c r="M21" s="7" t="s">
        <v>481</v>
      </c>
    </row>
    <row r="22" spans="1:14" ht="38.25" x14ac:dyDescent="0.2">
      <c r="A22" s="2" t="s">
        <v>52</v>
      </c>
      <c r="B22" s="2" t="s">
        <v>16</v>
      </c>
      <c r="C22" s="2" t="s">
        <v>53</v>
      </c>
      <c r="D22" s="2" t="s">
        <v>13</v>
      </c>
      <c r="E22" s="2" t="s">
        <v>54</v>
      </c>
      <c r="F22" s="2" t="s">
        <v>6</v>
      </c>
      <c r="G22" s="2" t="s">
        <v>41</v>
      </c>
      <c r="H22" s="2" t="s">
        <v>41</v>
      </c>
      <c r="I22" s="2">
        <f>13+118+25</f>
        <v>156</v>
      </c>
      <c r="K22" s="2" t="s">
        <v>55</v>
      </c>
      <c r="M22" s="2" t="s">
        <v>235</v>
      </c>
    </row>
    <row r="23" spans="1:14" ht="25.5" x14ac:dyDescent="0.2">
      <c r="A23" s="2" t="s">
        <v>82</v>
      </c>
      <c r="B23" s="2" t="s">
        <v>83</v>
      </c>
      <c r="C23" s="2" t="s">
        <v>72</v>
      </c>
      <c r="D23" s="2" t="s">
        <v>41</v>
      </c>
      <c r="E23" s="2" t="s">
        <v>92</v>
      </c>
      <c r="F23" s="2" t="s">
        <v>85</v>
      </c>
      <c r="G23" s="2" t="s">
        <v>84</v>
      </c>
      <c r="H23" s="3" t="s">
        <v>86</v>
      </c>
      <c r="I23" s="2">
        <v>28</v>
      </c>
      <c r="K23" s="2" t="s">
        <v>87</v>
      </c>
    </row>
    <row r="24" spans="1:14" ht="25.5" x14ac:dyDescent="0.2">
      <c r="A24" s="2" t="s">
        <v>88</v>
      </c>
      <c r="B24" s="2" t="s">
        <v>89</v>
      </c>
      <c r="C24" s="2" t="s">
        <v>67</v>
      </c>
      <c r="D24" s="2" t="s">
        <v>90</v>
      </c>
      <c r="E24" s="2" t="s">
        <v>91</v>
      </c>
      <c r="F24" s="2" t="s">
        <v>39</v>
      </c>
      <c r="G24" s="2" t="s">
        <v>41</v>
      </c>
      <c r="H24" s="3">
        <v>23441</v>
      </c>
      <c r="I24" s="2">
        <v>3</v>
      </c>
      <c r="K24" s="2" t="s">
        <v>93</v>
      </c>
      <c r="M24" s="2" t="s">
        <v>405</v>
      </c>
    </row>
    <row r="25" spans="1:14" s="8" customFormat="1" ht="25.5" x14ac:dyDescent="0.2">
      <c r="A25" s="8" t="s">
        <v>71</v>
      </c>
      <c r="B25" s="8" t="s">
        <v>116</v>
      </c>
      <c r="C25" s="8" t="s">
        <v>123</v>
      </c>
      <c r="E25" s="8" t="s">
        <v>406</v>
      </c>
      <c r="F25" s="8" t="s">
        <v>386</v>
      </c>
      <c r="H25" s="9"/>
      <c r="M25" s="8" t="s">
        <v>477</v>
      </c>
    </row>
    <row r="26" spans="1:14" ht="25.5" x14ac:dyDescent="0.2">
      <c r="A26" s="2" t="s">
        <v>61</v>
      </c>
      <c r="B26" s="2" t="s">
        <v>62</v>
      </c>
      <c r="C26" s="2" t="s">
        <v>63</v>
      </c>
      <c r="D26" s="2" t="s">
        <v>14</v>
      </c>
      <c r="E26" s="2" t="s">
        <v>45</v>
      </c>
      <c r="F26" s="2" t="s">
        <v>6</v>
      </c>
      <c r="G26" s="2" t="s">
        <v>20</v>
      </c>
      <c r="H26" s="3">
        <v>26744</v>
      </c>
      <c r="I26" s="2">
        <f>76+59</f>
        <v>135</v>
      </c>
      <c r="K26" s="2" t="s">
        <v>64</v>
      </c>
      <c r="M26" s="2" t="s">
        <v>236</v>
      </c>
    </row>
    <row r="27" spans="1:14" ht="38.25" x14ac:dyDescent="0.2">
      <c r="A27" s="2" t="s">
        <v>65</v>
      </c>
      <c r="B27" s="2" t="s">
        <v>66</v>
      </c>
      <c r="C27" s="2" t="s">
        <v>67</v>
      </c>
      <c r="D27" s="2" t="s">
        <v>68</v>
      </c>
      <c r="E27" s="2" t="s">
        <v>69</v>
      </c>
      <c r="F27" s="2" t="s">
        <v>6</v>
      </c>
      <c r="G27" s="2" t="s">
        <v>20</v>
      </c>
      <c r="H27" s="2" t="s">
        <v>40</v>
      </c>
      <c r="I27" s="2">
        <v>58</v>
      </c>
      <c r="K27" s="2" t="s">
        <v>70</v>
      </c>
      <c r="M27" s="2" t="s">
        <v>106</v>
      </c>
      <c r="N27" s="2" t="s">
        <v>3070</v>
      </c>
    </row>
    <row r="28" spans="1:14" s="8" customFormat="1" x14ac:dyDescent="0.2">
      <c r="A28" s="8" t="s">
        <v>408</v>
      </c>
      <c r="B28" s="8" t="s">
        <v>62</v>
      </c>
      <c r="C28" s="8" t="s">
        <v>67</v>
      </c>
      <c r="E28" s="8" t="s">
        <v>409</v>
      </c>
      <c r="F28" s="8" t="s">
        <v>386</v>
      </c>
      <c r="M28" s="8" t="s">
        <v>407</v>
      </c>
    </row>
    <row r="29" spans="1:14" ht="38.25" x14ac:dyDescent="0.2">
      <c r="A29" s="2" t="s">
        <v>237</v>
      </c>
      <c r="B29" s="2" t="s">
        <v>71</v>
      </c>
      <c r="C29" s="2" t="s">
        <v>72</v>
      </c>
      <c r="D29" s="2" t="s">
        <v>73</v>
      </c>
      <c r="E29" s="2" t="s">
        <v>74</v>
      </c>
      <c r="F29" s="2" t="s">
        <v>6</v>
      </c>
      <c r="G29" s="2" t="s">
        <v>20</v>
      </c>
      <c r="H29" s="2" t="s">
        <v>40</v>
      </c>
      <c r="I29" s="2">
        <v>54</v>
      </c>
      <c r="K29" s="2" t="s">
        <v>75</v>
      </c>
      <c r="M29" s="2" t="s">
        <v>3355</v>
      </c>
    </row>
    <row r="30" spans="1:14" s="8" customFormat="1" ht="25.5" x14ac:dyDescent="0.2">
      <c r="A30" s="8" t="s">
        <v>410</v>
      </c>
      <c r="B30" s="8" t="s">
        <v>411</v>
      </c>
      <c r="C30" s="8" t="s">
        <v>412</v>
      </c>
      <c r="E30" s="8" t="s">
        <v>413</v>
      </c>
      <c r="F30" s="8" t="s">
        <v>386</v>
      </c>
      <c r="M30" s="8" t="s">
        <v>475</v>
      </c>
    </row>
    <row r="31" spans="1:14" s="8" customFormat="1" ht="38.25" x14ac:dyDescent="0.2">
      <c r="A31" s="8" t="s">
        <v>410</v>
      </c>
      <c r="B31" s="8" t="s">
        <v>77</v>
      </c>
      <c r="C31" s="8" t="s">
        <v>17</v>
      </c>
      <c r="E31" s="8" t="s">
        <v>413</v>
      </c>
      <c r="F31" s="8" t="s">
        <v>386</v>
      </c>
      <c r="M31" s="8" t="s">
        <v>476</v>
      </c>
    </row>
    <row r="32" spans="1:14" s="8" customFormat="1" x14ac:dyDescent="0.2">
      <c r="A32" s="8" t="s">
        <v>410</v>
      </c>
      <c r="B32" s="8" t="s">
        <v>414</v>
      </c>
      <c r="E32" s="8" t="s">
        <v>413</v>
      </c>
      <c r="F32" s="8" t="s">
        <v>386</v>
      </c>
      <c r="M32" s="8" t="s">
        <v>415</v>
      </c>
    </row>
    <row r="33" spans="1:14" s="8" customFormat="1" ht="25.5" x14ac:dyDescent="0.2">
      <c r="A33" s="8" t="s">
        <v>416</v>
      </c>
      <c r="B33" s="8" t="s">
        <v>417</v>
      </c>
      <c r="C33" s="8" t="s">
        <v>58</v>
      </c>
      <c r="E33" s="8" t="s">
        <v>413</v>
      </c>
      <c r="F33" s="8" t="s">
        <v>386</v>
      </c>
      <c r="M33" s="8" t="s">
        <v>474</v>
      </c>
    </row>
    <row r="34" spans="1:14" s="8" customFormat="1" ht="25.5" x14ac:dyDescent="0.2">
      <c r="A34" s="8" t="s">
        <v>146</v>
      </c>
      <c r="B34" s="8" t="s">
        <v>100</v>
      </c>
      <c r="C34" s="8" t="s">
        <v>63</v>
      </c>
      <c r="D34" s="8" t="s">
        <v>13</v>
      </c>
      <c r="E34" s="8" t="s">
        <v>143</v>
      </c>
      <c r="K34" s="8" t="s">
        <v>144</v>
      </c>
      <c r="M34" s="8" t="s">
        <v>145</v>
      </c>
    </row>
    <row r="35" spans="1:14" s="8" customFormat="1" x14ac:dyDescent="0.2">
      <c r="A35" s="8" t="s">
        <v>419</v>
      </c>
      <c r="B35" s="8" t="s">
        <v>420</v>
      </c>
      <c r="E35" s="8" t="s">
        <v>421</v>
      </c>
      <c r="F35" s="8" t="s">
        <v>386</v>
      </c>
      <c r="M35" s="8" t="s">
        <v>422</v>
      </c>
    </row>
    <row r="36" spans="1:14" s="8" customFormat="1" x14ac:dyDescent="0.2">
      <c r="A36" s="8" t="s">
        <v>423</v>
      </c>
      <c r="B36" s="8" t="s">
        <v>16</v>
      </c>
      <c r="E36" s="8" t="s">
        <v>400</v>
      </c>
      <c r="F36" s="8" t="s">
        <v>386</v>
      </c>
      <c r="M36" s="8" t="s">
        <v>407</v>
      </c>
    </row>
    <row r="37" spans="1:14" ht="25.5" x14ac:dyDescent="0.2">
      <c r="A37" s="2" t="s">
        <v>107</v>
      </c>
      <c r="B37" s="2" t="s">
        <v>108</v>
      </c>
      <c r="C37" s="2" t="s">
        <v>72</v>
      </c>
      <c r="D37" s="2" t="s">
        <v>109</v>
      </c>
      <c r="E37" s="2" t="s">
        <v>110</v>
      </c>
      <c r="F37" s="2" t="s">
        <v>6</v>
      </c>
      <c r="G37" s="2" t="s">
        <v>14</v>
      </c>
      <c r="H37" s="3">
        <v>24930</v>
      </c>
      <c r="I37" s="2">
        <v>43</v>
      </c>
      <c r="K37" s="2" t="s">
        <v>118</v>
      </c>
      <c r="M37" s="2" t="s">
        <v>114</v>
      </c>
    </row>
    <row r="38" spans="1:14" ht="38.25" x14ac:dyDescent="0.2">
      <c r="A38" s="2" t="s">
        <v>115</v>
      </c>
      <c r="B38" s="2" t="s">
        <v>116</v>
      </c>
      <c r="C38" s="2" t="s">
        <v>117</v>
      </c>
      <c r="D38" s="2" t="s">
        <v>121</v>
      </c>
      <c r="E38" s="2" t="s">
        <v>120</v>
      </c>
      <c r="F38" s="2" t="s">
        <v>50</v>
      </c>
      <c r="G38" s="2" t="s">
        <v>9</v>
      </c>
      <c r="H38" s="3">
        <v>26718</v>
      </c>
      <c r="I38" s="2">
        <f>291+8</f>
        <v>299</v>
      </c>
      <c r="K38" s="2" t="s">
        <v>480</v>
      </c>
      <c r="L38" s="2" t="s">
        <v>478</v>
      </c>
      <c r="M38" s="2" t="s">
        <v>479</v>
      </c>
    </row>
    <row r="39" spans="1:14" s="8" customFormat="1" ht="38.25" x14ac:dyDescent="0.2">
      <c r="A39" s="8" t="s">
        <v>122</v>
      </c>
      <c r="B39" s="8" t="s">
        <v>100</v>
      </c>
      <c r="C39" s="8" t="s">
        <v>123</v>
      </c>
      <c r="D39" s="8" t="s">
        <v>13</v>
      </c>
      <c r="E39" s="8" t="s">
        <v>74</v>
      </c>
      <c r="F39" s="8" t="s">
        <v>50</v>
      </c>
      <c r="G39" s="8" t="s">
        <v>9</v>
      </c>
      <c r="H39" s="9">
        <v>26753</v>
      </c>
      <c r="I39" s="8">
        <f>262+11</f>
        <v>273</v>
      </c>
      <c r="K39" s="8" t="s">
        <v>484</v>
      </c>
      <c r="L39" s="8" t="s">
        <v>478</v>
      </c>
      <c r="M39" s="8" t="s">
        <v>483</v>
      </c>
    </row>
    <row r="40" spans="1:14" ht="25.5" x14ac:dyDescent="0.2">
      <c r="A40" s="2" t="s">
        <v>124</v>
      </c>
      <c r="B40" s="2" t="s">
        <v>3356</v>
      </c>
      <c r="D40" s="2" t="s">
        <v>125</v>
      </c>
      <c r="E40" s="2" t="s">
        <v>126</v>
      </c>
      <c r="F40" s="2" t="s">
        <v>6</v>
      </c>
      <c r="G40" s="2" t="s">
        <v>20</v>
      </c>
      <c r="H40" s="3">
        <v>26788</v>
      </c>
      <c r="I40" s="2">
        <v>21</v>
      </c>
      <c r="K40" s="2" t="s">
        <v>127</v>
      </c>
      <c r="M40" s="2" t="s">
        <v>128</v>
      </c>
      <c r="N40" s="2" t="s">
        <v>3070</v>
      </c>
    </row>
    <row r="41" spans="1:14" ht="51" x14ac:dyDescent="0.2">
      <c r="A41" s="2" t="s">
        <v>129</v>
      </c>
      <c r="B41" s="2" t="s">
        <v>130</v>
      </c>
      <c r="C41" s="2" t="s">
        <v>131</v>
      </c>
      <c r="D41" s="2" t="s">
        <v>13</v>
      </c>
      <c r="E41" s="2" t="s">
        <v>45</v>
      </c>
      <c r="F41" s="2" t="s">
        <v>6</v>
      </c>
      <c r="G41" s="2" t="s">
        <v>20</v>
      </c>
      <c r="H41" s="2" t="s">
        <v>40</v>
      </c>
      <c r="I41" s="2">
        <f>37+37+103</f>
        <v>177</v>
      </c>
      <c r="K41" s="2" t="s">
        <v>132</v>
      </c>
      <c r="M41" s="2" t="s">
        <v>166</v>
      </c>
    </row>
    <row r="42" spans="1:14" s="8" customFormat="1" ht="25.5" x14ac:dyDescent="0.2">
      <c r="A42" s="8" t="s">
        <v>425</v>
      </c>
      <c r="B42" s="8" t="s">
        <v>424</v>
      </c>
      <c r="C42" s="8" t="s">
        <v>192</v>
      </c>
      <c r="E42" s="8" t="s">
        <v>413</v>
      </c>
      <c r="F42" s="8" t="s">
        <v>386</v>
      </c>
      <c r="M42" s="8" t="s">
        <v>473</v>
      </c>
    </row>
    <row r="43" spans="1:14" s="8" customFormat="1" ht="25.5" x14ac:dyDescent="0.2">
      <c r="A43" s="8" t="s">
        <v>425</v>
      </c>
      <c r="B43" s="8" t="s">
        <v>148</v>
      </c>
      <c r="C43" s="8" t="s">
        <v>32</v>
      </c>
      <c r="E43" s="8" t="s">
        <v>413</v>
      </c>
      <c r="F43" s="8" t="s">
        <v>386</v>
      </c>
      <c r="M43" s="8" t="s">
        <v>473</v>
      </c>
    </row>
    <row r="44" spans="1:14" s="8" customFormat="1" x14ac:dyDescent="0.2">
      <c r="A44" s="8" t="s">
        <v>426</v>
      </c>
      <c r="B44" s="8" t="s">
        <v>427</v>
      </c>
      <c r="E44" s="8" t="s">
        <v>400</v>
      </c>
      <c r="F44" s="8" t="s">
        <v>386</v>
      </c>
      <c r="M44" s="8" t="s">
        <v>418</v>
      </c>
    </row>
    <row r="45" spans="1:14" s="8" customFormat="1" x14ac:dyDescent="0.2">
      <c r="A45" s="8" t="s">
        <v>428</v>
      </c>
      <c r="B45" s="8" t="s">
        <v>429</v>
      </c>
      <c r="E45" s="8" t="s">
        <v>430</v>
      </c>
      <c r="F45" s="8" t="s">
        <v>386</v>
      </c>
      <c r="M45" s="8" t="s">
        <v>418</v>
      </c>
    </row>
    <row r="46" spans="1:14" ht="25.5" x14ac:dyDescent="0.2">
      <c r="A46" s="2" t="s">
        <v>133</v>
      </c>
      <c r="B46" s="2" t="s">
        <v>134</v>
      </c>
      <c r="C46" s="2" t="s">
        <v>103</v>
      </c>
      <c r="D46" s="2" t="s">
        <v>14</v>
      </c>
      <c r="E46" s="2" t="s">
        <v>3357</v>
      </c>
      <c r="F46" s="2" t="s">
        <v>6</v>
      </c>
      <c r="H46" s="2" t="s">
        <v>40</v>
      </c>
      <c r="I46" s="2">
        <v>53</v>
      </c>
      <c r="K46" s="2" t="s">
        <v>135</v>
      </c>
      <c r="M46" s="2" t="s">
        <v>177</v>
      </c>
    </row>
    <row r="47" spans="1:14" s="8" customFormat="1" ht="38.25" x14ac:dyDescent="0.2">
      <c r="A47" s="8" t="s">
        <v>136</v>
      </c>
      <c r="B47" s="8" t="s">
        <v>116</v>
      </c>
      <c r="C47" s="8" t="s">
        <v>137</v>
      </c>
      <c r="D47" s="8" t="s">
        <v>139</v>
      </c>
      <c r="E47" s="8" t="s">
        <v>138</v>
      </c>
      <c r="F47" s="8" t="s">
        <v>50</v>
      </c>
      <c r="G47" s="8" t="s">
        <v>14</v>
      </c>
      <c r="H47" s="9">
        <v>26721</v>
      </c>
      <c r="I47" s="8">
        <f>395+83</f>
        <v>478</v>
      </c>
      <c r="K47" s="8" t="s">
        <v>486</v>
      </c>
      <c r="L47" s="8" t="s">
        <v>478</v>
      </c>
      <c r="M47" s="8" t="s">
        <v>485</v>
      </c>
    </row>
    <row r="48" spans="1:14" s="8" customFormat="1" ht="38.25" x14ac:dyDescent="0.2">
      <c r="A48" s="8" t="s">
        <v>141</v>
      </c>
      <c r="B48" s="8" t="s">
        <v>140</v>
      </c>
      <c r="D48" s="8" t="s">
        <v>13</v>
      </c>
      <c r="E48" s="8" t="s">
        <v>74</v>
      </c>
      <c r="F48" s="8" t="s">
        <v>50</v>
      </c>
      <c r="G48" s="8" t="s">
        <v>9</v>
      </c>
      <c r="H48" s="9">
        <v>26756</v>
      </c>
      <c r="I48" s="8">
        <f>412+40</f>
        <v>452</v>
      </c>
      <c r="K48" s="8" t="s">
        <v>488</v>
      </c>
      <c r="L48" s="8" t="s">
        <v>478</v>
      </c>
      <c r="M48" s="8" t="s">
        <v>487</v>
      </c>
    </row>
    <row r="49" spans="1:13" s="8" customFormat="1" ht="25.5" x14ac:dyDescent="0.2">
      <c r="A49" s="8" t="s">
        <v>142</v>
      </c>
      <c r="B49" s="8" t="s">
        <v>140</v>
      </c>
      <c r="C49" s="8" t="s">
        <v>113</v>
      </c>
      <c r="D49" s="8" t="s">
        <v>13</v>
      </c>
      <c r="E49" s="8" t="s">
        <v>143</v>
      </c>
      <c r="K49" s="8" t="s">
        <v>144</v>
      </c>
      <c r="M49" s="8" t="s">
        <v>145</v>
      </c>
    </row>
    <row r="50" spans="1:13" s="8" customFormat="1" ht="12.75" customHeight="1" x14ac:dyDescent="0.2">
      <c r="A50" s="8" t="s">
        <v>431</v>
      </c>
      <c r="B50" s="8" t="s">
        <v>432</v>
      </c>
      <c r="C50" s="8" t="s">
        <v>113</v>
      </c>
      <c r="E50" s="8" t="s">
        <v>413</v>
      </c>
      <c r="F50" s="8" t="s">
        <v>386</v>
      </c>
      <c r="M50" s="8" t="s">
        <v>473</v>
      </c>
    </row>
    <row r="51" spans="1:13" s="8" customFormat="1" x14ac:dyDescent="0.2">
      <c r="A51" s="8" t="s">
        <v>433</v>
      </c>
      <c r="B51" s="8" t="s">
        <v>434</v>
      </c>
      <c r="C51" s="8" t="s">
        <v>72</v>
      </c>
      <c r="E51" s="8" t="s">
        <v>435</v>
      </c>
      <c r="F51" s="8" t="s">
        <v>386</v>
      </c>
      <c r="M51" s="8" t="s">
        <v>422</v>
      </c>
    </row>
    <row r="52" spans="1:13" s="8" customFormat="1" x14ac:dyDescent="0.2">
      <c r="A52" s="8" t="s">
        <v>443</v>
      </c>
      <c r="B52" s="8" t="s">
        <v>444</v>
      </c>
      <c r="E52" s="8" t="s">
        <v>446</v>
      </c>
      <c r="F52" s="8" t="s">
        <v>386</v>
      </c>
      <c r="M52" s="8" t="s">
        <v>422</v>
      </c>
    </row>
    <row r="53" spans="1:13" s="8" customFormat="1" x14ac:dyDescent="0.2">
      <c r="A53" s="8" t="s">
        <v>443</v>
      </c>
      <c r="B53" s="8" t="s">
        <v>445</v>
      </c>
      <c r="C53" s="8" t="s">
        <v>32</v>
      </c>
      <c r="E53" s="8" t="s">
        <v>446</v>
      </c>
      <c r="F53" s="8" t="s">
        <v>386</v>
      </c>
      <c r="M53" s="8" t="s">
        <v>422</v>
      </c>
    </row>
    <row r="54" spans="1:13" ht="63.75" x14ac:dyDescent="0.2">
      <c r="A54" s="2" t="s">
        <v>147</v>
      </c>
      <c r="B54" s="2" t="s">
        <v>148</v>
      </c>
      <c r="C54" s="2" t="s">
        <v>53</v>
      </c>
      <c r="D54" s="2" t="s">
        <v>13</v>
      </c>
      <c r="E54" s="2" t="s">
        <v>45</v>
      </c>
      <c r="F54" s="2" t="s">
        <v>6</v>
      </c>
      <c r="G54" s="2" t="s">
        <v>20</v>
      </c>
      <c r="H54" s="2" t="s">
        <v>40</v>
      </c>
      <c r="I54" s="2">
        <v>118</v>
      </c>
      <c r="K54" s="2" t="s">
        <v>153</v>
      </c>
      <c r="M54" s="2" t="s">
        <v>167</v>
      </c>
    </row>
    <row r="55" spans="1:13" s="8" customFormat="1" x14ac:dyDescent="0.2">
      <c r="A55" s="8" t="s">
        <v>436</v>
      </c>
      <c r="B55" s="8" t="s">
        <v>77</v>
      </c>
      <c r="E55" s="8" t="s">
        <v>409</v>
      </c>
      <c r="F55" s="8" t="s">
        <v>386</v>
      </c>
      <c r="M55" s="8" t="s">
        <v>422</v>
      </c>
    </row>
    <row r="56" spans="1:13" ht="63.75" customHeight="1" x14ac:dyDescent="0.2">
      <c r="A56" s="2" t="s">
        <v>149</v>
      </c>
      <c r="B56" s="2" t="s">
        <v>150</v>
      </c>
      <c r="C56" s="2" t="s">
        <v>58</v>
      </c>
      <c r="D56" s="2" t="s">
        <v>151</v>
      </c>
      <c r="E56" s="2" t="s">
        <v>19</v>
      </c>
      <c r="F56" s="2" t="s">
        <v>6</v>
      </c>
      <c r="G56" s="2" t="s">
        <v>20</v>
      </c>
      <c r="H56" s="2" t="s">
        <v>40</v>
      </c>
      <c r="I56" s="2">
        <f>96+162</f>
        <v>258</v>
      </c>
      <c r="K56" s="2" t="s">
        <v>152</v>
      </c>
      <c r="M56" s="2" t="s">
        <v>168</v>
      </c>
    </row>
    <row r="57" spans="1:13" ht="42" customHeight="1" x14ac:dyDescent="0.2">
      <c r="A57" s="2" t="s">
        <v>468</v>
      </c>
      <c r="B57" s="2" t="s">
        <v>469</v>
      </c>
      <c r="C57" s="2" t="s">
        <v>67</v>
      </c>
      <c r="D57" s="2" t="s">
        <v>33</v>
      </c>
      <c r="E57" s="2" t="s">
        <v>470</v>
      </c>
      <c r="F57" s="2" t="s">
        <v>6</v>
      </c>
      <c r="H57" s="3">
        <v>27698</v>
      </c>
      <c r="I57" s="2">
        <v>8</v>
      </c>
      <c r="K57" s="2" t="s">
        <v>471</v>
      </c>
      <c r="L57" s="2" t="s">
        <v>472</v>
      </c>
      <c r="M57" s="2" t="s">
        <v>3358</v>
      </c>
    </row>
    <row r="58" spans="1:13" ht="25.5" x14ac:dyDescent="0.2">
      <c r="A58" s="2" t="s">
        <v>154</v>
      </c>
      <c r="B58" s="2" t="s">
        <v>148</v>
      </c>
      <c r="C58" s="2" t="s">
        <v>63</v>
      </c>
      <c r="D58" s="2" t="s">
        <v>33</v>
      </c>
      <c r="E58" s="2" t="s">
        <v>155</v>
      </c>
      <c r="F58" s="2" t="s">
        <v>6</v>
      </c>
      <c r="G58" s="2" t="s">
        <v>14</v>
      </c>
      <c r="H58" s="3">
        <v>26717</v>
      </c>
      <c r="I58" s="2">
        <v>9</v>
      </c>
      <c r="K58" s="2" t="s">
        <v>156</v>
      </c>
      <c r="M58" s="2" t="s">
        <v>157</v>
      </c>
    </row>
    <row r="59" spans="1:13" ht="25.5" x14ac:dyDescent="0.2">
      <c r="A59" s="2" t="s">
        <v>437</v>
      </c>
      <c r="B59" s="2" t="s">
        <v>148</v>
      </c>
      <c r="C59" s="2" t="s">
        <v>182</v>
      </c>
      <c r="D59" s="2" t="s">
        <v>183</v>
      </c>
      <c r="E59" s="2" t="s">
        <v>438</v>
      </c>
      <c r="F59" s="2" t="s">
        <v>184</v>
      </c>
      <c r="H59" s="3"/>
      <c r="I59" s="2">
        <v>4</v>
      </c>
      <c r="K59" s="2" t="s">
        <v>185</v>
      </c>
      <c r="M59" s="2" t="s">
        <v>3359</v>
      </c>
    </row>
    <row r="60" spans="1:13" ht="51" x14ac:dyDescent="0.2">
      <c r="A60" s="2" t="s">
        <v>158</v>
      </c>
      <c r="B60" s="2" t="s">
        <v>159</v>
      </c>
      <c r="C60" s="2" t="s">
        <v>67</v>
      </c>
      <c r="E60" s="2" t="s">
        <v>45</v>
      </c>
      <c r="F60" s="2" t="s">
        <v>6</v>
      </c>
      <c r="G60" s="2" t="s">
        <v>20</v>
      </c>
      <c r="H60" s="3">
        <v>26743</v>
      </c>
      <c r="I60" s="2">
        <v>140</v>
      </c>
      <c r="K60" s="2" t="s">
        <v>160</v>
      </c>
      <c r="M60" s="2" t="s">
        <v>169</v>
      </c>
    </row>
    <row r="61" spans="1:13" ht="39" customHeight="1" x14ac:dyDescent="0.2">
      <c r="A61" s="2" t="s">
        <v>162</v>
      </c>
      <c r="B61" s="2" t="s">
        <v>163</v>
      </c>
      <c r="C61" s="2" t="s">
        <v>72</v>
      </c>
      <c r="D61" s="2" t="s">
        <v>164</v>
      </c>
      <c r="E61" s="2" t="s">
        <v>74</v>
      </c>
      <c r="F61" s="2" t="s">
        <v>6</v>
      </c>
      <c r="G61" s="2" t="s">
        <v>20</v>
      </c>
      <c r="H61" s="3">
        <v>26772</v>
      </c>
      <c r="I61" s="2">
        <v>116</v>
      </c>
      <c r="K61" s="2" t="s">
        <v>161</v>
      </c>
      <c r="M61" s="2" t="s">
        <v>170</v>
      </c>
    </row>
    <row r="62" spans="1:13" s="8" customFormat="1" ht="20.25" customHeight="1" x14ac:dyDescent="0.2">
      <c r="A62" s="8" t="s">
        <v>439</v>
      </c>
      <c r="B62" s="8" t="s">
        <v>440</v>
      </c>
      <c r="E62" s="8" t="s">
        <v>441</v>
      </c>
      <c r="F62" s="8" t="s">
        <v>386</v>
      </c>
      <c r="M62" s="8" t="s">
        <v>442</v>
      </c>
    </row>
    <row r="67" spans="1:13" ht="25.5" x14ac:dyDescent="0.2">
      <c r="A67" s="2" t="s">
        <v>178</v>
      </c>
      <c r="B67" s="2" t="s">
        <v>77</v>
      </c>
      <c r="C67" s="2" t="s">
        <v>32</v>
      </c>
      <c r="F67" s="2" t="s">
        <v>179</v>
      </c>
      <c r="G67" s="2" t="s">
        <v>41</v>
      </c>
      <c r="I67" s="2">
        <v>2</v>
      </c>
      <c r="K67" s="2" t="s">
        <v>180</v>
      </c>
      <c r="M67" s="2" t="s">
        <v>181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5"/>
  <sheetViews>
    <sheetView tabSelected="1" workbookViewId="0">
      <pane ySplit="1" topLeftCell="A2" activePane="bottomLeft" state="frozen"/>
      <selection pane="bottomLeft" activeCell="H1" sqref="H1:H1048576"/>
    </sheetView>
  </sheetViews>
  <sheetFormatPr defaultRowHeight="15" x14ac:dyDescent="0.25"/>
  <cols>
    <col min="1" max="1" width="17.42578125" style="1" customWidth="1"/>
    <col min="2" max="2" width="17.28515625" style="1" customWidth="1"/>
    <col min="3" max="3" width="7.42578125" style="1" customWidth="1"/>
    <col min="4" max="4" width="17.140625" style="1" customWidth="1"/>
    <col min="5" max="5" width="23.7109375" style="4" customWidth="1"/>
    <col min="6" max="6" width="16" style="1" customWidth="1"/>
    <col min="7" max="7" width="16.42578125" style="1" customWidth="1"/>
    <col min="8" max="8" width="15.5703125" style="4" customWidth="1"/>
    <col min="9" max="9" width="12.42578125" style="1" customWidth="1"/>
    <col min="10" max="10" width="9.140625" style="1"/>
    <col min="11" max="11" width="13.7109375" style="1" customWidth="1"/>
    <col min="12" max="12" width="9.7109375" style="1" customWidth="1"/>
    <col min="13" max="13" width="58.5703125" style="1" customWidth="1"/>
    <col min="14" max="14" width="20.140625" style="1" customWidth="1"/>
    <col min="15" max="15" width="48" style="1" customWidth="1"/>
    <col min="16" max="17" width="14.140625" style="1" customWidth="1"/>
    <col min="18" max="16384" width="9.140625" style="1"/>
  </cols>
  <sheetData>
    <row r="1" spans="1:15" ht="21" customHeight="1" x14ac:dyDescent="0.25">
      <c r="A1" s="1" t="s">
        <v>0</v>
      </c>
      <c r="B1" s="1" t="s">
        <v>1</v>
      </c>
      <c r="C1" s="1" t="s">
        <v>2</v>
      </c>
      <c r="D1" s="1" t="s">
        <v>94</v>
      </c>
      <c r="E1" s="4" t="s">
        <v>11</v>
      </c>
      <c r="F1" s="1" t="s">
        <v>3</v>
      </c>
      <c r="G1" s="1" t="s">
        <v>3229</v>
      </c>
      <c r="H1" s="4" t="s">
        <v>10</v>
      </c>
      <c r="I1" s="1" t="s">
        <v>12</v>
      </c>
      <c r="J1" s="1" t="s">
        <v>7</v>
      </c>
      <c r="K1" s="1" t="s">
        <v>21</v>
      </c>
      <c r="L1" s="1" t="s">
        <v>23</v>
      </c>
      <c r="M1" s="1" t="s">
        <v>39</v>
      </c>
      <c r="N1" s="1" t="s">
        <v>1065</v>
      </c>
      <c r="O1" s="1" t="s">
        <v>1486</v>
      </c>
    </row>
    <row r="2" spans="1:15" ht="31.5" customHeight="1" x14ac:dyDescent="0.25">
      <c r="A2" s="1" t="s">
        <v>95</v>
      </c>
      <c r="B2" s="1" t="s">
        <v>96</v>
      </c>
      <c r="C2" s="1" t="s">
        <v>953</v>
      </c>
      <c r="D2" s="1" t="s">
        <v>97</v>
      </c>
      <c r="E2" s="4" t="s">
        <v>98</v>
      </c>
      <c r="F2" s="1" t="s">
        <v>186</v>
      </c>
      <c r="I2" s="1">
        <v>136</v>
      </c>
      <c r="K2" s="1" t="s">
        <v>187</v>
      </c>
      <c r="L2" s="1" t="s">
        <v>1110</v>
      </c>
      <c r="M2" s="1" t="s">
        <v>99</v>
      </c>
    </row>
    <row r="3" spans="1:15" ht="44.25" customHeight="1" x14ac:dyDescent="0.25">
      <c r="A3" s="1" t="s">
        <v>95</v>
      </c>
      <c r="B3" s="1" t="s">
        <v>100</v>
      </c>
      <c r="C3" s="1" t="s">
        <v>67</v>
      </c>
      <c r="D3" s="1" t="s">
        <v>101</v>
      </c>
      <c r="E3" s="4" t="s">
        <v>98</v>
      </c>
      <c r="F3" s="1" t="s">
        <v>186</v>
      </c>
      <c r="H3" s="4">
        <v>26729</v>
      </c>
      <c r="I3" s="1">
        <v>200</v>
      </c>
      <c r="K3" s="1" t="s">
        <v>188</v>
      </c>
      <c r="L3" s="1" t="s">
        <v>1110</v>
      </c>
      <c r="M3" s="1" t="s">
        <v>3230</v>
      </c>
    </row>
    <row r="4" spans="1:15" ht="30" x14ac:dyDescent="0.25">
      <c r="A4" s="1" t="s">
        <v>95</v>
      </c>
      <c r="B4" s="1" t="s">
        <v>102</v>
      </c>
      <c r="C4" s="1" t="s">
        <v>103</v>
      </c>
      <c r="D4" s="1" t="s">
        <v>97</v>
      </c>
      <c r="E4" s="4" t="s">
        <v>104</v>
      </c>
      <c r="F4" s="1" t="s">
        <v>186</v>
      </c>
      <c r="G4" s="1" t="s">
        <v>9</v>
      </c>
      <c r="H4" s="4">
        <v>26735</v>
      </c>
      <c r="I4" s="1">
        <v>275</v>
      </c>
      <c r="K4" s="1" t="s">
        <v>189</v>
      </c>
      <c r="L4" s="1" t="s">
        <v>1110</v>
      </c>
      <c r="M4" s="1" t="s">
        <v>105</v>
      </c>
    </row>
    <row r="5" spans="1:15" ht="29.25" customHeight="1" x14ac:dyDescent="0.25">
      <c r="A5" s="1" t="s">
        <v>190</v>
      </c>
      <c r="B5" s="1" t="s">
        <v>191</v>
      </c>
      <c r="C5" s="1" t="s">
        <v>192</v>
      </c>
      <c r="D5" s="1" t="s">
        <v>193</v>
      </c>
      <c r="E5" s="4" t="s">
        <v>194</v>
      </c>
      <c r="F5" s="1" t="s">
        <v>186</v>
      </c>
      <c r="H5" s="4">
        <v>26753</v>
      </c>
      <c r="I5" s="1">
        <f>97+14</f>
        <v>111</v>
      </c>
      <c r="K5" s="1" t="s">
        <v>195</v>
      </c>
      <c r="L5" s="1" t="s">
        <v>1110</v>
      </c>
      <c r="M5" s="1" t="s">
        <v>238</v>
      </c>
    </row>
    <row r="6" spans="1:15" ht="72.75" customHeight="1" x14ac:dyDescent="0.25">
      <c r="A6" s="1" t="s">
        <v>208</v>
      </c>
      <c r="B6" s="1" t="s">
        <v>209</v>
      </c>
      <c r="C6" s="1" t="s">
        <v>53</v>
      </c>
      <c r="D6" s="1" t="s">
        <v>210</v>
      </c>
      <c r="E6" s="4" t="s">
        <v>211</v>
      </c>
      <c r="F6" s="1" t="s">
        <v>6</v>
      </c>
      <c r="G6" s="1" t="s">
        <v>20</v>
      </c>
      <c r="H6" s="4">
        <v>26759</v>
      </c>
      <c r="I6" s="1">
        <f>96+114+44+31</f>
        <v>285</v>
      </c>
      <c r="K6" s="1" t="s">
        <v>196</v>
      </c>
      <c r="L6" s="1" t="s">
        <v>1110</v>
      </c>
      <c r="M6" s="1" t="s">
        <v>3343</v>
      </c>
      <c r="N6" s="1" t="s">
        <v>1370</v>
      </c>
    </row>
    <row r="7" spans="1:15" ht="42.75" customHeight="1" x14ac:dyDescent="0.25">
      <c r="A7" s="1" t="s">
        <v>212</v>
      </c>
      <c r="B7" s="1" t="s">
        <v>213</v>
      </c>
      <c r="D7" s="1" t="s">
        <v>214</v>
      </c>
      <c r="E7" s="4" t="s">
        <v>216</v>
      </c>
      <c r="F7" s="1" t="s">
        <v>6</v>
      </c>
      <c r="G7" s="1" t="s">
        <v>215</v>
      </c>
      <c r="H7" s="4">
        <v>24861</v>
      </c>
      <c r="I7" s="1">
        <v>54</v>
      </c>
      <c r="K7" s="1" t="s">
        <v>1130</v>
      </c>
      <c r="L7" s="1" t="s">
        <v>1110</v>
      </c>
      <c r="M7" s="1" t="s">
        <v>3231</v>
      </c>
    </row>
    <row r="8" spans="1:15" s="17" customFormat="1" ht="42.75" customHeight="1" x14ac:dyDescent="0.25">
      <c r="A8" s="17" t="s">
        <v>1120</v>
      </c>
      <c r="B8" s="17" t="s">
        <v>720</v>
      </c>
      <c r="C8" s="17" t="s">
        <v>17</v>
      </c>
      <c r="E8" s="18" t="s">
        <v>1121</v>
      </c>
      <c r="F8" s="17" t="s">
        <v>3156</v>
      </c>
      <c r="H8" s="18"/>
      <c r="K8" s="17" t="s">
        <v>1131</v>
      </c>
      <c r="M8" s="17" t="s">
        <v>1204</v>
      </c>
    </row>
    <row r="9" spans="1:15" x14ac:dyDescent="0.25">
      <c r="A9" s="1" t="s">
        <v>199</v>
      </c>
      <c r="B9" s="1" t="s">
        <v>200</v>
      </c>
      <c r="C9" s="1" t="s">
        <v>67</v>
      </c>
      <c r="D9" s="1" t="s">
        <v>201</v>
      </c>
      <c r="E9" s="4" t="s">
        <v>202</v>
      </c>
      <c r="F9" s="1" t="s">
        <v>6</v>
      </c>
      <c r="H9" s="4">
        <v>26779</v>
      </c>
      <c r="I9" s="1">
        <v>24</v>
      </c>
      <c r="K9" s="1" t="s">
        <v>197</v>
      </c>
      <c r="L9" s="1" t="s">
        <v>1110</v>
      </c>
    </row>
    <row r="10" spans="1:15" ht="151.5" customHeight="1" x14ac:dyDescent="0.25">
      <c r="A10" s="1" t="s">
        <v>203</v>
      </c>
      <c r="B10" s="1" t="s">
        <v>204</v>
      </c>
      <c r="C10" s="1" t="s">
        <v>205</v>
      </c>
      <c r="D10" s="1" t="s">
        <v>206</v>
      </c>
      <c r="E10" s="4" t="s">
        <v>207</v>
      </c>
      <c r="F10" s="1" t="s">
        <v>6</v>
      </c>
      <c r="G10" s="1" t="s">
        <v>20</v>
      </c>
      <c r="H10" s="4">
        <v>26711</v>
      </c>
      <c r="I10" s="1">
        <f>118+16+9+62+13+200</f>
        <v>418</v>
      </c>
      <c r="K10" s="1" t="s">
        <v>198</v>
      </c>
      <c r="L10" s="1" t="s">
        <v>1110</v>
      </c>
      <c r="M10" s="1" t="s">
        <v>3232</v>
      </c>
    </row>
    <row r="11" spans="1:15" ht="75" x14ac:dyDescent="0.25">
      <c r="A11" s="1" t="s">
        <v>43</v>
      </c>
      <c r="B11" s="1" t="s">
        <v>217</v>
      </c>
      <c r="D11" s="1" t="s">
        <v>97</v>
      </c>
      <c r="E11" s="4" t="s">
        <v>218</v>
      </c>
      <c r="F11" s="1" t="s">
        <v>186</v>
      </c>
      <c r="H11" s="4">
        <v>26757</v>
      </c>
      <c r="I11" s="1">
        <f>200+28</f>
        <v>228</v>
      </c>
      <c r="K11" s="1" t="s">
        <v>219</v>
      </c>
      <c r="L11" s="1" t="s">
        <v>1110</v>
      </c>
      <c r="M11" s="1" t="s">
        <v>220</v>
      </c>
      <c r="N11" s="1" t="s">
        <v>3010</v>
      </c>
    </row>
    <row r="12" spans="1:15" x14ac:dyDescent="0.25">
      <c r="A12" s="1" t="s">
        <v>225</v>
      </c>
      <c r="B12" s="1" t="s">
        <v>226</v>
      </c>
      <c r="C12" s="1" t="s">
        <v>123</v>
      </c>
      <c r="D12" s="1" t="s">
        <v>227</v>
      </c>
      <c r="E12" s="4" t="s">
        <v>224</v>
      </c>
      <c r="F12" s="1" t="s">
        <v>6</v>
      </c>
      <c r="G12" s="1" t="s">
        <v>222</v>
      </c>
      <c r="H12" s="4">
        <v>26780</v>
      </c>
      <c r="I12" s="1">
        <v>40</v>
      </c>
      <c r="K12" s="1" t="s">
        <v>223</v>
      </c>
      <c r="L12" s="1" t="s">
        <v>1110</v>
      </c>
      <c r="M12" s="1" t="s">
        <v>221</v>
      </c>
    </row>
    <row r="13" spans="1:15" ht="30" x14ac:dyDescent="0.25">
      <c r="A13" s="1" t="s">
        <v>228</v>
      </c>
      <c r="B13" s="1" t="s">
        <v>77</v>
      </c>
      <c r="C13" s="1" t="s">
        <v>53</v>
      </c>
      <c r="D13" s="1" t="s">
        <v>101</v>
      </c>
      <c r="E13" s="4" t="s">
        <v>229</v>
      </c>
      <c r="F13" s="1" t="s">
        <v>186</v>
      </c>
      <c r="G13" s="1" t="s">
        <v>9</v>
      </c>
      <c r="H13" s="4">
        <v>26756</v>
      </c>
      <c r="I13" s="1">
        <f>9+219+26+11+3</f>
        <v>268</v>
      </c>
      <c r="K13" s="1" t="s">
        <v>230</v>
      </c>
      <c r="L13" s="1" t="s">
        <v>1110</v>
      </c>
      <c r="M13" s="1" t="s">
        <v>3233</v>
      </c>
      <c r="N13" s="1" t="s">
        <v>1095</v>
      </c>
    </row>
    <row r="14" spans="1:15" ht="75" x14ac:dyDescent="0.25">
      <c r="A14" s="1" t="s">
        <v>231</v>
      </c>
      <c r="B14" s="1" t="s">
        <v>232</v>
      </c>
      <c r="D14" s="1" t="s">
        <v>206</v>
      </c>
      <c r="E14" s="4" t="s">
        <v>233</v>
      </c>
      <c r="F14" s="1" t="s">
        <v>6</v>
      </c>
      <c r="G14" s="1" t="s">
        <v>20</v>
      </c>
      <c r="I14" s="1">
        <f>53+45+8+2</f>
        <v>108</v>
      </c>
      <c r="J14" s="1" t="s">
        <v>352</v>
      </c>
      <c r="K14" s="1" t="s">
        <v>239</v>
      </c>
      <c r="L14" s="1" t="s">
        <v>1110</v>
      </c>
      <c r="M14" s="1" t="s">
        <v>2225</v>
      </c>
    </row>
    <row r="15" spans="1:15" ht="75" x14ac:dyDescent="0.25">
      <c r="A15" s="1" t="s">
        <v>240</v>
      </c>
      <c r="B15" s="1" t="s">
        <v>241</v>
      </c>
      <c r="C15" s="1" t="s">
        <v>32</v>
      </c>
      <c r="D15" s="1" t="s">
        <v>210</v>
      </c>
      <c r="E15" s="4" t="s">
        <v>242</v>
      </c>
      <c r="F15" s="1" t="s">
        <v>6</v>
      </c>
      <c r="G15" s="1" t="s">
        <v>20</v>
      </c>
      <c r="I15" s="1">
        <f>54+3+12+20+72+141</f>
        <v>302</v>
      </c>
      <c r="K15" s="1" t="s">
        <v>243</v>
      </c>
      <c r="L15" s="1" t="s">
        <v>1110</v>
      </c>
      <c r="M15" s="1" t="s">
        <v>257</v>
      </c>
    </row>
    <row r="16" spans="1:15" ht="30" x14ac:dyDescent="0.25">
      <c r="A16" s="1" t="s">
        <v>240</v>
      </c>
      <c r="B16" s="1" t="s">
        <v>77</v>
      </c>
      <c r="C16" s="1" t="s">
        <v>244</v>
      </c>
      <c r="D16" s="1" t="s">
        <v>245</v>
      </c>
      <c r="E16" s="4" t="s">
        <v>246</v>
      </c>
      <c r="F16" s="1" t="s">
        <v>6</v>
      </c>
      <c r="G16" s="1" t="s">
        <v>222</v>
      </c>
      <c r="H16" s="4">
        <v>26739</v>
      </c>
      <c r="I16" s="1">
        <f>34+38</f>
        <v>72</v>
      </c>
      <c r="K16" s="1" t="s">
        <v>247</v>
      </c>
      <c r="L16" s="1" t="s">
        <v>1110</v>
      </c>
      <c r="M16" s="1" t="s">
        <v>248</v>
      </c>
    </row>
    <row r="17" spans="1:14" ht="45" x14ac:dyDescent="0.25">
      <c r="A17" s="1" t="s">
        <v>240</v>
      </c>
      <c r="B17" s="1" t="s">
        <v>77</v>
      </c>
      <c r="C17" s="1" t="s">
        <v>63</v>
      </c>
      <c r="D17" s="1" t="s">
        <v>101</v>
      </c>
      <c r="E17" s="4" t="s">
        <v>249</v>
      </c>
      <c r="F17" s="1" t="s">
        <v>186</v>
      </c>
      <c r="G17" s="1" t="s">
        <v>9</v>
      </c>
      <c r="H17" s="4">
        <v>26712</v>
      </c>
      <c r="I17" s="1">
        <f>102+20+2+10+5+2+2</f>
        <v>143</v>
      </c>
      <c r="K17" s="1" t="s">
        <v>250</v>
      </c>
      <c r="L17" s="1" t="s">
        <v>1110</v>
      </c>
      <c r="M17" s="1" t="s">
        <v>251</v>
      </c>
    </row>
    <row r="18" spans="1:14" s="17" customFormat="1" x14ac:dyDescent="0.25">
      <c r="A18" s="17" t="s">
        <v>240</v>
      </c>
      <c r="B18" s="17" t="s">
        <v>1127</v>
      </c>
      <c r="C18" s="17" t="s">
        <v>17</v>
      </c>
      <c r="E18" s="18" t="s">
        <v>1128</v>
      </c>
      <c r="H18" s="18"/>
    </row>
    <row r="19" spans="1:14" ht="45" x14ac:dyDescent="0.25">
      <c r="A19" s="1" t="s">
        <v>252</v>
      </c>
      <c r="B19" s="1" t="s">
        <v>253</v>
      </c>
      <c r="C19" s="1" t="s">
        <v>26</v>
      </c>
      <c r="D19" s="1" t="s">
        <v>101</v>
      </c>
      <c r="E19" s="4" t="s">
        <v>254</v>
      </c>
      <c r="F19" s="1" t="s">
        <v>186</v>
      </c>
      <c r="G19" s="1" t="s">
        <v>9</v>
      </c>
      <c r="H19" s="4">
        <v>26744</v>
      </c>
      <c r="I19" s="1">
        <f>335+5+25+25+2+9</f>
        <v>401</v>
      </c>
      <c r="K19" s="1" t="s">
        <v>255</v>
      </c>
      <c r="L19" s="1" t="s">
        <v>1110</v>
      </c>
      <c r="M19" s="1" t="s">
        <v>256</v>
      </c>
    </row>
    <row r="20" spans="1:14" x14ac:dyDescent="0.25">
      <c r="A20" s="1" t="s">
        <v>258</v>
      </c>
      <c r="B20" s="1" t="s">
        <v>259</v>
      </c>
      <c r="C20" s="1" t="s">
        <v>103</v>
      </c>
      <c r="D20" s="1" t="s">
        <v>260</v>
      </c>
      <c r="E20" s="4" t="s">
        <v>261</v>
      </c>
      <c r="F20" s="1" t="s">
        <v>6</v>
      </c>
      <c r="G20" s="1" t="s">
        <v>215</v>
      </c>
      <c r="I20" s="1">
        <v>88</v>
      </c>
      <c r="K20" s="1" t="s">
        <v>262</v>
      </c>
      <c r="L20" s="1" t="s">
        <v>1110</v>
      </c>
      <c r="M20" s="1" t="s">
        <v>293</v>
      </c>
    </row>
    <row r="21" spans="1:14" ht="30" x14ac:dyDescent="0.25">
      <c r="A21" s="1" t="s">
        <v>265</v>
      </c>
      <c r="B21" s="1" t="s">
        <v>148</v>
      </c>
      <c r="C21" s="1" t="s">
        <v>26</v>
      </c>
      <c r="D21" s="1" t="s">
        <v>266</v>
      </c>
      <c r="E21" s="4" t="s">
        <v>267</v>
      </c>
      <c r="F21" s="1" t="s">
        <v>6</v>
      </c>
      <c r="G21" s="1" t="s">
        <v>222</v>
      </c>
      <c r="H21" s="4">
        <v>26756</v>
      </c>
      <c r="I21" s="1">
        <f>36+12</f>
        <v>48</v>
      </c>
      <c r="K21" s="1" t="s">
        <v>263</v>
      </c>
      <c r="L21" s="1" t="s">
        <v>1110</v>
      </c>
      <c r="M21" s="1" t="s">
        <v>264</v>
      </c>
    </row>
    <row r="22" spans="1:14" x14ac:dyDescent="0.25">
      <c r="A22" s="1" t="s">
        <v>268</v>
      </c>
      <c r="B22" s="1" t="s">
        <v>269</v>
      </c>
      <c r="C22" s="1" t="s">
        <v>182</v>
      </c>
      <c r="D22" s="1" t="s">
        <v>270</v>
      </c>
      <c r="E22" s="4" t="s">
        <v>271</v>
      </c>
      <c r="F22" s="1" t="s">
        <v>6</v>
      </c>
      <c r="G22" s="1" t="s">
        <v>222</v>
      </c>
      <c r="H22" s="4">
        <v>26780</v>
      </c>
      <c r="I22" s="1">
        <v>49</v>
      </c>
      <c r="K22" s="1" t="s">
        <v>273</v>
      </c>
      <c r="L22" s="1" t="s">
        <v>1110</v>
      </c>
      <c r="M22" s="1" t="s">
        <v>272</v>
      </c>
    </row>
    <row r="23" spans="1:14" ht="60" x14ac:dyDescent="0.25">
      <c r="A23" s="1" t="s">
        <v>274</v>
      </c>
      <c r="B23" s="1" t="s">
        <v>275</v>
      </c>
      <c r="C23" s="1" t="s">
        <v>58</v>
      </c>
      <c r="D23" s="1" t="s">
        <v>276</v>
      </c>
      <c r="E23" s="4" t="s">
        <v>277</v>
      </c>
      <c r="F23" s="1" t="s">
        <v>296</v>
      </c>
      <c r="G23" s="1" t="s">
        <v>215</v>
      </c>
      <c r="I23" s="1">
        <f>69+154+173+147</f>
        <v>543</v>
      </c>
      <c r="K23" s="1" t="s">
        <v>278</v>
      </c>
      <c r="L23" s="1" t="s">
        <v>1110</v>
      </c>
      <c r="M23" s="1" t="s">
        <v>297</v>
      </c>
    </row>
    <row r="24" spans="1:14" ht="75" x14ac:dyDescent="0.25">
      <c r="A24" s="1" t="s">
        <v>279</v>
      </c>
      <c r="B24" s="1" t="s">
        <v>280</v>
      </c>
      <c r="C24" s="1" t="s">
        <v>205</v>
      </c>
      <c r="D24" s="1" t="s">
        <v>260</v>
      </c>
      <c r="E24" s="4" t="s">
        <v>281</v>
      </c>
      <c r="F24" s="1" t="s">
        <v>6</v>
      </c>
      <c r="G24" s="1" t="s">
        <v>215</v>
      </c>
      <c r="H24" s="4">
        <v>26739</v>
      </c>
      <c r="I24" s="1">
        <f>11+110+212</f>
        <v>333</v>
      </c>
      <c r="K24" s="1" t="s">
        <v>282</v>
      </c>
      <c r="L24" s="1" t="s">
        <v>1110</v>
      </c>
      <c r="M24" s="1" t="s">
        <v>3234</v>
      </c>
      <c r="N24" s="1" t="s">
        <v>2058</v>
      </c>
    </row>
    <row r="25" spans="1:14" ht="30" x14ac:dyDescent="0.25">
      <c r="A25" s="1" t="s">
        <v>283</v>
      </c>
      <c r="B25" s="1" t="s">
        <v>284</v>
      </c>
      <c r="C25" s="1" t="s">
        <v>285</v>
      </c>
      <c r="D25" s="1" t="s">
        <v>193</v>
      </c>
      <c r="E25" s="4" t="s">
        <v>286</v>
      </c>
      <c r="F25" s="1" t="s">
        <v>186</v>
      </c>
      <c r="G25" s="1" t="s">
        <v>9</v>
      </c>
      <c r="H25" s="4">
        <v>26712</v>
      </c>
      <c r="I25" s="1">
        <f>77+5+3+2+2+4</f>
        <v>93</v>
      </c>
      <c r="K25" s="1" t="s">
        <v>287</v>
      </c>
      <c r="L25" s="1" t="s">
        <v>1110</v>
      </c>
      <c r="M25" s="1" t="s">
        <v>294</v>
      </c>
    </row>
    <row r="26" spans="1:14" x14ac:dyDescent="0.25">
      <c r="A26" s="1" t="s">
        <v>288</v>
      </c>
      <c r="B26" s="1" t="s">
        <v>275</v>
      </c>
      <c r="C26" s="1" t="s">
        <v>192</v>
      </c>
      <c r="D26" s="1" t="s">
        <v>289</v>
      </c>
      <c r="E26" s="4" t="s">
        <v>290</v>
      </c>
      <c r="F26" s="1" t="s">
        <v>6</v>
      </c>
      <c r="G26" s="1" t="s">
        <v>222</v>
      </c>
      <c r="H26" s="4">
        <v>26763</v>
      </c>
      <c r="I26" s="1">
        <f>48+27</f>
        <v>75</v>
      </c>
      <c r="K26" s="1" t="s">
        <v>291</v>
      </c>
      <c r="L26" s="1" t="s">
        <v>1110</v>
      </c>
      <c r="M26" s="1" t="s">
        <v>295</v>
      </c>
    </row>
    <row r="27" spans="1:14" ht="45" x14ac:dyDescent="0.25">
      <c r="A27" s="1" t="s">
        <v>303</v>
      </c>
      <c r="B27" s="1" t="s">
        <v>284</v>
      </c>
      <c r="C27" s="1" t="s">
        <v>205</v>
      </c>
      <c r="D27" s="1" t="s">
        <v>101</v>
      </c>
      <c r="E27" s="4" t="s">
        <v>304</v>
      </c>
      <c r="F27" s="1" t="s">
        <v>186</v>
      </c>
      <c r="G27" s="1" t="s">
        <v>9</v>
      </c>
      <c r="H27" s="4">
        <v>26743</v>
      </c>
      <c r="I27" s="1">
        <f>392+12+9+4+2+2+16</f>
        <v>437</v>
      </c>
      <c r="K27" s="1" t="s">
        <v>305</v>
      </c>
      <c r="L27" s="1" t="s">
        <v>1110</v>
      </c>
      <c r="M27" s="1" t="s">
        <v>319</v>
      </c>
      <c r="N27" s="17" t="s">
        <v>2907</v>
      </c>
    </row>
    <row r="28" spans="1:14" s="17" customFormat="1" ht="30" x14ac:dyDescent="0.25">
      <c r="A28" s="17" t="s">
        <v>298</v>
      </c>
      <c r="B28" s="17" t="s">
        <v>299</v>
      </c>
      <c r="C28" s="17" t="s">
        <v>17</v>
      </c>
      <c r="D28" s="17" t="s">
        <v>300</v>
      </c>
      <c r="E28" s="18"/>
      <c r="H28" s="18"/>
      <c r="I28" s="17">
        <v>75</v>
      </c>
      <c r="K28" s="17" t="s">
        <v>301</v>
      </c>
      <c r="L28" s="17" t="s">
        <v>1110</v>
      </c>
      <c r="M28" s="17" t="s">
        <v>302</v>
      </c>
    </row>
    <row r="29" spans="1:14" ht="30" x14ac:dyDescent="0.25">
      <c r="A29" s="1" t="s">
        <v>306</v>
      </c>
      <c r="B29" s="1" t="s">
        <v>307</v>
      </c>
      <c r="C29" s="1" t="s">
        <v>205</v>
      </c>
      <c r="D29" s="1" t="s">
        <v>101</v>
      </c>
      <c r="E29" s="4" t="s">
        <v>308</v>
      </c>
      <c r="F29" s="1" t="s">
        <v>186</v>
      </c>
      <c r="G29" s="1" t="s">
        <v>9</v>
      </c>
      <c r="H29" s="4">
        <v>26755</v>
      </c>
      <c r="I29" s="1">
        <f>100+6+2+11+12</f>
        <v>131</v>
      </c>
      <c r="K29" s="1" t="s">
        <v>309</v>
      </c>
      <c r="L29" s="1" t="s">
        <v>1110</v>
      </c>
      <c r="M29" s="1" t="s">
        <v>317</v>
      </c>
      <c r="N29" s="1" t="s">
        <v>1096</v>
      </c>
    </row>
    <row r="30" spans="1:14" s="17" customFormat="1" x14ac:dyDescent="0.25">
      <c r="A30" s="17" t="s">
        <v>1129</v>
      </c>
      <c r="B30" s="17" t="s">
        <v>369</v>
      </c>
      <c r="C30" s="17" t="s">
        <v>53</v>
      </c>
      <c r="E30" s="18" t="s">
        <v>2908</v>
      </c>
      <c r="H30" s="18"/>
      <c r="M30" s="17" t="s">
        <v>2226</v>
      </c>
    </row>
    <row r="31" spans="1:14" ht="30" x14ac:dyDescent="0.25">
      <c r="A31" s="1" t="s">
        <v>310</v>
      </c>
      <c r="B31" s="1" t="s">
        <v>47</v>
      </c>
      <c r="C31" s="1" t="s">
        <v>205</v>
      </c>
      <c r="D31" s="1" t="s">
        <v>97</v>
      </c>
      <c r="E31" s="4" t="s">
        <v>311</v>
      </c>
      <c r="F31" s="1" t="s">
        <v>186</v>
      </c>
      <c r="G31" s="1" t="s">
        <v>9</v>
      </c>
      <c r="H31" s="4">
        <v>26745</v>
      </c>
      <c r="I31" s="1">
        <f>363+11+12+2+11</f>
        <v>399</v>
      </c>
      <c r="K31" s="1" t="s">
        <v>312</v>
      </c>
      <c r="L31" s="1" t="s">
        <v>1110</v>
      </c>
      <c r="M31" s="1" t="s">
        <v>318</v>
      </c>
    </row>
    <row r="32" spans="1:14" ht="105" x14ac:dyDescent="0.25">
      <c r="A32" s="1" t="s">
        <v>313</v>
      </c>
      <c r="B32" s="1" t="s">
        <v>116</v>
      </c>
      <c r="C32" s="1" t="s">
        <v>63</v>
      </c>
      <c r="D32" s="1" t="s">
        <v>314</v>
      </c>
      <c r="E32" s="4" t="s">
        <v>315</v>
      </c>
      <c r="F32" s="1" t="s">
        <v>6</v>
      </c>
      <c r="G32" s="1" t="s">
        <v>20</v>
      </c>
      <c r="H32" s="4">
        <v>26714</v>
      </c>
      <c r="I32" s="1">
        <f>45+4+6+25+5+17+2+2+14+110</f>
        <v>230</v>
      </c>
      <c r="K32" s="1" t="s">
        <v>316</v>
      </c>
      <c r="L32" s="1" t="s">
        <v>1110</v>
      </c>
      <c r="M32" s="1" t="s">
        <v>3235</v>
      </c>
      <c r="N32" s="1" t="s">
        <v>1741</v>
      </c>
    </row>
    <row r="33" spans="1:14" s="36" customFormat="1" ht="30" x14ac:dyDescent="0.25">
      <c r="A33" s="36" t="s">
        <v>313</v>
      </c>
      <c r="B33" s="36" t="s">
        <v>150</v>
      </c>
      <c r="C33" s="36" t="s">
        <v>205</v>
      </c>
      <c r="D33" s="36" t="s">
        <v>384</v>
      </c>
      <c r="E33" s="37" t="s">
        <v>385</v>
      </c>
      <c r="F33" s="36" t="s">
        <v>386</v>
      </c>
      <c r="H33" s="37"/>
      <c r="L33" s="17" t="s">
        <v>1110</v>
      </c>
      <c r="M33" s="36" t="s">
        <v>387</v>
      </c>
    </row>
    <row r="34" spans="1:14" x14ac:dyDescent="0.25">
      <c r="A34" s="1" t="s">
        <v>320</v>
      </c>
      <c r="B34" s="1" t="s">
        <v>321</v>
      </c>
      <c r="C34" s="1" t="s">
        <v>67</v>
      </c>
      <c r="D34" s="1" t="s">
        <v>227</v>
      </c>
      <c r="E34" s="4" t="s">
        <v>322</v>
      </c>
      <c r="F34" s="1" t="s">
        <v>6</v>
      </c>
      <c r="G34" s="1" t="s">
        <v>222</v>
      </c>
      <c r="H34" s="4">
        <v>26772</v>
      </c>
      <c r="I34" s="1">
        <f>26+39</f>
        <v>65</v>
      </c>
      <c r="K34" s="1" t="s">
        <v>323</v>
      </c>
      <c r="L34" s="1" t="s">
        <v>1110</v>
      </c>
      <c r="M34" s="1" t="s">
        <v>3236</v>
      </c>
    </row>
    <row r="35" spans="1:14" ht="60" x14ac:dyDescent="0.25">
      <c r="A35" s="1" t="s">
        <v>324</v>
      </c>
      <c r="B35" s="1" t="s">
        <v>226</v>
      </c>
      <c r="C35" s="1" t="s">
        <v>72</v>
      </c>
      <c r="D35" s="1" t="s">
        <v>101</v>
      </c>
      <c r="E35" s="4" t="s">
        <v>325</v>
      </c>
      <c r="F35" s="1" t="s">
        <v>186</v>
      </c>
      <c r="G35" s="1" t="s">
        <v>9</v>
      </c>
      <c r="H35" s="4">
        <v>26712</v>
      </c>
      <c r="I35" s="1">
        <f>286+ 11+18+15+3+4+2+4+4+4+20+3</f>
        <v>374</v>
      </c>
      <c r="K35" s="1" t="s">
        <v>326</v>
      </c>
      <c r="L35" s="1" t="s">
        <v>1110</v>
      </c>
      <c r="M35" s="1" t="s">
        <v>330</v>
      </c>
    </row>
    <row r="36" spans="1:14" ht="30" x14ac:dyDescent="0.25">
      <c r="A36" s="1" t="s">
        <v>324</v>
      </c>
      <c r="B36" s="1" t="s">
        <v>327</v>
      </c>
      <c r="C36" s="1" t="s">
        <v>26</v>
      </c>
      <c r="D36" s="1" t="s">
        <v>97</v>
      </c>
      <c r="E36" s="4" t="s">
        <v>328</v>
      </c>
      <c r="F36" s="1" t="s">
        <v>186</v>
      </c>
      <c r="G36" s="1" t="s">
        <v>9</v>
      </c>
      <c r="H36" s="4">
        <v>26742</v>
      </c>
      <c r="I36" s="1">
        <f>273+17+14+2+4</f>
        <v>310</v>
      </c>
      <c r="K36" s="1" t="s">
        <v>329</v>
      </c>
      <c r="L36" s="1" t="s">
        <v>1110</v>
      </c>
      <c r="M36" s="1" t="s">
        <v>331</v>
      </c>
    </row>
    <row r="37" spans="1:14" ht="60" x14ac:dyDescent="0.25">
      <c r="A37" s="1" t="s">
        <v>332</v>
      </c>
      <c r="B37" s="1" t="s">
        <v>333</v>
      </c>
      <c r="C37" s="1" t="s">
        <v>26</v>
      </c>
      <c r="D37" s="1" t="s">
        <v>210</v>
      </c>
      <c r="E37" s="4" t="s">
        <v>334</v>
      </c>
      <c r="F37" s="1" t="s">
        <v>6</v>
      </c>
      <c r="G37" s="1" t="s">
        <v>20</v>
      </c>
      <c r="I37" s="1">
        <f>28+6+14+54+26</f>
        <v>128</v>
      </c>
      <c r="K37" s="1" t="s">
        <v>335</v>
      </c>
      <c r="L37" s="1" t="s">
        <v>1111</v>
      </c>
      <c r="M37" s="1" t="s">
        <v>344</v>
      </c>
      <c r="N37" s="1" t="s">
        <v>1112</v>
      </c>
    </row>
    <row r="38" spans="1:14" ht="30" x14ac:dyDescent="0.25">
      <c r="A38" s="1" t="s">
        <v>336</v>
      </c>
      <c r="B38" s="1" t="s">
        <v>89</v>
      </c>
      <c r="C38" s="1" t="s">
        <v>244</v>
      </c>
      <c r="D38" s="1" t="s">
        <v>101</v>
      </c>
      <c r="E38" s="4" t="s">
        <v>337</v>
      </c>
      <c r="F38" s="1" t="s">
        <v>186</v>
      </c>
      <c r="G38" s="1" t="s">
        <v>9</v>
      </c>
      <c r="H38" s="4">
        <v>26732</v>
      </c>
      <c r="I38" s="1">
        <f>183+3+18+16+2</f>
        <v>222</v>
      </c>
      <c r="K38" s="1" t="s">
        <v>342</v>
      </c>
      <c r="L38" s="1" t="s">
        <v>1111</v>
      </c>
      <c r="M38" s="1" t="s">
        <v>338</v>
      </c>
      <c r="N38" s="1" t="s">
        <v>1112</v>
      </c>
    </row>
    <row r="39" spans="1:14" s="17" customFormat="1" ht="30" x14ac:dyDescent="0.25">
      <c r="A39" s="17" t="s">
        <v>388</v>
      </c>
      <c r="B39" s="17" t="s">
        <v>389</v>
      </c>
      <c r="C39" s="17" t="s">
        <v>205</v>
      </c>
      <c r="D39" s="17" t="s">
        <v>390</v>
      </c>
      <c r="E39" s="18" t="s">
        <v>391</v>
      </c>
      <c r="F39" s="17" t="s">
        <v>386</v>
      </c>
      <c r="H39" s="18"/>
      <c r="M39" s="17" t="s">
        <v>392</v>
      </c>
    </row>
    <row r="40" spans="1:14" ht="75" x14ac:dyDescent="0.25">
      <c r="A40" s="1" t="s">
        <v>339</v>
      </c>
      <c r="B40" s="1" t="s">
        <v>340</v>
      </c>
      <c r="D40" s="1" t="s">
        <v>101</v>
      </c>
      <c r="E40" s="4" t="s">
        <v>341</v>
      </c>
      <c r="F40" s="1" t="s">
        <v>186</v>
      </c>
      <c r="G40" s="1" t="s">
        <v>9</v>
      </c>
      <c r="H40" s="4">
        <v>26735</v>
      </c>
      <c r="I40" s="1">
        <f>535+7+21+15+2</f>
        <v>580</v>
      </c>
      <c r="K40" s="1" t="s">
        <v>343</v>
      </c>
      <c r="L40" s="1" t="s">
        <v>1111</v>
      </c>
      <c r="M40" s="1" t="s">
        <v>338</v>
      </c>
      <c r="N40" s="1" t="s">
        <v>1907</v>
      </c>
    </row>
    <row r="41" spans="1:14" ht="30" x14ac:dyDescent="0.25">
      <c r="A41" s="1" t="s">
        <v>345</v>
      </c>
      <c r="B41" s="1" t="s">
        <v>100</v>
      </c>
      <c r="C41" s="1" t="s">
        <v>63</v>
      </c>
      <c r="D41" s="1" t="s">
        <v>97</v>
      </c>
      <c r="E41" s="4" t="s">
        <v>346</v>
      </c>
      <c r="F41" s="1" t="s">
        <v>186</v>
      </c>
      <c r="G41" s="1" t="s">
        <v>9</v>
      </c>
      <c r="H41" s="4">
        <v>26742</v>
      </c>
      <c r="I41" s="1">
        <f>220+109+11+2</f>
        <v>342</v>
      </c>
      <c r="K41" s="1" t="s">
        <v>347</v>
      </c>
      <c r="L41" s="1" t="s">
        <v>1111</v>
      </c>
      <c r="M41" s="1" t="s">
        <v>338</v>
      </c>
    </row>
    <row r="42" spans="1:14" ht="45" x14ac:dyDescent="0.25">
      <c r="A42" s="1" t="s">
        <v>1423</v>
      </c>
      <c r="B42" s="1" t="s">
        <v>140</v>
      </c>
      <c r="C42" s="1" t="s">
        <v>58</v>
      </c>
      <c r="D42" s="1" t="s">
        <v>348</v>
      </c>
      <c r="E42" s="4" t="s">
        <v>349</v>
      </c>
      <c r="F42" s="1" t="s">
        <v>186</v>
      </c>
      <c r="G42" s="1" t="s">
        <v>9</v>
      </c>
      <c r="H42" s="4">
        <v>26713</v>
      </c>
      <c r="I42" s="1">
        <f>520+2+11+8+2+3</f>
        <v>546</v>
      </c>
      <c r="K42" s="1" t="s">
        <v>350</v>
      </c>
      <c r="L42" s="1" t="s">
        <v>1111</v>
      </c>
      <c r="M42" s="1" t="s">
        <v>351</v>
      </c>
      <c r="N42" s="1" t="s">
        <v>1424</v>
      </c>
    </row>
    <row r="43" spans="1:14" ht="90" x14ac:dyDescent="0.25">
      <c r="A43" s="1" t="s">
        <v>353</v>
      </c>
      <c r="B43" s="1" t="s">
        <v>354</v>
      </c>
      <c r="C43" s="1" t="s">
        <v>26</v>
      </c>
      <c r="D43" s="1" t="s">
        <v>101</v>
      </c>
      <c r="E43" s="4" t="s">
        <v>355</v>
      </c>
      <c r="F43" s="1" t="s">
        <v>186</v>
      </c>
      <c r="G43" s="1" t="s">
        <v>9</v>
      </c>
      <c r="H43" s="4">
        <v>26757</v>
      </c>
      <c r="I43" s="1">
        <f>196+18+7+3+2</f>
        <v>226</v>
      </c>
      <c r="K43" s="1" t="s">
        <v>356</v>
      </c>
      <c r="L43" s="1" t="s">
        <v>1111</v>
      </c>
      <c r="M43" s="1" t="s">
        <v>357</v>
      </c>
      <c r="N43" s="1" t="s">
        <v>3009</v>
      </c>
    </row>
    <row r="44" spans="1:14" ht="30" x14ac:dyDescent="0.25">
      <c r="A44" s="1" t="s">
        <v>358</v>
      </c>
      <c r="B44" s="1" t="s">
        <v>148</v>
      </c>
      <c r="C44" s="1" t="s">
        <v>32</v>
      </c>
      <c r="D44" s="1" t="s">
        <v>348</v>
      </c>
      <c r="E44" s="4" t="s">
        <v>229</v>
      </c>
      <c r="F44" s="1" t="s">
        <v>186</v>
      </c>
      <c r="G44" s="1" t="s">
        <v>9</v>
      </c>
      <c r="H44" s="4">
        <v>26757</v>
      </c>
      <c r="I44" s="1">
        <f>140+13+5+3+1</f>
        <v>162</v>
      </c>
      <c r="K44" s="1" t="s">
        <v>359</v>
      </c>
      <c r="L44" s="1" t="s">
        <v>1111</v>
      </c>
      <c r="M44" s="1" t="s">
        <v>363</v>
      </c>
      <c r="N44" s="1" t="s">
        <v>1109</v>
      </c>
    </row>
    <row r="45" spans="1:14" ht="30" x14ac:dyDescent="0.25">
      <c r="A45" s="1" t="s">
        <v>361</v>
      </c>
      <c r="B45" s="1" t="s">
        <v>284</v>
      </c>
      <c r="C45" s="1" t="s">
        <v>58</v>
      </c>
      <c r="D45" s="1" t="s">
        <v>101</v>
      </c>
      <c r="E45" s="4" t="s">
        <v>362</v>
      </c>
      <c r="F45" s="1" t="s">
        <v>186</v>
      </c>
      <c r="G45" s="1" t="s">
        <v>9</v>
      </c>
      <c r="H45" s="4">
        <v>26735</v>
      </c>
      <c r="I45" s="1">
        <f>132+2+5+2</f>
        <v>141</v>
      </c>
      <c r="K45" s="1" t="s">
        <v>360</v>
      </c>
      <c r="L45" s="1" t="s">
        <v>1111</v>
      </c>
      <c r="M45" s="1" t="s">
        <v>364</v>
      </c>
      <c r="N45" s="1" t="s">
        <v>1108</v>
      </c>
    </row>
    <row r="46" spans="1:14" ht="45" x14ac:dyDescent="0.25">
      <c r="A46" s="1" t="s">
        <v>365</v>
      </c>
      <c r="B46" s="1" t="s">
        <v>116</v>
      </c>
      <c r="C46" s="1" t="s">
        <v>72</v>
      </c>
      <c r="D46" s="1" t="s">
        <v>366</v>
      </c>
      <c r="E46" s="4" t="s">
        <v>367</v>
      </c>
      <c r="F46" s="1" t="s">
        <v>186</v>
      </c>
      <c r="G46" s="1" t="s">
        <v>9</v>
      </c>
      <c r="H46" s="4">
        <v>26744</v>
      </c>
      <c r="I46" s="1">
        <f>271+12+15+15+2+1</f>
        <v>316</v>
      </c>
      <c r="K46" s="1" t="s">
        <v>368</v>
      </c>
      <c r="L46" s="1" t="s">
        <v>1111</v>
      </c>
      <c r="M46" s="1" t="s">
        <v>376</v>
      </c>
    </row>
    <row r="47" spans="1:14" ht="45" x14ac:dyDescent="0.25">
      <c r="A47" s="1" t="s">
        <v>365</v>
      </c>
      <c r="B47" s="1" t="s">
        <v>369</v>
      </c>
      <c r="C47" s="1" t="s">
        <v>205</v>
      </c>
      <c r="D47" s="1" t="s">
        <v>101</v>
      </c>
      <c r="E47" s="4" t="s">
        <v>370</v>
      </c>
      <c r="F47" s="1" t="s">
        <v>186</v>
      </c>
      <c r="G47" s="1" t="s">
        <v>9</v>
      </c>
      <c r="H47" s="4">
        <v>26751</v>
      </c>
      <c r="I47" s="1">
        <f>176+3+3+3+3+2</f>
        <v>190</v>
      </c>
      <c r="K47" s="1" t="s">
        <v>371</v>
      </c>
      <c r="L47" s="1" t="s">
        <v>1111</v>
      </c>
      <c r="M47" s="1" t="s">
        <v>372</v>
      </c>
      <c r="N47" s="1" t="s">
        <v>1097</v>
      </c>
    </row>
    <row r="48" spans="1:14" ht="135" x14ac:dyDescent="0.25">
      <c r="A48" s="1" t="s">
        <v>373</v>
      </c>
      <c r="B48" s="1" t="s">
        <v>354</v>
      </c>
      <c r="C48" s="1" t="s">
        <v>58</v>
      </c>
      <c r="D48" s="1" t="s">
        <v>314</v>
      </c>
      <c r="E48" s="4" t="s">
        <v>374</v>
      </c>
      <c r="F48" s="1" t="s">
        <v>6</v>
      </c>
      <c r="G48" s="1" t="s">
        <v>20</v>
      </c>
      <c r="I48" s="1">
        <f>19+8+3+9+20+2+5+1+3+3+14+1</f>
        <v>88</v>
      </c>
      <c r="K48" s="1" t="s">
        <v>375</v>
      </c>
      <c r="L48" s="1" t="s">
        <v>1111</v>
      </c>
      <c r="M48" s="1" t="s">
        <v>3237</v>
      </c>
      <c r="N48" s="1" t="s">
        <v>1114</v>
      </c>
    </row>
    <row r="49" spans="1:14" ht="60" x14ac:dyDescent="0.25">
      <c r="A49" s="1" t="s">
        <v>377</v>
      </c>
      <c r="B49" s="1" t="s">
        <v>284</v>
      </c>
      <c r="C49" s="1" t="s">
        <v>17</v>
      </c>
      <c r="D49" s="1" t="s">
        <v>101</v>
      </c>
      <c r="E49" s="4" t="s">
        <v>378</v>
      </c>
      <c r="F49" s="1" t="s">
        <v>186</v>
      </c>
      <c r="G49" s="1" t="s">
        <v>9</v>
      </c>
      <c r="H49" s="4">
        <v>26758</v>
      </c>
      <c r="I49" s="1">
        <f>190+8+9+2+4+7</f>
        <v>220</v>
      </c>
      <c r="K49" s="1" t="s">
        <v>383</v>
      </c>
      <c r="L49" s="1" t="s">
        <v>1111</v>
      </c>
      <c r="M49" s="1" t="s">
        <v>3350</v>
      </c>
      <c r="N49" s="1" t="s">
        <v>1122</v>
      </c>
    </row>
    <row r="50" spans="1:14" ht="105" x14ac:dyDescent="0.25">
      <c r="A50" s="1" t="s">
        <v>379</v>
      </c>
      <c r="B50" s="1" t="s">
        <v>380</v>
      </c>
      <c r="C50" s="1" t="s">
        <v>205</v>
      </c>
      <c r="D50" s="1" t="s">
        <v>314</v>
      </c>
      <c r="E50" s="4" t="s">
        <v>381</v>
      </c>
      <c r="F50" s="1" t="s">
        <v>6</v>
      </c>
      <c r="G50" s="1" t="s">
        <v>20</v>
      </c>
      <c r="I50" s="1">
        <f>19+3+8+29+6+2+17+1+3+1+1+8</f>
        <v>98</v>
      </c>
      <c r="K50" s="1" t="s">
        <v>382</v>
      </c>
      <c r="L50" s="1" t="s">
        <v>1111</v>
      </c>
      <c r="M50" s="1" t="s">
        <v>3238</v>
      </c>
    </row>
    <row r="51" spans="1:14" ht="60" x14ac:dyDescent="0.25">
      <c r="A51" s="1" t="s">
        <v>501</v>
      </c>
      <c r="B51" s="1" t="s">
        <v>502</v>
      </c>
      <c r="C51" s="1" t="s">
        <v>205</v>
      </c>
      <c r="D51" s="1" t="s">
        <v>101</v>
      </c>
      <c r="E51" s="4" t="s">
        <v>503</v>
      </c>
      <c r="F51" s="1" t="s">
        <v>186</v>
      </c>
      <c r="G51" s="1" t="s">
        <v>9</v>
      </c>
      <c r="H51" s="4">
        <v>26757</v>
      </c>
      <c r="I51" s="1">
        <f>149+2+12+7+2+5</f>
        <v>177</v>
      </c>
      <c r="K51" s="1" t="s">
        <v>511</v>
      </c>
      <c r="L51" s="1" t="s">
        <v>1111</v>
      </c>
      <c r="M51" s="1" t="s">
        <v>512</v>
      </c>
    </row>
    <row r="52" spans="1:14" ht="32.25" customHeight="1" x14ac:dyDescent="0.25">
      <c r="A52" s="1" t="s">
        <v>504</v>
      </c>
      <c r="B52" s="1" t="s">
        <v>116</v>
      </c>
      <c r="C52" s="1" t="s">
        <v>123</v>
      </c>
      <c r="D52" s="1" t="s">
        <v>210</v>
      </c>
      <c r="E52" s="4" t="s">
        <v>513</v>
      </c>
      <c r="F52" s="1" t="s">
        <v>6</v>
      </c>
      <c r="G52" s="1" t="s">
        <v>20</v>
      </c>
      <c r="H52" s="4">
        <v>26711</v>
      </c>
      <c r="I52" s="1">
        <f>41+4+45+154</f>
        <v>244</v>
      </c>
      <c r="K52" s="1" t="s">
        <v>517</v>
      </c>
      <c r="L52" s="1" t="s">
        <v>1111</v>
      </c>
      <c r="M52" s="1" t="s">
        <v>522</v>
      </c>
    </row>
    <row r="53" spans="1:14" ht="60" x14ac:dyDescent="0.25">
      <c r="A53" s="1" t="s">
        <v>505</v>
      </c>
      <c r="B53" s="1" t="s">
        <v>506</v>
      </c>
      <c r="C53" s="1" t="s">
        <v>17</v>
      </c>
      <c r="D53" s="1" t="s">
        <v>101</v>
      </c>
      <c r="E53" s="4" t="s">
        <v>514</v>
      </c>
      <c r="F53" s="1" t="s">
        <v>186</v>
      </c>
      <c r="G53" s="1" t="s">
        <v>9</v>
      </c>
      <c r="H53" s="4">
        <v>26714</v>
      </c>
      <c r="I53" s="1">
        <f>280+3+16+13+15+2+1+10+2+3</f>
        <v>345</v>
      </c>
      <c r="K53" s="1" t="s">
        <v>518</v>
      </c>
      <c r="L53" s="1" t="s">
        <v>1111</v>
      </c>
      <c r="M53" s="1" t="s">
        <v>3239</v>
      </c>
    </row>
    <row r="54" spans="1:14" ht="60" x14ac:dyDescent="0.25">
      <c r="A54" s="1" t="s">
        <v>507</v>
      </c>
      <c r="B54" s="1" t="s">
        <v>116</v>
      </c>
      <c r="C54" s="1" t="s">
        <v>205</v>
      </c>
      <c r="D54" s="1" t="s">
        <v>101</v>
      </c>
      <c r="E54" s="4" t="s">
        <v>515</v>
      </c>
      <c r="F54" s="1" t="s">
        <v>186</v>
      </c>
      <c r="G54" s="1" t="s">
        <v>9</v>
      </c>
      <c r="H54" s="4">
        <v>26718</v>
      </c>
      <c r="I54" s="1">
        <f>125+6+5+2+1+1+2+1</f>
        <v>143</v>
      </c>
      <c r="K54" s="1" t="s">
        <v>519</v>
      </c>
      <c r="L54" s="1" t="s">
        <v>1111</v>
      </c>
      <c r="M54" s="1" t="s">
        <v>520</v>
      </c>
      <c r="N54" s="1" t="s">
        <v>1085</v>
      </c>
    </row>
    <row r="55" spans="1:14" ht="45" x14ac:dyDescent="0.25">
      <c r="A55" s="1" t="s">
        <v>508</v>
      </c>
      <c r="B55" s="1" t="s">
        <v>509</v>
      </c>
      <c r="C55" s="1" t="s">
        <v>53</v>
      </c>
      <c r="D55" s="1" t="s">
        <v>510</v>
      </c>
      <c r="E55" s="4" t="s">
        <v>516</v>
      </c>
      <c r="F55" s="1" t="s">
        <v>186</v>
      </c>
      <c r="G55" s="1" t="s">
        <v>9</v>
      </c>
      <c r="H55" s="4">
        <v>26757</v>
      </c>
      <c r="I55" s="1">
        <f>100+9+2+1+6+4+3</f>
        <v>125</v>
      </c>
      <c r="K55" s="1" t="s">
        <v>521</v>
      </c>
      <c r="L55" s="1" t="s">
        <v>1111</v>
      </c>
      <c r="M55" s="1" t="s">
        <v>3240</v>
      </c>
    </row>
    <row r="56" spans="1:14" ht="60" x14ac:dyDescent="0.25">
      <c r="A56" s="1" t="s">
        <v>523</v>
      </c>
      <c r="B56" s="1" t="s">
        <v>100</v>
      </c>
      <c r="C56" s="1" t="s">
        <v>524</v>
      </c>
      <c r="D56" s="1" t="s">
        <v>101</v>
      </c>
      <c r="E56" s="4" t="s">
        <v>525</v>
      </c>
      <c r="F56" s="1" t="s">
        <v>186</v>
      </c>
      <c r="G56" s="1" t="s">
        <v>9</v>
      </c>
      <c r="H56" s="4">
        <v>26732</v>
      </c>
      <c r="I56" s="1">
        <f>240+19+3+17+2+2+16</f>
        <v>299</v>
      </c>
      <c r="K56" s="1" t="s">
        <v>526</v>
      </c>
      <c r="L56" s="1" t="s">
        <v>1111</v>
      </c>
      <c r="M56" s="1" t="s">
        <v>527</v>
      </c>
      <c r="N56" s="1" t="s">
        <v>2049</v>
      </c>
    </row>
    <row r="57" spans="1:14" ht="75" x14ac:dyDescent="0.25">
      <c r="A57" s="1" t="s">
        <v>528</v>
      </c>
      <c r="B57" s="1" t="s">
        <v>89</v>
      </c>
      <c r="C57" s="1" t="s">
        <v>463</v>
      </c>
      <c r="D57" s="1" t="s">
        <v>529</v>
      </c>
      <c r="E57" s="4" t="s">
        <v>530</v>
      </c>
      <c r="F57" s="1" t="s">
        <v>186</v>
      </c>
      <c r="G57" s="1" t="s">
        <v>9</v>
      </c>
      <c r="H57" s="4">
        <v>26711</v>
      </c>
      <c r="I57" s="1">
        <f>200+2+3+6+14+2+1+2+2+4+6+1</f>
        <v>243</v>
      </c>
      <c r="K57" s="1" t="s">
        <v>533</v>
      </c>
      <c r="L57" s="1" t="s">
        <v>1111</v>
      </c>
      <c r="M57" s="1" t="s">
        <v>3241</v>
      </c>
    </row>
    <row r="58" spans="1:14" ht="90" customHeight="1" x14ac:dyDescent="0.25">
      <c r="A58" s="1" t="s">
        <v>528</v>
      </c>
      <c r="B58" s="1" t="s">
        <v>531</v>
      </c>
      <c r="D58" s="1" t="s">
        <v>210</v>
      </c>
      <c r="E58" s="4" t="s">
        <v>532</v>
      </c>
      <c r="F58" s="1" t="s">
        <v>186</v>
      </c>
      <c r="G58" s="1" t="s">
        <v>20</v>
      </c>
      <c r="I58" s="1">
        <f>(51+41+20+58+58)+4+21+4+26+17</f>
        <v>300</v>
      </c>
      <c r="L58" s="1" t="s">
        <v>1111</v>
      </c>
      <c r="M58" s="1" t="s">
        <v>3242</v>
      </c>
    </row>
    <row r="59" spans="1:14" ht="59.25" customHeight="1" x14ac:dyDescent="0.25">
      <c r="A59" s="1" t="s">
        <v>528</v>
      </c>
      <c r="B59" s="1" t="s">
        <v>534</v>
      </c>
      <c r="C59" s="1" t="s">
        <v>17</v>
      </c>
      <c r="D59" s="1" t="s">
        <v>101</v>
      </c>
      <c r="E59" s="4" t="s">
        <v>535</v>
      </c>
      <c r="F59" s="1" t="s">
        <v>186</v>
      </c>
      <c r="G59" s="1" t="s">
        <v>9</v>
      </c>
      <c r="H59" s="4" t="s">
        <v>292</v>
      </c>
      <c r="I59" s="1">
        <f>330</f>
        <v>330</v>
      </c>
      <c r="K59" s="1" t="s">
        <v>536</v>
      </c>
      <c r="L59" s="1" t="s">
        <v>1111</v>
      </c>
      <c r="M59" s="1" t="s">
        <v>3243</v>
      </c>
      <c r="N59" s="1" t="s">
        <v>1088</v>
      </c>
    </row>
    <row r="60" spans="1:14" ht="45" x14ac:dyDescent="0.25">
      <c r="A60" s="1" t="s">
        <v>537</v>
      </c>
      <c r="B60" s="1" t="s">
        <v>538</v>
      </c>
      <c r="C60" s="1" t="s">
        <v>26</v>
      </c>
      <c r="D60" s="1" t="s">
        <v>101</v>
      </c>
      <c r="E60" s="4" t="s">
        <v>539</v>
      </c>
      <c r="F60" s="1" t="s">
        <v>186</v>
      </c>
      <c r="G60" s="1" t="s">
        <v>9</v>
      </c>
      <c r="H60" s="4">
        <v>26732</v>
      </c>
      <c r="I60" s="1">
        <f>155+2+19+2+16</f>
        <v>194</v>
      </c>
      <c r="K60" s="1" t="s">
        <v>545</v>
      </c>
      <c r="L60" s="1" t="s">
        <v>1111</v>
      </c>
      <c r="M60" s="1" t="s">
        <v>546</v>
      </c>
    </row>
    <row r="61" spans="1:14" ht="75" x14ac:dyDescent="0.25">
      <c r="A61" s="1" t="s">
        <v>540</v>
      </c>
      <c r="B61" s="1" t="s">
        <v>541</v>
      </c>
      <c r="C61" s="1" t="s">
        <v>182</v>
      </c>
      <c r="D61" s="1" t="s">
        <v>348</v>
      </c>
      <c r="E61" s="4" t="s">
        <v>542</v>
      </c>
      <c r="F61" s="1" t="s">
        <v>186</v>
      </c>
      <c r="G61" s="1" t="s">
        <v>9</v>
      </c>
      <c r="H61" s="4">
        <v>26731</v>
      </c>
      <c r="I61" s="1">
        <f>250+32+2+15+1+3+2+2+5+1+2+2+7</f>
        <v>324</v>
      </c>
      <c r="K61" s="1" t="s">
        <v>547</v>
      </c>
      <c r="L61" s="1" t="s">
        <v>1111</v>
      </c>
      <c r="M61" s="1" t="s">
        <v>1564</v>
      </c>
    </row>
    <row r="62" spans="1:14" ht="60" x14ac:dyDescent="0.25">
      <c r="A62" s="1" t="s">
        <v>543</v>
      </c>
      <c r="B62" s="1" t="s">
        <v>148</v>
      </c>
      <c r="C62" s="1" t="s">
        <v>72</v>
      </c>
      <c r="D62" s="1" t="s">
        <v>101</v>
      </c>
      <c r="E62" s="4" t="s">
        <v>544</v>
      </c>
      <c r="F62" s="1" t="s">
        <v>186</v>
      </c>
      <c r="G62" s="1" t="s">
        <v>9</v>
      </c>
      <c r="H62" s="4">
        <v>26707</v>
      </c>
      <c r="I62" s="1">
        <f>270+2+1+1+8+11+2</f>
        <v>295</v>
      </c>
      <c r="K62" s="1" t="s">
        <v>548</v>
      </c>
      <c r="L62" s="1" t="s">
        <v>1111</v>
      </c>
      <c r="M62" s="1" t="s">
        <v>549</v>
      </c>
    </row>
    <row r="63" spans="1:14" ht="46.5" customHeight="1" x14ac:dyDescent="0.25">
      <c r="A63" s="1" t="s">
        <v>550</v>
      </c>
      <c r="B63" s="1" t="s">
        <v>551</v>
      </c>
      <c r="C63" s="1" t="s">
        <v>63</v>
      </c>
      <c r="D63" s="1" t="s">
        <v>553</v>
      </c>
      <c r="E63" s="4" t="s">
        <v>552</v>
      </c>
      <c r="F63" s="1" t="s">
        <v>186</v>
      </c>
      <c r="G63" s="1" t="s">
        <v>9</v>
      </c>
      <c r="H63" s="4">
        <v>26735</v>
      </c>
      <c r="I63" s="1">
        <f>560+5+2+18+14+2+27</f>
        <v>628</v>
      </c>
      <c r="K63" s="1" t="s">
        <v>554</v>
      </c>
      <c r="L63" s="1" t="s">
        <v>1111</v>
      </c>
      <c r="M63" s="1" t="s">
        <v>559</v>
      </c>
    </row>
    <row r="64" spans="1:14" ht="75" x14ac:dyDescent="0.25">
      <c r="A64" s="1" t="s">
        <v>555</v>
      </c>
      <c r="B64" s="1" t="s">
        <v>77</v>
      </c>
      <c r="C64" s="1" t="s">
        <v>32</v>
      </c>
      <c r="D64" s="1" t="s">
        <v>348</v>
      </c>
      <c r="E64" s="4" t="s">
        <v>556</v>
      </c>
      <c r="F64" s="1" t="s">
        <v>186</v>
      </c>
      <c r="G64" s="1" t="s">
        <v>9</v>
      </c>
      <c r="H64" s="4">
        <v>26756</v>
      </c>
      <c r="I64" s="1">
        <f>467+4+2+2+1+4+9+9+19+2</f>
        <v>519</v>
      </c>
      <c r="K64" s="1" t="s">
        <v>557</v>
      </c>
      <c r="L64" s="1" t="s">
        <v>1111</v>
      </c>
      <c r="M64" s="1" t="s">
        <v>558</v>
      </c>
    </row>
    <row r="65" spans="1:15" ht="90" customHeight="1" x14ac:dyDescent="0.25">
      <c r="A65" s="1" t="s">
        <v>560</v>
      </c>
      <c r="B65" s="1" t="s">
        <v>163</v>
      </c>
      <c r="C65" s="1" t="s">
        <v>182</v>
      </c>
      <c r="D65" s="1" t="s">
        <v>101</v>
      </c>
      <c r="E65" s="4" t="s">
        <v>561</v>
      </c>
      <c r="F65" s="1" t="s">
        <v>186</v>
      </c>
      <c r="G65" s="1" t="s">
        <v>9</v>
      </c>
      <c r="H65" s="4">
        <v>26714</v>
      </c>
      <c r="I65" s="1">
        <f>133+5+4+2+2+2+2+4+2+10+14+4+1+10</f>
        <v>195</v>
      </c>
      <c r="K65" s="1" t="s">
        <v>570</v>
      </c>
      <c r="L65" s="1" t="s">
        <v>1111</v>
      </c>
      <c r="M65" s="1" t="s">
        <v>574</v>
      </c>
      <c r="O65" s="1" t="s">
        <v>575</v>
      </c>
    </row>
    <row r="66" spans="1:15" ht="45" x14ac:dyDescent="0.25">
      <c r="A66" s="1" t="s">
        <v>562</v>
      </c>
      <c r="B66" s="1" t="s">
        <v>563</v>
      </c>
      <c r="C66" s="1" t="s">
        <v>32</v>
      </c>
      <c r="D66" s="1" t="s">
        <v>348</v>
      </c>
      <c r="E66" s="4" t="s">
        <v>564</v>
      </c>
      <c r="F66" s="1" t="s">
        <v>186</v>
      </c>
      <c r="G66" s="1" t="s">
        <v>9</v>
      </c>
      <c r="H66" s="4">
        <v>26743</v>
      </c>
      <c r="I66" s="1">
        <f>310+25+2+29+9+4</f>
        <v>379</v>
      </c>
      <c r="K66" s="1" t="s">
        <v>571</v>
      </c>
      <c r="L66" s="1" t="s">
        <v>1111</v>
      </c>
      <c r="M66" s="1" t="s">
        <v>576</v>
      </c>
      <c r="N66" s="1" t="s">
        <v>1086</v>
      </c>
    </row>
    <row r="67" spans="1:15" ht="45" x14ac:dyDescent="0.25">
      <c r="A67" s="1" t="s">
        <v>565</v>
      </c>
      <c r="B67" s="1" t="s">
        <v>566</v>
      </c>
      <c r="C67" s="1" t="s">
        <v>26</v>
      </c>
      <c r="D67" s="1" t="s">
        <v>567</v>
      </c>
      <c r="E67" s="4" t="s">
        <v>568</v>
      </c>
      <c r="F67" s="1" t="s">
        <v>6</v>
      </c>
      <c r="G67" s="1" t="s">
        <v>20</v>
      </c>
      <c r="I67" s="1">
        <f>31+27+4+42+105</f>
        <v>209</v>
      </c>
      <c r="K67" s="1" t="s">
        <v>572</v>
      </c>
      <c r="L67" s="1" t="s">
        <v>1111</v>
      </c>
      <c r="M67" s="1" t="s">
        <v>578</v>
      </c>
      <c r="N67" s="1" t="s">
        <v>1369</v>
      </c>
    </row>
    <row r="68" spans="1:15" ht="30" x14ac:dyDescent="0.25">
      <c r="A68" s="1" t="s">
        <v>494</v>
      </c>
      <c r="B68" s="1" t="s">
        <v>16</v>
      </c>
      <c r="C68" s="1" t="s">
        <v>412</v>
      </c>
      <c r="D68" s="1" t="s">
        <v>201</v>
      </c>
      <c r="E68" s="4" t="s">
        <v>569</v>
      </c>
      <c r="F68" s="1" t="s">
        <v>6</v>
      </c>
      <c r="G68" s="1" t="s">
        <v>222</v>
      </c>
      <c r="H68" s="4">
        <v>26744</v>
      </c>
      <c r="I68" s="1">
        <f>101+1+62+1</f>
        <v>165</v>
      </c>
      <c r="K68" s="1" t="s">
        <v>573</v>
      </c>
      <c r="L68" s="1" t="s">
        <v>1111</v>
      </c>
      <c r="M68" s="1" t="s">
        <v>3244</v>
      </c>
    </row>
    <row r="69" spans="1:15" ht="33.75" customHeight="1" x14ac:dyDescent="0.25">
      <c r="A69" s="1" t="s">
        <v>579</v>
      </c>
      <c r="B69" s="1" t="s">
        <v>580</v>
      </c>
      <c r="C69" s="1" t="s">
        <v>182</v>
      </c>
      <c r="D69" s="1" t="s">
        <v>581</v>
      </c>
      <c r="E69" s="4" t="s">
        <v>582</v>
      </c>
      <c r="F69" s="1" t="s">
        <v>6</v>
      </c>
      <c r="G69" s="1" t="s">
        <v>222</v>
      </c>
      <c r="H69" s="4">
        <v>26744</v>
      </c>
      <c r="I69" s="1">
        <f>98+9+17</f>
        <v>124</v>
      </c>
      <c r="K69" s="1" t="s">
        <v>583</v>
      </c>
      <c r="L69" s="1" t="s">
        <v>1113</v>
      </c>
      <c r="M69" s="1" t="s">
        <v>584</v>
      </c>
    </row>
    <row r="70" spans="1:15" s="17" customFormat="1" ht="33.75" customHeight="1" x14ac:dyDescent="0.25">
      <c r="A70" s="17" t="s">
        <v>1115</v>
      </c>
      <c r="B70" s="17" t="s">
        <v>397</v>
      </c>
      <c r="C70" s="17" t="s">
        <v>113</v>
      </c>
      <c r="E70" s="18" t="s">
        <v>1116</v>
      </c>
      <c r="F70" s="17" t="s">
        <v>1117</v>
      </c>
      <c r="H70" s="18"/>
      <c r="L70" s="17" t="s">
        <v>1118</v>
      </c>
      <c r="M70" s="17" t="s">
        <v>1119</v>
      </c>
    </row>
    <row r="71" spans="1:15" ht="60" x14ac:dyDescent="0.25">
      <c r="A71" s="1" t="s">
        <v>585</v>
      </c>
      <c r="B71" s="1" t="s">
        <v>16</v>
      </c>
      <c r="C71" s="1" t="s">
        <v>32</v>
      </c>
      <c r="D71" s="1" t="s">
        <v>348</v>
      </c>
      <c r="E71" s="4" t="s">
        <v>586</v>
      </c>
      <c r="F71" s="1" t="s">
        <v>186</v>
      </c>
      <c r="G71" s="1" t="s">
        <v>9</v>
      </c>
      <c r="H71" s="4">
        <v>26735</v>
      </c>
      <c r="I71" s="1">
        <f>405+5+2+2+21+2+21+5</f>
        <v>463</v>
      </c>
      <c r="K71" s="1" t="s">
        <v>592</v>
      </c>
      <c r="L71" s="1" t="s">
        <v>1113</v>
      </c>
      <c r="M71" s="1" t="s">
        <v>595</v>
      </c>
    </row>
    <row r="72" spans="1:15" ht="30" x14ac:dyDescent="0.25">
      <c r="A72" s="1" t="s">
        <v>587</v>
      </c>
      <c r="B72" s="1" t="s">
        <v>369</v>
      </c>
      <c r="C72" s="1" t="s">
        <v>58</v>
      </c>
      <c r="D72" s="1" t="s">
        <v>588</v>
      </c>
      <c r="E72" s="4" t="s">
        <v>589</v>
      </c>
      <c r="F72" s="1" t="s">
        <v>186</v>
      </c>
      <c r="G72" s="1" t="s">
        <v>9</v>
      </c>
      <c r="H72" s="4">
        <v>26759</v>
      </c>
      <c r="I72" s="1">
        <f>100+3+2+6+2</f>
        <v>113</v>
      </c>
      <c r="K72" s="1" t="s">
        <v>593</v>
      </c>
      <c r="L72" s="1" t="s">
        <v>1113</v>
      </c>
      <c r="M72" s="1" t="s">
        <v>596</v>
      </c>
      <c r="N72" s="1" t="s">
        <v>1098</v>
      </c>
    </row>
    <row r="73" spans="1:15" ht="45" x14ac:dyDescent="0.25">
      <c r="A73" s="1" t="s">
        <v>590</v>
      </c>
      <c r="B73" s="1" t="s">
        <v>148</v>
      </c>
      <c r="C73" s="1" t="s">
        <v>26</v>
      </c>
      <c r="D73" s="1" t="s">
        <v>348</v>
      </c>
      <c r="E73" s="4" t="s">
        <v>591</v>
      </c>
      <c r="F73" s="1" t="s">
        <v>186</v>
      </c>
      <c r="G73" s="1" t="s">
        <v>9</v>
      </c>
      <c r="H73" s="4">
        <v>26744</v>
      </c>
      <c r="I73" s="1">
        <f>220+4+2+1+5+4+14+6+4</f>
        <v>260</v>
      </c>
      <c r="K73" s="1" t="s">
        <v>594</v>
      </c>
      <c r="L73" s="1" t="s">
        <v>1113</v>
      </c>
      <c r="M73" s="1" t="s">
        <v>3245</v>
      </c>
      <c r="N73" s="17" t="s">
        <v>1089</v>
      </c>
    </row>
    <row r="74" spans="1:15" s="17" customFormat="1" x14ac:dyDescent="0.25">
      <c r="A74" s="17" t="s">
        <v>1516</v>
      </c>
      <c r="B74" s="17" t="s">
        <v>1359</v>
      </c>
      <c r="D74" s="17" t="s">
        <v>726</v>
      </c>
      <c r="E74" s="18" t="s">
        <v>1517</v>
      </c>
      <c r="F74" s="17" t="s">
        <v>386</v>
      </c>
      <c r="H74" s="18"/>
      <c r="M74" s="17" t="s">
        <v>1518</v>
      </c>
    </row>
    <row r="75" spans="1:15" ht="45" x14ac:dyDescent="0.25">
      <c r="A75" s="1" t="s">
        <v>597</v>
      </c>
      <c r="B75" s="1" t="s">
        <v>598</v>
      </c>
      <c r="C75" s="1" t="s">
        <v>599</v>
      </c>
      <c r="D75" s="1" t="s">
        <v>101</v>
      </c>
      <c r="E75" s="4" t="s">
        <v>600</v>
      </c>
      <c r="F75" s="1" t="s">
        <v>186</v>
      </c>
      <c r="G75" s="1" t="s">
        <v>9</v>
      </c>
      <c r="H75" s="4">
        <v>26735</v>
      </c>
      <c r="I75" s="1">
        <f>372+2+18+2+10+6</f>
        <v>410</v>
      </c>
      <c r="K75" s="1" t="s">
        <v>606</v>
      </c>
      <c r="L75" s="1" t="s">
        <v>1113</v>
      </c>
      <c r="M75" s="1" t="s">
        <v>607</v>
      </c>
    </row>
    <row r="76" spans="1:15" ht="45" x14ac:dyDescent="0.25">
      <c r="A76" s="1" t="s">
        <v>601</v>
      </c>
      <c r="B76" s="1" t="s">
        <v>116</v>
      </c>
      <c r="C76" s="1" t="s">
        <v>63</v>
      </c>
      <c r="D76" s="1" t="s">
        <v>201</v>
      </c>
      <c r="E76" s="4" t="s">
        <v>602</v>
      </c>
      <c r="F76" s="1" t="s">
        <v>6</v>
      </c>
      <c r="G76" s="1" t="s">
        <v>222</v>
      </c>
      <c r="H76" s="4">
        <v>25204</v>
      </c>
      <c r="I76" s="1">
        <f>18+27+7+15+7</f>
        <v>74</v>
      </c>
      <c r="K76" s="1" t="s">
        <v>608</v>
      </c>
      <c r="L76" s="1" t="s">
        <v>1113</v>
      </c>
      <c r="M76" s="1" t="s">
        <v>611</v>
      </c>
    </row>
    <row r="77" spans="1:15" ht="30" x14ac:dyDescent="0.25">
      <c r="A77" s="1" t="s">
        <v>603</v>
      </c>
      <c r="B77" s="1" t="s">
        <v>77</v>
      </c>
      <c r="C77" s="1" t="s">
        <v>63</v>
      </c>
      <c r="D77" s="1" t="s">
        <v>101</v>
      </c>
      <c r="E77" s="4" t="s">
        <v>604</v>
      </c>
      <c r="F77" s="1" t="s">
        <v>186</v>
      </c>
      <c r="G77" s="1" t="s">
        <v>9</v>
      </c>
      <c r="H77" s="4">
        <v>26732</v>
      </c>
      <c r="I77" s="1">
        <f>100+1+11+2</f>
        <v>114</v>
      </c>
      <c r="K77" s="1" t="s">
        <v>609</v>
      </c>
      <c r="L77" s="1" t="s">
        <v>1113</v>
      </c>
      <c r="M77" s="1" t="s">
        <v>612</v>
      </c>
    </row>
    <row r="78" spans="1:15" ht="90" x14ac:dyDescent="0.25">
      <c r="A78" s="1" t="s">
        <v>605</v>
      </c>
      <c r="B78" s="1" t="s">
        <v>163</v>
      </c>
      <c r="C78" s="1" t="s">
        <v>67</v>
      </c>
      <c r="D78" s="1" t="s">
        <v>101</v>
      </c>
      <c r="E78" s="4" t="s">
        <v>218</v>
      </c>
      <c r="F78" s="1" t="s">
        <v>186</v>
      </c>
      <c r="G78" s="1" t="s">
        <v>9</v>
      </c>
      <c r="H78" s="4">
        <v>26757</v>
      </c>
      <c r="I78" s="1">
        <f>150+7+13+3</f>
        <v>173</v>
      </c>
      <c r="K78" s="1" t="s">
        <v>610</v>
      </c>
      <c r="L78" s="1" t="s">
        <v>1113</v>
      </c>
      <c r="M78" s="1" t="s">
        <v>613</v>
      </c>
      <c r="N78" s="1" t="s">
        <v>3011</v>
      </c>
    </row>
    <row r="79" spans="1:15" ht="30" x14ac:dyDescent="0.25">
      <c r="A79" s="1" t="s">
        <v>605</v>
      </c>
      <c r="B79" s="1" t="s">
        <v>469</v>
      </c>
      <c r="C79" s="1" t="s">
        <v>182</v>
      </c>
      <c r="D79" s="1" t="s">
        <v>260</v>
      </c>
      <c r="E79" s="4" t="s">
        <v>614</v>
      </c>
      <c r="F79" s="17" t="s">
        <v>6</v>
      </c>
      <c r="G79" s="1" t="s">
        <v>215</v>
      </c>
      <c r="H79" s="4">
        <v>26742</v>
      </c>
      <c r="I79" s="1">
        <f>280+98</f>
        <v>378</v>
      </c>
      <c r="K79" s="1" t="s">
        <v>618</v>
      </c>
      <c r="L79" s="1" t="s">
        <v>1113</v>
      </c>
      <c r="M79" s="1" t="s">
        <v>620</v>
      </c>
    </row>
    <row r="80" spans="1:15" ht="45" x14ac:dyDescent="0.25">
      <c r="A80" s="1" t="s">
        <v>615</v>
      </c>
      <c r="B80" s="1" t="s">
        <v>616</v>
      </c>
      <c r="C80" s="1" t="s">
        <v>244</v>
      </c>
      <c r="D80" s="1" t="s">
        <v>348</v>
      </c>
      <c r="E80" s="4" t="s">
        <v>617</v>
      </c>
      <c r="F80" s="1" t="s">
        <v>186</v>
      </c>
      <c r="G80" s="1" t="s">
        <v>9</v>
      </c>
      <c r="H80" s="4">
        <v>26715</v>
      </c>
      <c r="I80" s="1">
        <f>440+9+13+2+2+6+1+34</f>
        <v>507</v>
      </c>
      <c r="K80" s="1" t="s">
        <v>619</v>
      </c>
      <c r="L80" s="1" t="s">
        <v>1113</v>
      </c>
      <c r="M80" s="1" t="s">
        <v>621</v>
      </c>
    </row>
    <row r="81" spans="1:14" ht="60" x14ac:dyDescent="0.25">
      <c r="A81" s="1" t="s">
        <v>622</v>
      </c>
      <c r="B81" s="1" t="s">
        <v>148</v>
      </c>
      <c r="C81" s="1" t="s">
        <v>192</v>
      </c>
      <c r="D81" s="1" t="s">
        <v>210</v>
      </c>
      <c r="E81" s="4" t="s">
        <v>623</v>
      </c>
      <c r="F81" s="1" t="s">
        <v>6</v>
      </c>
      <c r="G81" s="1" t="s">
        <v>20</v>
      </c>
      <c r="H81" s="4">
        <v>26714</v>
      </c>
      <c r="I81" s="1">
        <f>44+65+7+4+2+52</f>
        <v>174</v>
      </c>
      <c r="K81" s="1" t="s">
        <v>624</v>
      </c>
      <c r="L81" s="1" t="s">
        <v>1113</v>
      </c>
      <c r="M81" s="1" t="s">
        <v>3246</v>
      </c>
    </row>
    <row r="82" spans="1:14" ht="45" x14ac:dyDescent="0.25">
      <c r="A82" s="1" t="s">
        <v>625</v>
      </c>
      <c r="B82" s="1" t="s">
        <v>626</v>
      </c>
      <c r="C82" s="1" t="s">
        <v>32</v>
      </c>
      <c r="D82" s="1" t="s">
        <v>553</v>
      </c>
      <c r="E82" s="4" t="s">
        <v>627</v>
      </c>
      <c r="F82" s="1" t="s">
        <v>186</v>
      </c>
      <c r="G82" s="1" t="s">
        <v>9</v>
      </c>
      <c r="H82" s="4">
        <v>26708</v>
      </c>
      <c r="I82" s="1">
        <f>315+34+15+2+21+27</f>
        <v>414</v>
      </c>
      <c r="K82" s="1" t="s">
        <v>631</v>
      </c>
      <c r="L82" s="1" t="s">
        <v>1113</v>
      </c>
      <c r="M82" s="1" t="s">
        <v>3247</v>
      </c>
    </row>
    <row r="83" spans="1:14" x14ac:dyDescent="0.25">
      <c r="A83" s="1" t="s">
        <v>628</v>
      </c>
      <c r="B83" s="1" t="s">
        <v>629</v>
      </c>
      <c r="C83" s="1" t="s">
        <v>53</v>
      </c>
      <c r="D83" s="1" t="s">
        <v>348</v>
      </c>
      <c r="E83" s="4" t="s">
        <v>630</v>
      </c>
      <c r="F83" s="1" t="s">
        <v>186</v>
      </c>
      <c r="G83" s="1" t="s">
        <v>9</v>
      </c>
      <c r="H83" s="4">
        <v>26757</v>
      </c>
      <c r="I83" s="1">
        <f>110+3+3</f>
        <v>116</v>
      </c>
      <c r="K83" s="1" t="s">
        <v>632</v>
      </c>
      <c r="L83" s="1" t="s">
        <v>1113</v>
      </c>
      <c r="M83" s="1" t="s">
        <v>633</v>
      </c>
    </row>
    <row r="84" spans="1:14" s="17" customFormat="1" ht="75" x14ac:dyDescent="0.25">
      <c r="A84" s="17" t="s">
        <v>634</v>
      </c>
      <c r="B84" s="17" t="s">
        <v>635</v>
      </c>
      <c r="C84" s="17" t="s">
        <v>67</v>
      </c>
      <c r="D84" s="17" t="s">
        <v>348</v>
      </c>
      <c r="E84" s="18" t="s">
        <v>637</v>
      </c>
      <c r="F84" s="17" t="s">
        <v>186</v>
      </c>
      <c r="G84" s="17" t="s">
        <v>9</v>
      </c>
      <c r="H84" s="18">
        <v>26715</v>
      </c>
      <c r="I84" s="17">
        <f>422+16+35+6+7+23+2+2+1+1+2</f>
        <v>517</v>
      </c>
      <c r="K84" s="17" t="s">
        <v>639</v>
      </c>
      <c r="L84" s="17" t="s">
        <v>1113</v>
      </c>
      <c r="M84" s="17" t="s">
        <v>3248</v>
      </c>
    </row>
    <row r="85" spans="1:14" ht="60" x14ac:dyDescent="0.25">
      <c r="A85" s="1" t="s">
        <v>641</v>
      </c>
      <c r="B85" s="1" t="s">
        <v>636</v>
      </c>
      <c r="C85" s="1" t="s">
        <v>72</v>
      </c>
      <c r="D85" s="1" t="s">
        <v>348</v>
      </c>
      <c r="E85" s="4" t="s">
        <v>638</v>
      </c>
      <c r="F85" s="1" t="s">
        <v>186</v>
      </c>
      <c r="G85" s="1" t="s">
        <v>9</v>
      </c>
      <c r="H85" s="4">
        <v>26736</v>
      </c>
      <c r="I85" s="1">
        <f>318+6+6+2+1+6+15+34+2</f>
        <v>390</v>
      </c>
      <c r="K85" s="1" t="s">
        <v>640</v>
      </c>
      <c r="L85" s="1" t="s">
        <v>1113</v>
      </c>
      <c r="M85" s="1" t="s">
        <v>3249</v>
      </c>
    </row>
    <row r="86" spans="1:14" ht="60" x14ac:dyDescent="0.25">
      <c r="A86" s="1" t="s">
        <v>642</v>
      </c>
      <c r="B86" s="1" t="s">
        <v>643</v>
      </c>
      <c r="C86" s="1" t="s">
        <v>205</v>
      </c>
      <c r="D86" s="1" t="s">
        <v>276</v>
      </c>
      <c r="E86" s="4" t="s">
        <v>644</v>
      </c>
      <c r="G86" s="1" t="s">
        <v>215</v>
      </c>
      <c r="H86" s="4" t="s">
        <v>652</v>
      </c>
      <c r="I86" s="1">
        <f>92+1+230+2+2</f>
        <v>327</v>
      </c>
      <c r="K86" s="1" t="s">
        <v>645</v>
      </c>
      <c r="L86" s="1" t="s">
        <v>1113</v>
      </c>
      <c r="M86" s="1" t="s">
        <v>650</v>
      </c>
    </row>
    <row r="87" spans="1:14" ht="45" x14ac:dyDescent="0.25">
      <c r="A87" s="1" t="s">
        <v>646</v>
      </c>
      <c r="B87" s="1" t="s">
        <v>89</v>
      </c>
      <c r="C87" s="1" t="s">
        <v>63</v>
      </c>
      <c r="D87" s="1" t="s">
        <v>647</v>
      </c>
      <c r="E87" s="4" t="s">
        <v>648</v>
      </c>
      <c r="F87" s="1" t="s">
        <v>186</v>
      </c>
      <c r="G87" s="1" t="s">
        <v>9</v>
      </c>
      <c r="H87" s="4">
        <v>26711</v>
      </c>
      <c r="I87" s="1">
        <f>410+6+2+25+2+7+4</f>
        <v>456</v>
      </c>
      <c r="K87" s="1" t="s">
        <v>649</v>
      </c>
      <c r="L87" s="1" t="s">
        <v>1113</v>
      </c>
      <c r="M87" s="1" t="s">
        <v>651</v>
      </c>
    </row>
    <row r="88" spans="1:14" x14ac:dyDescent="0.25">
      <c r="A88" s="1" t="s">
        <v>653</v>
      </c>
      <c r="B88" s="1" t="s">
        <v>148</v>
      </c>
      <c r="C88" s="1" t="s">
        <v>182</v>
      </c>
      <c r="D88" s="1" t="s">
        <v>656</v>
      </c>
      <c r="E88" s="4" t="s">
        <v>654</v>
      </c>
      <c r="F88" s="1" t="s">
        <v>186</v>
      </c>
      <c r="G88" s="1" t="s">
        <v>215</v>
      </c>
      <c r="H88" s="4">
        <v>26798</v>
      </c>
      <c r="I88" s="1">
        <f>837</f>
        <v>837</v>
      </c>
      <c r="K88" s="1" t="s">
        <v>655</v>
      </c>
      <c r="L88" s="1" t="s">
        <v>1113</v>
      </c>
      <c r="M88" s="1" t="s">
        <v>668</v>
      </c>
    </row>
    <row r="89" spans="1:14" ht="45" x14ac:dyDescent="0.25">
      <c r="A89" s="1" t="s">
        <v>657</v>
      </c>
      <c r="B89" s="1" t="s">
        <v>397</v>
      </c>
      <c r="C89" s="1" t="s">
        <v>205</v>
      </c>
      <c r="D89" s="1" t="s">
        <v>553</v>
      </c>
      <c r="E89" s="4" t="s">
        <v>658</v>
      </c>
      <c r="F89" s="1" t="s">
        <v>186</v>
      </c>
      <c r="G89" s="1" t="s">
        <v>9</v>
      </c>
      <c r="H89" s="39" t="s">
        <v>667</v>
      </c>
      <c r="I89" s="1">
        <f>120+2+4+7+2+4</f>
        <v>139</v>
      </c>
      <c r="K89" s="1" t="s">
        <v>663</v>
      </c>
      <c r="L89" s="1" t="s">
        <v>1113</v>
      </c>
      <c r="M89" s="1" t="s">
        <v>669</v>
      </c>
    </row>
    <row r="90" spans="1:14" ht="60" x14ac:dyDescent="0.25">
      <c r="A90" s="1" t="s">
        <v>657</v>
      </c>
      <c r="B90" s="1" t="s">
        <v>77</v>
      </c>
      <c r="C90" s="1" t="s">
        <v>17</v>
      </c>
      <c r="D90" s="1" t="s">
        <v>210</v>
      </c>
      <c r="E90" s="4" t="s">
        <v>659</v>
      </c>
      <c r="F90" s="1" t="s">
        <v>6</v>
      </c>
      <c r="G90" s="1" t="s">
        <v>20</v>
      </c>
      <c r="H90" s="4" t="s">
        <v>652</v>
      </c>
      <c r="I90" s="1">
        <f>36+57+4</f>
        <v>97</v>
      </c>
      <c r="K90" s="1" t="s">
        <v>664</v>
      </c>
      <c r="L90" s="1" t="s">
        <v>1113</v>
      </c>
      <c r="M90" s="1" t="s">
        <v>670</v>
      </c>
    </row>
    <row r="91" spans="1:14" ht="45" x14ac:dyDescent="0.25">
      <c r="A91" s="1" t="s">
        <v>657</v>
      </c>
      <c r="B91" s="1" t="s">
        <v>16</v>
      </c>
      <c r="C91" s="1" t="s">
        <v>244</v>
      </c>
      <c r="D91" s="1" t="s">
        <v>348</v>
      </c>
      <c r="E91" s="4" t="s">
        <v>660</v>
      </c>
      <c r="F91" s="1" t="s">
        <v>186</v>
      </c>
      <c r="G91" s="1" t="s">
        <v>9</v>
      </c>
      <c r="H91" s="4">
        <v>26737</v>
      </c>
      <c r="I91" s="1">
        <f>268+5+10+2+4+5+4</f>
        <v>298</v>
      </c>
      <c r="K91" s="1" t="s">
        <v>665</v>
      </c>
      <c r="L91" s="1" t="s">
        <v>1113</v>
      </c>
      <c r="M91" s="1" t="s">
        <v>671</v>
      </c>
      <c r="N91" s="1" t="s">
        <v>1092</v>
      </c>
    </row>
    <row r="92" spans="1:14" ht="45" x14ac:dyDescent="0.25">
      <c r="A92" s="1" t="s">
        <v>661</v>
      </c>
      <c r="B92" s="1" t="s">
        <v>369</v>
      </c>
      <c r="C92" s="1" t="s">
        <v>17</v>
      </c>
      <c r="D92" s="1" t="s">
        <v>553</v>
      </c>
      <c r="E92" s="4" t="s">
        <v>662</v>
      </c>
      <c r="F92" s="1" t="s">
        <v>186</v>
      </c>
      <c r="G92" s="1" t="s">
        <v>9</v>
      </c>
      <c r="H92" s="4">
        <v>26733</v>
      </c>
      <c r="I92" s="1">
        <f>130+4+2+10+6+2</f>
        <v>154</v>
      </c>
      <c r="K92" s="1" t="s">
        <v>666</v>
      </c>
      <c r="L92" s="1" t="s">
        <v>1113</v>
      </c>
      <c r="M92" s="1" t="s">
        <v>672</v>
      </c>
    </row>
    <row r="93" spans="1:14" ht="90" x14ac:dyDescent="0.25">
      <c r="A93" s="1" t="s">
        <v>673</v>
      </c>
      <c r="B93" s="1" t="s">
        <v>551</v>
      </c>
      <c r="C93" s="1" t="s">
        <v>192</v>
      </c>
      <c r="D93" s="1" t="s">
        <v>348</v>
      </c>
      <c r="E93" s="4" t="s">
        <v>674</v>
      </c>
      <c r="F93" s="1" t="s">
        <v>186</v>
      </c>
      <c r="G93" s="1" t="s">
        <v>9</v>
      </c>
      <c r="H93" s="4">
        <v>26758</v>
      </c>
      <c r="I93" s="1">
        <f>150+50+5+10+7+6+2+3+4+3</f>
        <v>240</v>
      </c>
      <c r="K93" s="1" t="s">
        <v>677</v>
      </c>
      <c r="L93" s="1" t="s">
        <v>1113</v>
      </c>
      <c r="M93" s="1" t="s">
        <v>2573</v>
      </c>
    </row>
    <row r="94" spans="1:14" ht="45" x14ac:dyDescent="0.25">
      <c r="A94" s="1" t="s">
        <v>675</v>
      </c>
      <c r="B94" s="1" t="s">
        <v>62</v>
      </c>
      <c r="C94" s="1" t="s">
        <v>463</v>
      </c>
      <c r="D94" s="1" t="s">
        <v>314</v>
      </c>
      <c r="E94" s="4" t="s">
        <v>676</v>
      </c>
      <c r="F94" s="1" t="s">
        <v>6</v>
      </c>
      <c r="G94" s="1" t="s">
        <v>20</v>
      </c>
      <c r="I94" s="1">
        <f>28+98+37+4</f>
        <v>167</v>
      </c>
      <c r="K94" s="1" t="s">
        <v>678</v>
      </c>
      <c r="L94" s="1" t="s">
        <v>1113</v>
      </c>
      <c r="M94" s="1" t="s">
        <v>3250</v>
      </c>
    </row>
    <row r="95" spans="1:14" ht="45" x14ac:dyDescent="0.25">
      <c r="A95" s="1" t="s">
        <v>675</v>
      </c>
      <c r="B95" s="1" t="s">
        <v>369</v>
      </c>
      <c r="C95" s="1" t="s">
        <v>63</v>
      </c>
      <c r="D95" s="1" t="s">
        <v>647</v>
      </c>
      <c r="E95" s="4" t="s">
        <v>679</v>
      </c>
      <c r="F95" s="1" t="s">
        <v>186</v>
      </c>
      <c r="G95" s="1" t="s">
        <v>9</v>
      </c>
      <c r="H95" s="4">
        <v>26743</v>
      </c>
      <c r="I95" s="1">
        <f>412+23+5+3+12+3+4+20</f>
        <v>482</v>
      </c>
      <c r="K95" s="1" t="s">
        <v>680</v>
      </c>
      <c r="L95" s="1" t="s">
        <v>1113</v>
      </c>
      <c r="M95" s="1" t="s">
        <v>681</v>
      </c>
    </row>
    <row r="96" spans="1:14" ht="60" x14ac:dyDescent="0.25">
      <c r="A96" s="1" t="s">
        <v>682</v>
      </c>
      <c r="B96" s="1" t="s">
        <v>541</v>
      </c>
      <c r="C96" s="1" t="s">
        <v>72</v>
      </c>
      <c r="D96" s="1" t="s">
        <v>553</v>
      </c>
      <c r="E96" s="4" t="s">
        <v>685</v>
      </c>
      <c r="F96" s="1" t="s">
        <v>186</v>
      </c>
      <c r="G96" s="1" t="s">
        <v>9</v>
      </c>
      <c r="H96" s="4">
        <v>26717</v>
      </c>
      <c r="I96" s="1">
        <f>160+3+2+5+2+2+1+4+11+11+2+1</f>
        <v>204</v>
      </c>
      <c r="K96" s="1" t="s">
        <v>689</v>
      </c>
      <c r="L96" s="1" t="s">
        <v>1113</v>
      </c>
      <c r="M96" s="1" t="s">
        <v>688</v>
      </c>
    </row>
    <row r="97" spans="1:14" ht="30" x14ac:dyDescent="0.25">
      <c r="A97" s="1" t="s">
        <v>2949</v>
      </c>
      <c r="B97" s="1" t="s">
        <v>369</v>
      </c>
      <c r="C97" s="1" t="s">
        <v>182</v>
      </c>
      <c r="D97" s="1" t="s">
        <v>647</v>
      </c>
      <c r="E97" s="4" t="s">
        <v>686</v>
      </c>
      <c r="F97" s="1" t="s">
        <v>186</v>
      </c>
      <c r="G97" s="1" t="s">
        <v>9</v>
      </c>
      <c r="H97" s="4">
        <v>26756</v>
      </c>
      <c r="I97" s="1">
        <f>254+1+2+6</f>
        <v>263</v>
      </c>
      <c r="K97" s="1" t="s">
        <v>690</v>
      </c>
      <c r="L97" s="1" t="s">
        <v>1113</v>
      </c>
      <c r="M97" s="1" t="s">
        <v>3251</v>
      </c>
      <c r="N97" s="1" t="s">
        <v>1099</v>
      </c>
    </row>
    <row r="98" spans="1:14" ht="30" x14ac:dyDescent="0.25">
      <c r="A98" s="1" t="s">
        <v>683</v>
      </c>
      <c r="B98" s="1" t="s">
        <v>684</v>
      </c>
      <c r="C98" s="1" t="s">
        <v>67</v>
      </c>
      <c r="D98" s="1" t="s">
        <v>348</v>
      </c>
      <c r="E98" s="4" t="s">
        <v>687</v>
      </c>
      <c r="F98" s="1" t="s">
        <v>186</v>
      </c>
      <c r="G98" s="1" t="s">
        <v>9</v>
      </c>
      <c r="H98" s="4">
        <v>26763</v>
      </c>
      <c r="I98" s="1">
        <f>120+2+4+27+21+1</f>
        <v>175</v>
      </c>
      <c r="K98" s="1" t="s">
        <v>691</v>
      </c>
      <c r="L98" s="1" t="s">
        <v>1113</v>
      </c>
      <c r="M98" s="1" t="s">
        <v>3252</v>
      </c>
      <c r="N98" s="1" t="s">
        <v>1100</v>
      </c>
    </row>
    <row r="99" spans="1:14" ht="90" x14ac:dyDescent="0.25">
      <c r="A99" s="1" t="s">
        <v>692</v>
      </c>
      <c r="B99" s="1" t="s">
        <v>693</v>
      </c>
      <c r="D99" s="1" t="s">
        <v>245</v>
      </c>
      <c r="E99" s="4" t="s">
        <v>694</v>
      </c>
      <c r="F99" s="1" t="s">
        <v>6</v>
      </c>
      <c r="G99" s="1" t="s">
        <v>222</v>
      </c>
      <c r="H99" s="4">
        <v>23954</v>
      </c>
      <c r="I99" s="1">
        <f>310+7+12+12+13</f>
        <v>354</v>
      </c>
      <c r="K99" s="1" t="s">
        <v>695</v>
      </c>
      <c r="M99" s="1" t="s">
        <v>3253</v>
      </c>
      <c r="N99" s="1" t="s">
        <v>1918</v>
      </c>
    </row>
    <row r="100" spans="1:14" ht="30" x14ac:dyDescent="0.25">
      <c r="A100" s="1" t="s">
        <v>696</v>
      </c>
      <c r="B100" s="1" t="s">
        <v>684</v>
      </c>
      <c r="C100" s="1" t="s">
        <v>412</v>
      </c>
      <c r="D100" s="1" t="s">
        <v>647</v>
      </c>
      <c r="E100" s="4" t="s">
        <v>516</v>
      </c>
      <c r="F100" s="1" t="s">
        <v>186</v>
      </c>
      <c r="G100" s="1" t="s">
        <v>9</v>
      </c>
      <c r="H100" s="4">
        <v>26756</v>
      </c>
      <c r="I100" s="1">
        <f>125+6+3+2+5+3</f>
        <v>144</v>
      </c>
      <c r="K100" s="1" t="s">
        <v>697</v>
      </c>
      <c r="M100" s="1" t="s">
        <v>698</v>
      </c>
    </row>
    <row r="101" spans="1:14" ht="90" x14ac:dyDescent="0.25">
      <c r="A101" s="1" t="s">
        <v>699</v>
      </c>
      <c r="B101" s="1" t="s">
        <v>700</v>
      </c>
      <c r="C101" s="1" t="s">
        <v>63</v>
      </c>
      <c r="D101" s="1" t="s">
        <v>348</v>
      </c>
      <c r="E101" s="4" t="s">
        <v>556</v>
      </c>
      <c r="F101" s="1" t="s">
        <v>186</v>
      </c>
      <c r="G101" s="1" t="s">
        <v>9</v>
      </c>
      <c r="H101" s="4">
        <v>26712</v>
      </c>
      <c r="I101" s="1">
        <f>324+9+6+11+27+2+2+1+16+16</f>
        <v>414</v>
      </c>
      <c r="K101" s="1" t="s">
        <v>701</v>
      </c>
      <c r="M101" s="1" t="s">
        <v>3254</v>
      </c>
    </row>
    <row r="102" spans="1:14" ht="75" x14ac:dyDescent="0.25">
      <c r="A102" s="1" t="s">
        <v>702</v>
      </c>
      <c r="B102" s="1" t="s">
        <v>226</v>
      </c>
      <c r="C102" s="1" t="s">
        <v>58</v>
      </c>
      <c r="D102" s="1" t="s">
        <v>703</v>
      </c>
      <c r="E102" s="4" t="s">
        <v>704</v>
      </c>
      <c r="F102" s="1" t="s">
        <v>6</v>
      </c>
      <c r="G102" s="1" t="s">
        <v>20</v>
      </c>
      <c r="H102" s="4" t="s">
        <v>652</v>
      </c>
      <c r="I102" s="1">
        <f>25+4+1+1+1+1+27+1+7</f>
        <v>68</v>
      </c>
      <c r="K102" s="1" t="s">
        <v>705</v>
      </c>
      <c r="M102" s="1" t="s">
        <v>3255</v>
      </c>
    </row>
    <row r="103" spans="1:14" ht="30" x14ac:dyDescent="0.25">
      <c r="A103" s="1" t="s">
        <v>706</v>
      </c>
      <c r="B103" s="1" t="s">
        <v>199</v>
      </c>
      <c r="C103" s="1" t="s">
        <v>72</v>
      </c>
      <c r="D103" s="1" t="s">
        <v>708</v>
      </c>
      <c r="E103" s="4" t="s">
        <v>707</v>
      </c>
      <c r="F103" s="1" t="s">
        <v>6</v>
      </c>
      <c r="G103" s="1" t="s">
        <v>222</v>
      </c>
      <c r="H103" s="4">
        <v>26753</v>
      </c>
      <c r="I103" s="1">
        <f>50+4+11</f>
        <v>65</v>
      </c>
      <c r="K103" s="1" t="s">
        <v>711</v>
      </c>
      <c r="M103" s="1" t="s">
        <v>713</v>
      </c>
    </row>
    <row r="104" spans="1:14" ht="60" x14ac:dyDescent="0.25">
      <c r="A104" s="1" t="s">
        <v>709</v>
      </c>
      <c r="B104" s="1" t="s">
        <v>566</v>
      </c>
      <c r="C104" s="1" t="s">
        <v>205</v>
      </c>
      <c r="D104" s="1" t="s">
        <v>314</v>
      </c>
      <c r="E104" s="4" t="s">
        <v>710</v>
      </c>
      <c r="F104" s="1" t="s">
        <v>715</v>
      </c>
      <c r="G104" s="1" t="s">
        <v>20</v>
      </c>
      <c r="H104" s="4">
        <v>26732</v>
      </c>
      <c r="I104" s="1">
        <f>52+48+4+4+1+104</f>
        <v>213</v>
      </c>
      <c r="K104" s="1" t="s">
        <v>712</v>
      </c>
      <c r="M104" s="1" t="s">
        <v>714</v>
      </c>
    </row>
    <row r="105" spans="1:14" ht="105" x14ac:dyDescent="0.25">
      <c r="A105" s="1" t="s">
        <v>709</v>
      </c>
      <c r="B105" s="1" t="s">
        <v>48</v>
      </c>
      <c r="C105" s="1" t="s">
        <v>716</v>
      </c>
      <c r="D105" s="1" t="s">
        <v>647</v>
      </c>
      <c r="E105" s="4" t="s">
        <v>717</v>
      </c>
      <c r="F105" s="1" t="s">
        <v>186</v>
      </c>
      <c r="G105" s="1" t="s">
        <v>9</v>
      </c>
      <c r="H105" s="4">
        <v>25061</v>
      </c>
      <c r="I105" s="1">
        <f>225+160+3+1+4+1+2+17+91+131</f>
        <v>635</v>
      </c>
      <c r="K105" s="1" t="s">
        <v>718</v>
      </c>
      <c r="M105" s="1" t="s">
        <v>3256</v>
      </c>
      <c r="N105" s="1" t="s">
        <v>1093</v>
      </c>
    </row>
    <row r="106" spans="1:14" ht="45" x14ac:dyDescent="0.25">
      <c r="A106" s="1" t="s">
        <v>719</v>
      </c>
      <c r="B106" s="1" t="s">
        <v>720</v>
      </c>
      <c r="C106" s="1" t="s">
        <v>72</v>
      </c>
      <c r="D106" s="1" t="s">
        <v>647</v>
      </c>
      <c r="E106" s="4" t="s">
        <v>328</v>
      </c>
      <c r="F106" s="1" t="s">
        <v>186</v>
      </c>
      <c r="G106" s="1" t="s">
        <v>9</v>
      </c>
      <c r="H106" s="4">
        <v>26746</v>
      </c>
      <c r="I106" s="1">
        <f>332+6+2+14+4+12</f>
        <v>370</v>
      </c>
      <c r="K106" s="1" t="s">
        <v>721</v>
      </c>
      <c r="M106" s="1" t="s">
        <v>740</v>
      </c>
      <c r="N106" s="1" t="s">
        <v>1696</v>
      </c>
    </row>
    <row r="107" spans="1:14" x14ac:dyDescent="0.25">
      <c r="A107" s="1" t="s">
        <v>722</v>
      </c>
      <c r="B107" s="1" t="s">
        <v>723</v>
      </c>
      <c r="C107" s="1" t="s">
        <v>192</v>
      </c>
      <c r="D107" s="1" t="s">
        <v>201</v>
      </c>
      <c r="E107" s="4" t="s">
        <v>724</v>
      </c>
      <c r="F107" s="1" t="s">
        <v>6</v>
      </c>
      <c r="G107" s="1" t="s">
        <v>222</v>
      </c>
      <c r="H107" s="4">
        <v>25193</v>
      </c>
      <c r="I107" s="1">
        <f>20+37</f>
        <v>57</v>
      </c>
      <c r="K107" s="1" t="s">
        <v>735</v>
      </c>
      <c r="M107" s="1" t="s">
        <v>741</v>
      </c>
    </row>
    <row r="108" spans="1:14" ht="45" x14ac:dyDescent="0.25">
      <c r="A108" s="1" t="s">
        <v>725</v>
      </c>
      <c r="B108" s="1" t="s">
        <v>534</v>
      </c>
      <c r="C108" s="1" t="s">
        <v>205</v>
      </c>
      <c r="D108" s="1" t="s">
        <v>726</v>
      </c>
      <c r="E108" s="4" t="s">
        <v>727</v>
      </c>
      <c r="G108" s="1" t="s">
        <v>222</v>
      </c>
      <c r="H108" s="4">
        <v>26765</v>
      </c>
      <c r="I108" s="1">
        <f>24+2+12+3+2+3+4+4</f>
        <v>54</v>
      </c>
      <c r="K108" s="1" t="s">
        <v>736</v>
      </c>
      <c r="M108" s="1" t="s">
        <v>742</v>
      </c>
    </row>
    <row r="109" spans="1:14" ht="30" x14ac:dyDescent="0.25">
      <c r="A109" s="1" t="s">
        <v>728</v>
      </c>
      <c r="B109" s="1" t="s">
        <v>77</v>
      </c>
      <c r="C109" s="1" t="s">
        <v>412</v>
      </c>
      <c r="D109" s="1" t="s">
        <v>647</v>
      </c>
      <c r="E109" s="4" t="s">
        <v>729</v>
      </c>
      <c r="F109" s="1" t="s">
        <v>186</v>
      </c>
      <c r="G109" s="1" t="s">
        <v>9</v>
      </c>
      <c r="H109" s="4">
        <v>26756</v>
      </c>
      <c r="I109" s="1">
        <f>90+6+2+5+6</f>
        <v>109</v>
      </c>
      <c r="K109" s="1" t="s">
        <v>737</v>
      </c>
      <c r="M109" s="1" t="s">
        <v>743</v>
      </c>
      <c r="N109" s="1" t="s">
        <v>1101</v>
      </c>
    </row>
    <row r="110" spans="1:14" ht="45" x14ac:dyDescent="0.25">
      <c r="A110" s="1" t="s">
        <v>730</v>
      </c>
      <c r="B110" s="1" t="s">
        <v>100</v>
      </c>
      <c r="C110" s="1" t="s">
        <v>182</v>
      </c>
      <c r="D110" s="1" t="s">
        <v>647</v>
      </c>
      <c r="E110" s="4" t="s">
        <v>731</v>
      </c>
      <c r="F110" s="1" t="s">
        <v>186</v>
      </c>
      <c r="G110" s="1" t="s">
        <v>9</v>
      </c>
      <c r="H110" s="4">
        <v>26756</v>
      </c>
      <c r="I110" s="1">
        <f>108+3+2+9+2</f>
        <v>124</v>
      </c>
      <c r="K110" s="1" t="s">
        <v>738</v>
      </c>
      <c r="M110" s="1" t="s">
        <v>744</v>
      </c>
    </row>
    <row r="111" spans="1:14" ht="60" x14ac:dyDescent="0.25">
      <c r="A111" s="1" t="s">
        <v>732</v>
      </c>
      <c r="B111" s="1" t="s">
        <v>733</v>
      </c>
      <c r="C111" s="1" t="s">
        <v>17</v>
      </c>
      <c r="D111" s="1" t="s">
        <v>348</v>
      </c>
      <c r="E111" s="4" t="s">
        <v>734</v>
      </c>
      <c r="F111" s="1" t="s">
        <v>186</v>
      </c>
      <c r="G111" s="1" t="s">
        <v>9</v>
      </c>
      <c r="H111" s="4">
        <v>26742</v>
      </c>
      <c r="I111" s="1">
        <f>265+15+4+2+1+2+1+24+4+3+4</f>
        <v>325</v>
      </c>
      <c r="K111" s="1" t="s">
        <v>739</v>
      </c>
      <c r="M111" s="1" t="s">
        <v>3257</v>
      </c>
      <c r="N111" s="1" t="s">
        <v>1090</v>
      </c>
    </row>
    <row r="112" spans="1:14" x14ac:dyDescent="0.25">
      <c r="A112" s="1" t="s">
        <v>745</v>
      </c>
      <c r="B112" s="1" t="s">
        <v>746</v>
      </c>
      <c r="C112" s="1" t="s">
        <v>412</v>
      </c>
      <c r="D112" s="1" t="s">
        <v>747</v>
      </c>
      <c r="E112" s="4" t="s">
        <v>748</v>
      </c>
      <c r="F112" s="1" t="s">
        <v>186</v>
      </c>
      <c r="G112" s="1" t="s">
        <v>215</v>
      </c>
      <c r="H112" s="4">
        <v>26709</v>
      </c>
      <c r="I112" s="1">
        <f>786+2</f>
        <v>788</v>
      </c>
      <c r="K112" s="1" t="s">
        <v>751</v>
      </c>
      <c r="M112" s="1" t="s">
        <v>753</v>
      </c>
    </row>
    <row r="113" spans="1:14" ht="45" x14ac:dyDescent="0.25">
      <c r="A113" s="1" t="s">
        <v>163</v>
      </c>
      <c r="B113" s="1" t="s">
        <v>749</v>
      </c>
      <c r="C113" s="1" t="s">
        <v>67</v>
      </c>
      <c r="D113" s="1" t="s">
        <v>703</v>
      </c>
      <c r="E113" s="4" t="s">
        <v>750</v>
      </c>
      <c r="F113" s="1" t="s">
        <v>754</v>
      </c>
      <c r="G113" s="1" t="s">
        <v>20</v>
      </c>
      <c r="H113" s="4">
        <v>26571</v>
      </c>
      <c r="I113" s="1">
        <f>58+13+3+1</f>
        <v>75</v>
      </c>
      <c r="K113" s="1" t="s">
        <v>752</v>
      </c>
      <c r="M113" s="1" t="s">
        <v>755</v>
      </c>
    </row>
    <row r="114" spans="1:14" ht="60" x14ac:dyDescent="0.25">
      <c r="A114" s="1" t="s">
        <v>756</v>
      </c>
      <c r="B114" s="1" t="s">
        <v>757</v>
      </c>
      <c r="C114" s="1" t="s">
        <v>205</v>
      </c>
      <c r="D114" s="1" t="s">
        <v>210</v>
      </c>
      <c r="E114" s="4" t="s">
        <v>758</v>
      </c>
      <c r="F114" s="1" t="s">
        <v>6</v>
      </c>
      <c r="G114" s="1" t="s">
        <v>20</v>
      </c>
      <c r="H114" s="4">
        <v>26735</v>
      </c>
      <c r="I114" s="1">
        <f>42+2+4+4+98</f>
        <v>150</v>
      </c>
      <c r="K114" s="1" t="s">
        <v>764</v>
      </c>
      <c r="M114" s="1" t="s">
        <v>767</v>
      </c>
    </row>
    <row r="115" spans="1:14" ht="30" x14ac:dyDescent="0.25">
      <c r="A115" s="1" t="s">
        <v>759</v>
      </c>
      <c r="B115" s="1" t="s">
        <v>760</v>
      </c>
      <c r="C115" s="1" t="s">
        <v>58</v>
      </c>
      <c r="D115" s="1" t="s">
        <v>647</v>
      </c>
      <c r="E115" s="4" t="s">
        <v>761</v>
      </c>
      <c r="F115" s="1" t="s">
        <v>186</v>
      </c>
      <c r="G115" s="1" t="s">
        <v>9</v>
      </c>
      <c r="H115" s="4">
        <v>26757</v>
      </c>
      <c r="I115" s="1">
        <f>80+10+2+3+2</f>
        <v>97</v>
      </c>
      <c r="K115" s="1" t="s">
        <v>765</v>
      </c>
      <c r="M115" s="1" t="s">
        <v>768</v>
      </c>
      <c r="N115" s="1" t="s">
        <v>1102</v>
      </c>
    </row>
    <row r="116" spans="1:14" ht="45" x14ac:dyDescent="0.25">
      <c r="A116" s="1" t="s">
        <v>762</v>
      </c>
      <c r="B116" s="1" t="s">
        <v>100</v>
      </c>
      <c r="C116" s="1" t="s">
        <v>412</v>
      </c>
      <c r="D116" s="1" t="s">
        <v>227</v>
      </c>
      <c r="E116" s="4" t="s">
        <v>763</v>
      </c>
      <c r="F116" s="1" t="s">
        <v>6</v>
      </c>
      <c r="G116" s="1" t="s">
        <v>222</v>
      </c>
      <c r="H116" s="4">
        <v>26763</v>
      </c>
      <c r="I116" s="1">
        <f>55+4+11+3+1+1</f>
        <v>75</v>
      </c>
      <c r="K116" s="1" t="s">
        <v>766</v>
      </c>
      <c r="M116" s="1" t="s">
        <v>769</v>
      </c>
    </row>
    <row r="117" spans="1:14" ht="75" x14ac:dyDescent="0.25">
      <c r="A117" s="1" t="s">
        <v>770</v>
      </c>
      <c r="B117" s="1" t="s">
        <v>771</v>
      </c>
      <c r="C117" s="1" t="s">
        <v>716</v>
      </c>
      <c r="D117" s="1" t="s">
        <v>553</v>
      </c>
      <c r="E117" s="4" t="s">
        <v>772</v>
      </c>
      <c r="F117" s="1" t="s">
        <v>186</v>
      </c>
      <c r="G117" s="1" t="s">
        <v>9</v>
      </c>
      <c r="H117" s="4">
        <v>26709</v>
      </c>
      <c r="I117" s="1">
        <f>495+4+1+1+3+19+21+2+6+3</f>
        <v>555</v>
      </c>
      <c r="K117" s="1" t="s">
        <v>773</v>
      </c>
      <c r="M117" s="1" t="s">
        <v>3258</v>
      </c>
    </row>
    <row r="118" spans="1:14" s="17" customFormat="1" ht="60" x14ac:dyDescent="0.25">
      <c r="A118" s="17" t="s">
        <v>841</v>
      </c>
      <c r="B118" s="17" t="s">
        <v>720</v>
      </c>
      <c r="C118" s="17" t="s">
        <v>58</v>
      </c>
      <c r="D118" s="17" t="s">
        <v>348</v>
      </c>
      <c r="E118" s="18" t="s">
        <v>848</v>
      </c>
      <c r="F118" s="17" t="s">
        <v>186</v>
      </c>
      <c r="G118" s="17" t="s">
        <v>9</v>
      </c>
      <c r="H118" s="18">
        <v>26714</v>
      </c>
      <c r="I118" s="17">
        <f>390+17+2+1+15+2+18</f>
        <v>445</v>
      </c>
      <c r="K118" s="17" t="s">
        <v>829</v>
      </c>
      <c r="M118" s="17" t="s">
        <v>854</v>
      </c>
      <c r="N118" s="17" t="s">
        <v>1748</v>
      </c>
    </row>
    <row r="119" spans="1:14" s="17" customFormat="1" x14ac:dyDescent="0.25">
      <c r="A119" s="17" t="s">
        <v>842</v>
      </c>
      <c r="B119" s="17" t="s">
        <v>77</v>
      </c>
      <c r="C119" s="17" t="s">
        <v>113</v>
      </c>
      <c r="D119" s="17" t="s">
        <v>849</v>
      </c>
      <c r="E119" s="18" t="s">
        <v>724</v>
      </c>
      <c r="F119" s="17" t="s">
        <v>6</v>
      </c>
      <c r="G119" s="17" t="s">
        <v>222</v>
      </c>
      <c r="H119" s="18">
        <v>25216</v>
      </c>
      <c r="I119" s="17">
        <f>45+27</f>
        <v>72</v>
      </c>
      <c r="K119" s="17" t="s">
        <v>830</v>
      </c>
      <c r="M119" s="17" t="s">
        <v>855</v>
      </c>
    </row>
    <row r="120" spans="1:14" s="17" customFormat="1" ht="30" x14ac:dyDescent="0.25">
      <c r="A120" s="17" t="s">
        <v>843</v>
      </c>
      <c r="B120" s="17" t="s">
        <v>844</v>
      </c>
      <c r="C120" s="17" t="s">
        <v>182</v>
      </c>
      <c r="D120" s="17" t="s">
        <v>850</v>
      </c>
      <c r="E120" s="18" t="s">
        <v>851</v>
      </c>
      <c r="F120" s="17" t="s">
        <v>6</v>
      </c>
      <c r="G120" s="17" t="s">
        <v>222</v>
      </c>
      <c r="H120" s="18">
        <v>26758</v>
      </c>
      <c r="I120" s="17">
        <f>30+28+4</f>
        <v>62</v>
      </c>
      <c r="K120" s="17" t="s">
        <v>831</v>
      </c>
      <c r="M120" s="17" t="s">
        <v>908</v>
      </c>
    </row>
    <row r="121" spans="1:14" s="17" customFormat="1" ht="75" x14ac:dyDescent="0.25">
      <c r="A121" s="17" t="s">
        <v>845</v>
      </c>
      <c r="B121" s="17" t="s">
        <v>16</v>
      </c>
      <c r="C121" s="17" t="s">
        <v>17</v>
      </c>
      <c r="D121" s="17" t="s">
        <v>703</v>
      </c>
      <c r="E121" s="18" t="s">
        <v>852</v>
      </c>
      <c r="F121" s="17" t="s">
        <v>781</v>
      </c>
      <c r="G121" s="17" t="s">
        <v>20</v>
      </c>
      <c r="H121" s="18" t="s">
        <v>652</v>
      </c>
      <c r="I121" s="17">
        <f>57+21+6+2+1+11+39+142</f>
        <v>279</v>
      </c>
      <c r="K121" s="17" t="s">
        <v>832</v>
      </c>
      <c r="M121" s="17" t="s">
        <v>3259</v>
      </c>
      <c r="N121" s="17" t="s">
        <v>2975</v>
      </c>
    </row>
    <row r="122" spans="1:14" s="17" customFormat="1" x14ac:dyDescent="0.25">
      <c r="A122" s="17" t="s">
        <v>846</v>
      </c>
      <c r="B122" s="17" t="s">
        <v>847</v>
      </c>
      <c r="C122" s="17" t="s">
        <v>72</v>
      </c>
      <c r="D122" s="17" t="s">
        <v>656</v>
      </c>
      <c r="E122" s="18" t="s">
        <v>853</v>
      </c>
      <c r="F122" s="17" t="s">
        <v>6</v>
      </c>
      <c r="G122" s="17" t="s">
        <v>215</v>
      </c>
      <c r="H122" s="18" t="s">
        <v>652</v>
      </c>
      <c r="I122" s="17">
        <f>90+2+5+1</f>
        <v>98</v>
      </c>
      <c r="K122" s="17" t="s">
        <v>833</v>
      </c>
      <c r="M122" s="17" t="s">
        <v>909</v>
      </c>
    </row>
    <row r="123" spans="1:14" s="17" customFormat="1" ht="30" x14ac:dyDescent="0.25">
      <c r="A123" s="17" t="s">
        <v>837</v>
      </c>
      <c r="B123" s="17" t="s">
        <v>77</v>
      </c>
      <c r="C123" s="17" t="s">
        <v>63</v>
      </c>
      <c r="D123" s="17" t="s">
        <v>647</v>
      </c>
      <c r="E123" s="18" t="s">
        <v>856</v>
      </c>
      <c r="F123" s="17" t="s">
        <v>186</v>
      </c>
      <c r="G123" s="17" t="s">
        <v>9</v>
      </c>
      <c r="H123" s="18">
        <v>26717</v>
      </c>
      <c r="I123" s="17">
        <f>318+1+25+2+5</f>
        <v>351</v>
      </c>
      <c r="K123" s="17" t="s">
        <v>834</v>
      </c>
      <c r="M123" s="17" t="s">
        <v>860</v>
      </c>
    </row>
    <row r="124" spans="1:14" s="17" customFormat="1" ht="45" x14ac:dyDescent="0.25">
      <c r="A124" s="17" t="s">
        <v>838</v>
      </c>
      <c r="B124" s="17" t="s">
        <v>116</v>
      </c>
      <c r="C124" s="17" t="s">
        <v>67</v>
      </c>
      <c r="D124" s="17" t="s">
        <v>857</v>
      </c>
      <c r="E124" s="18" t="s">
        <v>858</v>
      </c>
      <c r="F124" s="17" t="s">
        <v>186</v>
      </c>
      <c r="G124" s="17" t="s">
        <v>9</v>
      </c>
      <c r="H124" s="18">
        <v>26754</v>
      </c>
      <c r="I124" s="17">
        <f>290+4+4+4+2+9</f>
        <v>313</v>
      </c>
      <c r="K124" s="17" t="s">
        <v>835</v>
      </c>
      <c r="M124" s="17" t="s">
        <v>861</v>
      </c>
    </row>
    <row r="125" spans="1:14" s="17" customFormat="1" ht="60" x14ac:dyDescent="0.25">
      <c r="A125" s="17" t="s">
        <v>839</v>
      </c>
      <c r="B125" s="17" t="s">
        <v>840</v>
      </c>
      <c r="C125" s="17" t="s">
        <v>17</v>
      </c>
      <c r="D125" s="17" t="s">
        <v>210</v>
      </c>
      <c r="E125" s="18" t="s">
        <v>859</v>
      </c>
      <c r="F125" s="17" t="s">
        <v>6</v>
      </c>
      <c r="G125" s="17" t="s">
        <v>20</v>
      </c>
      <c r="H125" s="18"/>
      <c r="I125" s="17">
        <f>28+4+83+2</f>
        <v>117</v>
      </c>
      <c r="K125" s="17" t="s">
        <v>836</v>
      </c>
      <c r="M125" s="17" t="s">
        <v>3260</v>
      </c>
      <c r="N125" s="17" t="s">
        <v>1371</v>
      </c>
    </row>
    <row r="126" spans="1:14" ht="45" x14ac:dyDescent="0.25">
      <c r="A126" s="1" t="s">
        <v>774</v>
      </c>
      <c r="B126" s="1" t="s">
        <v>83</v>
      </c>
      <c r="C126" s="1" t="s">
        <v>32</v>
      </c>
      <c r="D126" s="1" t="s">
        <v>314</v>
      </c>
      <c r="E126" s="4" t="s">
        <v>775</v>
      </c>
      <c r="F126" s="1" t="s">
        <v>781</v>
      </c>
      <c r="G126" s="1" t="s">
        <v>20</v>
      </c>
      <c r="H126" s="4" t="s">
        <v>652</v>
      </c>
      <c r="I126" s="1">
        <f>73+4+8+91+67+141</f>
        <v>384</v>
      </c>
      <c r="K126" s="1" t="s">
        <v>783</v>
      </c>
      <c r="M126" s="1" t="s">
        <v>782</v>
      </c>
      <c r="N126" s="1" t="s">
        <v>1368</v>
      </c>
    </row>
    <row r="127" spans="1:14" ht="45" x14ac:dyDescent="0.25">
      <c r="A127" s="1" t="s">
        <v>776</v>
      </c>
      <c r="B127" s="1" t="s">
        <v>777</v>
      </c>
      <c r="C127" s="1" t="s">
        <v>244</v>
      </c>
      <c r="D127" s="1" t="s">
        <v>703</v>
      </c>
      <c r="E127" s="4" t="s">
        <v>778</v>
      </c>
      <c r="F127" s="1" t="s">
        <v>781</v>
      </c>
      <c r="G127" s="1" t="s">
        <v>20</v>
      </c>
      <c r="H127" s="4">
        <v>26733</v>
      </c>
      <c r="I127" s="1">
        <f>76+6+34+2+170</f>
        <v>288</v>
      </c>
      <c r="K127" s="1" t="s">
        <v>779</v>
      </c>
      <c r="M127" s="1" t="s">
        <v>780</v>
      </c>
      <c r="N127" s="1" t="s">
        <v>1084</v>
      </c>
    </row>
    <row r="128" spans="1:14" ht="75" x14ac:dyDescent="0.25">
      <c r="A128" s="1" t="s">
        <v>784</v>
      </c>
      <c r="B128" s="1" t="s">
        <v>116</v>
      </c>
      <c r="C128" s="1" t="s">
        <v>785</v>
      </c>
      <c r="D128" s="1" t="s">
        <v>647</v>
      </c>
      <c r="E128" s="4" t="s">
        <v>786</v>
      </c>
      <c r="F128" s="1" t="s">
        <v>186</v>
      </c>
      <c r="G128" s="1" t="s">
        <v>9</v>
      </c>
      <c r="H128" s="4">
        <v>26724</v>
      </c>
      <c r="I128" s="1">
        <f>212+9+4+1+1+2+45+2+37+14+3+1</f>
        <v>331</v>
      </c>
      <c r="K128" s="1" t="s">
        <v>788</v>
      </c>
      <c r="M128" s="1" t="s">
        <v>790</v>
      </c>
    </row>
    <row r="129" spans="1:14" x14ac:dyDescent="0.25">
      <c r="A129" s="1" t="s">
        <v>784</v>
      </c>
      <c r="B129" s="1" t="s">
        <v>140</v>
      </c>
      <c r="C129" s="1" t="s">
        <v>72</v>
      </c>
      <c r="D129" s="1" t="s">
        <v>647</v>
      </c>
      <c r="E129" s="4" t="s">
        <v>787</v>
      </c>
      <c r="F129" s="1" t="s">
        <v>186</v>
      </c>
      <c r="G129" s="1" t="s">
        <v>9</v>
      </c>
      <c r="H129" s="4">
        <v>26715</v>
      </c>
      <c r="I129" s="1">
        <f>502</f>
        <v>502</v>
      </c>
      <c r="K129" s="1" t="s">
        <v>789</v>
      </c>
      <c r="M129" s="1" t="s">
        <v>791</v>
      </c>
    </row>
    <row r="130" spans="1:14" ht="30" x14ac:dyDescent="0.25">
      <c r="A130" s="1" t="s">
        <v>792</v>
      </c>
      <c r="B130" s="1" t="s">
        <v>116</v>
      </c>
      <c r="C130" s="1" t="s">
        <v>26</v>
      </c>
      <c r="D130" s="1" t="s">
        <v>553</v>
      </c>
      <c r="E130" s="4" t="s">
        <v>793</v>
      </c>
      <c r="F130" s="1" t="s">
        <v>186</v>
      </c>
      <c r="G130" s="1" t="s">
        <v>9</v>
      </c>
      <c r="H130" s="4">
        <v>26758</v>
      </c>
      <c r="I130" s="1">
        <f>103+2+2+5+6</f>
        <v>118</v>
      </c>
      <c r="K130" s="1" t="s">
        <v>800</v>
      </c>
      <c r="M130" s="1" t="s">
        <v>804</v>
      </c>
    </row>
    <row r="131" spans="1:14" ht="30" x14ac:dyDescent="0.25">
      <c r="A131" s="1" t="s">
        <v>794</v>
      </c>
      <c r="B131" s="1" t="s">
        <v>369</v>
      </c>
      <c r="C131" s="1" t="s">
        <v>63</v>
      </c>
      <c r="D131" s="1" t="s">
        <v>510</v>
      </c>
      <c r="E131" s="4" t="s">
        <v>516</v>
      </c>
      <c r="F131" s="1" t="s">
        <v>186</v>
      </c>
      <c r="G131" s="1" t="s">
        <v>9</v>
      </c>
      <c r="H131" s="4">
        <v>26759</v>
      </c>
      <c r="I131" s="1">
        <f>165+3+2+4+4</f>
        <v>178</v>
      </c>
      <c r="K131" s="1" t="s">
        <v>801</v>
      </c>
      <c r="M131" s="1" t="s">
        <v>805</v>
      </c>
    </row>
    <row r="132" spans="1:14" ht="60" x14ac:dyDescent="0.25">
      <c r="A132" s="1" t="s">
        <v>795</v>
      </c>
      <c r="B132" s="1" t="s">
        <v>116</v>
      </c>
      <c r="C132" s="1" t="s">
        <v>113</v>
      </c>
      <c r="D132" s="1" t="s">
        <v>796</v>
      </c>
      <c r="E132" s="4" t="s">
        <v>797</v>
      </c>
      <c r="F132" s="1" t="s">
        <v>186</v>
      </c>
      <c r="G132" s="1" t="s">
        <v>9</v>
      </c>
      <c r="H132" s="4">
        <v>26715</v>
      </c>
      <c r="I132" s="1">
        <f>4+3+1+1+2+47+23</f>
        <v>81</v>
      </c>
      <c r="K132" s="1" t="s">
        <v>802</v>
      </c>
      <c r="M132" s="1" t="s">
        <v>806</v>
      </c>
    </row>
    <row r="133" spans="1:14" ht="90" x14ac:dyDescent="0.25">
      <c r="A133" s="1" t="s">
        <v>798</v>
      </c>
      <c r="B133" s="1" t="s">
        <v>53</v>
      </c>
      <c r="C133" s="1" t="s">
        <v>26</v>
      </c>
      <c r="D133" s="1" t="s">
        <v>553</v>
      </c>
      <c r="E133" s="4" t="s">
        <v>799</v>
      </c>
      <c r="F133" s="1" t="s">
        <v>186</v>
      </c>
      <c r="G133" s="1" t="s">
        <v>9</v>
      </c>
      <c r="H133" s="4">
        <v>26742</v>
      </c>
      <c r="I133" s="1">
        <f>198+2+7+19+2+6+5+6+4+4+12</f>
        <v>265</v>
      </c>
      <c r="K133" s="1" t="s">
        <v>803</v>
      </c>
      <c r="M133" s="1" t="s">
        <v>3261</v>
      </c>
    </row>
    <row r="134" spans="1:14" ht="60" x14ac:dyDescent="0.25">
      <c r="A134" s="1" t="s">
        <v>807</v>
      </c>
      <c r="B134" s="1" t="s">
        <v>808</v>
      </c>
      <c r="C134" s="1" t="s">
        <v>63</v>
      </c>
      <c r="D134" s="1" t="s">
        <v>647</v>
      </c>
      <c r="E134" s="4" t="s">
        <v>658</v>
      </c>
      <c r="F134" s="1" t="s">
        <v>186</v>
      </c>
      <c r="G134" s="1" t="s">
        <v>9</v>
      </c>
      <c r="H134" s="4">
        <v>26733</v>
      </c>
      <c r="I134" s="1">
        <f>197+10+2+1+14+20+2</f>
        <v>246</v>
      </c>
      <c r="K134" s="1" t="s">
        <v>809</v>
      </c>
      <c r="M134" s="1" t="s">
        <v>815</v>
      </c>
      <c r="N134" s="1" t="s">
        <v>1742</v>
      </c>
    </row>
    <row r="135" spans="1:14" ht="75" x14ac:dyDescent="0.25">
      <c r="A135" s="1" t="s">
        <v>810</v>
      </c>
      <c r="B135" s="1" t="s">
        <v>89</v>
      </c>
      <c r="D135" s="1" t="s">
        <v>796</v>
      </c>
      <c r="E135" s="4" t="s">
        <v>544</v>
      </c>
      <c r="F135" s="1" t="s">
        <v>186</v>
      </c>
      <c r="G135" s="1" t="s">
        <v>9</v>
      </c>
      <c r="I135" s="1">
        <f>246+2+1+2+1+32+38+1+2</f>
        <v>325</v>
      </c>
      <c r="K135" s="1" t="s">
        <v>816</v>
      </c>
      <c r="M135" s="1" t="s">
        <v>3262</v>
      </c>
    </row>
    <row r="136" spans="1:14" ht="45" x14ac:dyDescent="0.25">
      <c r="A136" s="1" t="s">
        <v>811</v>
      </c>
      <c r="B136" s="1" t="s">
        <v>808</v>
      </c>
      <c r="C136" s="1" t="s">
        <v>32</v>
      </c>
      <c r="D136" s="1" t="s">
        <v>567</v>
      </c>
      <c r="E136" s="4" t="s">
        <v>812</v>
      </c>
      <c r="F136" s="1" t="s">
        <v>781</v>
      </c>
      <c r="G136" s="1" t="s">
        <v>20</v>
      </c>
      <c r="H136" s="4" t="s">
        <v>652</v>
      </c>
      <c r="I136" s="1">
        <f>50+4+50+42+183</f>
        <v>329</v>
      </c>
      <c r="K136" s="1" t="s">
        <v>817</v>
      </c>
      <c r="M136" s="1" t="s">
        <v>819</v>
      </c>
    </row>
    <row r="137" spans="1:14" s="17" customFormat="1" ht="30" x14ac:dyDescent="0.25">
      <c r="A137" s="17" t="s">
        <v>1133</v>
      </c>
      <c r="B137" s="17" t="s">
        <v>163</v>
      </c>
      <c r="D137" s="17" t="s">
        <v>849</v>
      </c>
      <c r="E137" s="18" t="s">
        <v>1134</v>
      </c>
      <c r="F137" s="17" t="s">
        <v>386</v>
      </c>
      <c r="H137" s="18"/>
      <c r="K137" s="17" t="s">
        <v>3068</v>
      </c>
      <c r="M137" s="17" t="s">
        <v>3067</v>
      </c>
      <c r="N137" s="17" t="s">
        <v>1135</v>
      </c>
    </row>
    <row r="138" spans="1:14" ht="105" x14ac:dyDescent="0.25">
      <c r="A138" s="1" t="s">
        <v>813</v>
      </c>
      <c r="B138" s="1" t="s">
        <v>100</v>
      </c>
      <c r="C138" s="1" t="s">
        <v>113</v>
      </c>
      <c r="D138" s="1" t="s">
        <v>553</v>
      </c>
      <c r="E138" s="4" t="s">
        <v>814</v>
      </c>
      <c r="F138" s="1" t="s">
        <v>186</v>
      </c>
      <c r="G138" s="1" t="s">
        <v>9</v>
      </c>
      <c r="H138" s="4">
        <v>26742</v>
      </c>
      <c r="I138" s="1">
        <f>235+16+2+4+11+11+4+5+17+4+6+2+7</f>
        <v>324</v>
      </c>
      <c r="K138" s="1" t="s">
        <v>818</v>
      </c>
      <c r="M138" s="1" t="s">
        <v>3263</v>
      </c>
    </row>
    <row r="139" spans="1:14" ht="30" x14ac:dyDescent="0.25">
      <c r="A139" s="1" t="s">
        <v>820</v>
      </c>
      <c r="B139" s="1" t="s">
        <v>821</v>
      </c>
      <c r="D139" s="1" t="s">
        <v>210</v>
      </c>
      <c r="E139" s="4" t="s">
        <v>822</v>
      </c>
      <c r="F139" s="1" t="s">
        <v>6</v>
      </c>
      <c r="G139" s="1" t="s">
        <v>20</v>
      </c>
      <c r="H139" s="4" t="s">
        <v>652</v>
      </c>
      <c r="I139" s="1">
        <f>41+4+3+51</f>
        <v>99</v>
      </c>
      <c r="K139" s="1" t="s">
        <v>825</v>
      </c>
      <c r="M139" s="1" t="s">
        <v>827</v>
      </c>
    </row>
    <row r="140" spans="1:14" ht="106.5" customHeight="1" x14ac:dyDescent="0.25">
      <c r="A140" s="1" t="s">
        <v>823</v>
      </c>
      <c r="B140" s="1" t="s">
        <v>96</v>
      </c>
      <c r="D140" s="1" t="s">
        <v>348</v>
      </c>
      <c r="E140" s="4" t="s">
        <v>824</v>
      </c>
      <c r="F140" s="1" t="s">
        <v>186</v>
      </c>
      <c r="G140" s="1" t="s">
        <v>9</v>
      </c>
      <c r="H140" s="4">
        <v>26721</v>
      </c>
      <c r="I140" s="1">
        <f>408+58+2+4+2+6+1+5+90+1+78+8+2+4+4+7+4+1+1</f>
        <v>686</v>
      </c>
      <c r="K140" s="1" t="s">
        <v>826</v>
      </c>
      <c r="M140" s="1" t="s">
        <v>3264</v>
      </c>
    </row>
    <row r="141" spans="1:14" ht="120" x14ac:dyDescent="0.25">
      <c r="A141" s="1" t="s">
        <v>862</v>
      </c>
      <c r="B141" s="1" t="s">
        <v>16</v>
      </c>
      <c r="C141" s="1" t="s">
        <v>412</v>
      </c>
      <c r="D141" s="1" t="s">
        <v>703</v>
      </c>
      <c r="E141" s="4" t="s">
        <v>863</v>
      </c>
      <c r="F141" s="1" t="s">
        <v>6</v>
      </c>
      <c r="G141" s="1" t="s">
        <v>20</v>
      </c>
      <c r="H141" s="4" t="s">
        <v>652</v>
      </c>
      <c r="I141" s="1">
        <f>51+1+4+5+70+61+3+3+17</f>
        <v>215</v>
      </c>
      <c r="K141" s="17" t="s">
        <v>828</v>
      </c>
      <c r="M141" s="1" t="s">
        <v>897</v>
      </c>
    </row>
    <row r="142" spans="1:14" ht="60" x14ac:dyDescent="0.25">
      <c r="A142" s="1" t="s">
        <v>864</v>
      </c>
      <c r="B142" s="1" t="s">
        <v>333</v>
      </c>
      <c r="C142" s="1" t="s">
        <v>67</v>
      </c>
      <c r="D142" s="1" t="s">
        <v>588</v>
      </c>
      <c r="E142" s="4" t="s">
        <v>865</v>
      </c>
      <c r="F142" s="1" t="s">
        <v>186</v>
      </c>
      <c r="G142" s="1" t="s">
        <v>9</v>
      </c>
      <c r="H142" s="4">
        <v>26727</v>
      </c>
      <c r="I142" s="1">
        <f>165+4+1+21+2+2+5</f>
        <v>200</v>
      </c>
      <c r="K142" s="1" t="s">
        <v>866</v>
      </c>
      <c r="M142" s="1" t="s">
        <v>3265</v>
      </c>
    </row>
    <row r="143" spans="1:14" x14ac:dyDescent="0.25">
      <c r="A143" s="1" t="s">
        <v>867</v>
      </c>
      <c r="B143" s="1" t="s">
        <v>868</v>
      </c>
      <c r="C143" s="1" t="s">
        <v>17</v>
      </c>
      <c r="D143" s="1" t="s">
        <v>869</v>
      </c>
      <c r="E143" s="4" t="s">
        <v>724</v>
      </c>
      <c r="F143" s="1" t="s">
        <v>6</v>
      </c>
      <c r="G143" s="1" t="s">
        <v>222</v>
      </c>
      <c r="H143" s="4">
        <v>25234</v>
      </c>
      <c r="I143" s="1">
        <f>52+39</f>
        <v>91</v>
      </c>
      <c r="K143" s="1" t="s">
        <v>873</v>
      </c>
      <c r="M143" s="1" t="s">
        <v>879</v>
      </c>
    </row>
    <row r="144" spans="1:14" ht="30" x14ac:dyDescent="0.25">
      <c r="A144" s="1" t="s">
        <v>870</v>
      </c>
      <c r="B144" s="1" t="s">
        <v>333</v>
      </c>
      <c r="C144" s="1" t="s">
        <v>53</v>
      </c>
      <c r="D144" s="1" t="s">
        <v>289</v>
      </c>
      <c r="E144" s="4" t="s">
        <v>871</v>
      </c>
      <c r="F144" s="1" t="s">
        <v>6</v>
      </c>
      <c r="G144" s="1" t="s">
        <v>222</v>
      </c>
      <c r="H144" s="4">
        <v>26724</v>
      </c>
      <c r="I144" s="1">
        <f>30+18+1+4+1+6</f>
        <v>60</v>
      </c>
      <c r="K144" s="1" t="s">
        <v>874</v>
      </c>
      <c r="M144" s="1" t="s">
        <v>880</v>
      </c>
    </row>
    <row r="145" spans="1:14" ht="45" x14ac:dyDescent="0.25">
      <c r="A145" s="1" t="s">
        <v>872</v>
      </c>
      <c r="B145" s="1" t="s">
        <v>733</v>
      </c>
      <c r="C145" s="1" t="s">
        <v>599</v>
      </c>
      <c r="D145" s="1" t="s">
        <v>588</v>
      </c>
      <c r="E145" s="4" t="s">
        <v>660</v>
      </c>
      <c r="F145" s="1" t="s">
        <v>186</v>
      </c>
      <c r="G145" s="1" t="s">
        <v>9</v>
      </c>
      <c r="H145" s="4">
        <v>26743</v>
      </c>
      <c r="I145" s="1">
        <f>235+4+2+13+9+2+12</f>
        <v>277</v>
      </c>
      <c r="K145" s="1" t="s">
        <v>875</v>
      </c>
      <c r="M145" s="1" t="s">
        <v>3266</v>
      </c>
      <c r="N145" s="1" t="s">
        <v>1094</v>
      </c>
    </row>
    <row r="146" spans="1:14" ht="60" x14ac:dyDescent="0.25">
      <c r="A146" s="1" t="s">
        <v>877</v>
      </c>
      <c r="B146" s="1" t="s">
        <v>140</v>
      </c>
      <c r="C146" s="1" t="s">
        <v>58</v>
      </c>
      <c r="D146" s="1" t="s">
        <v>647</v>
      </c>
      <c r="E146" s="4" t="s">
        <v>878</v>
      </c>
      <c r="F146" s="1" t="s">
        <v>186</v>
      </c>
      <c r="G146" s="1" t="s">
        <v>9</v>
      </c>
      <c r="H146" s="4">
        <v>26716</v>
      </c>
      <c r="I146" s="1">
        <f>446+1+2+6+2+17+2+23+22</f>
        <v>521</v>
      </c>
      <c r="K146" s="1" t="s">
        <v>876</v>
      </c>
      <c r="M146" s="1" t="s">
        <v>3344</v>
      </c>
    </row>
    <row r="147" spans="1:14" ht="30" x14ac:dyDescent="0.25">
      <c r="A147" s="1" t="s">
        <v>881</v>
      </c>
      <c r="B147" s="1" t="s">
        <v>66</v>
      </c>
      <c r="C147" s="1" t="s">
        <v>599</v>
      </c>
      <c r="D147" s="1" t="s">
        <v>647</v>
      </c>
      <c r="E147" s="4" t="s">
        <v>211</v>
      </c>
      <c r="F147" s="1" t="s">
        <v>186</v>
      </c>
      <c r="G147" s="1" t="s">
        <v>9</v>
      </c>
      <c r="H147" s="4">
        <v>26756</v>
      </c>
      <c r="I147" s="1">
        <f>106+6+3+4+12</f>
        <v>131</v>
      </c>
      <c r="K147" s="1" t="s">
        <v>891</v>
      </c>
      <c r="M147" s="1" t="s">
        <v>892</v>
      </c>
    </row>
    <row r="148" spans="1:14" ht="45" x14ac:dyDescent="0.25">
      <c r="A148" s="17" t="s">
        <v>882</v>
      </c>
      <c r="B148" s="1" t="s">
        <v>883</v>
      </c>
      <c r="C148" s="1" t="s">
        <v>17</v>
      </c>
      <c r="D148" s="1" t="s">
        <v>647</v>
      </c>
      <c r="E148" s="4" t="s">
        <v>888</v>
      </c>
      <c r="F148" s="1" t="s">
        <v>186</v>
      </c>
      <c r="G148" s="1" t="s">
        <v>9</v>
      </c>
      <c r="H148" s="4">
        <v>26757</v>
      </c>
      <c r="I148" s="1">
        <f>125+3+2+1+2+31+7+2</f>
        <v>173</v>
      </c>
      <c r="K148" s="1" t="s">
        <v>893</v>
      </c>
      <c r="M148" s="1" t="s">
        <v>907</v>
      </c>
      <c r="N148" s="1" t="s">
        <v>1103</v>
      </c>
    </row>
    <row r="149" spans="1:14" ht="60" x14ac:dyDescent="0.25">
      <c r="A149" s="1" t="s">
        <v>884</v>
      </c>
      <c r="B149" s="1" t="s">
        <v>885</v>
      </c>
      <c r="C149" s="1" t="s">
        <v>53</v>
      </c>
      <c r="D149" s="1" t="s">
        <v>703</v>
      </c>
      <c r="E149" s="4" t="s">
        <v>207</v>
      </c>
      <c r="F149" s="1" t="s">
        <v>781</v>
      </c>
      <c r="G149" s="1" t="s">
        <v>20</v>
      </c>
      <c r="H149" s="4" t="s">
        <v>652</v>
      </c>
      <c r="I149" s="1">
        <f>49+2+10+8+240</f>
        <v>309</v>
      </c>
      <c r="K149" s="1" t="s">
        <v>894</v>
      </c>
      <c r="M149" s="1" t="s">
        <v>898</v>
      </c>
      <c r="N149" s="1" t="s">
        <v>1367</v>
      </c>
    </row>
    <row r="150" spans="1:14" ht="60" x14ac:dyDescent="0.25">
      <c r="A150" s="1" t="s">
        <v>886</v>
      </c>
      <c r="B150" s="1" t="s">
        <v>116</v>
      </c>
      <c r="C150" s="1" t="s">
        <v>67</v>
      </c>
      <c r="D150" s="1" t="s">
        <v>227</v>
      </c>
      <c r="E150" s="4" t="s">
        <v>889</v>
      </c>
      <c r="F150" s="1" t="s">
        <v>6</v>
      </c>
      <c r="G150" s="1" t="s">
        <v>222</v>
      </c>
      <c r="H150" s="4">
        <v>26749</v>
      </c>
      <c r="I150" s="1">
        <f>40+17+3+4+1+5+3</f>
        <v>73</v>
      </c>
      <c r="K150" s="1" t="s">
        <v>895</v>
      </c>
      <c r="M150" s="1" t="s">
        <v>899</v>
      </c>
    </row>
    <row r="151" spans="1:14" ht="45" x14ac:dyDescent="0.25">
      <c r="A151" s="1" t="s">
        <v>887</v>
      </c>
      <c r="B151" s="1" t="s">
        <v>905</v>
      </c>
      <c r="C151" s="1" t="s">
        <v>63</v>
      </c>
      <c r="D151" s="1" t="s">
        <v>567</v>
      </c>
      <c r="E151" s="4" t="s">
        <v>890</v>
      </c>
      <c r="F151" s="1" t="s">
        <v>6</v>
      </c>
      <c r="G151" s="1" t="s">
        <v>20</v>
      </c>
      <c r="H151" s="4" t="s">
        <v>652</v>
      </c>
      <c r="I151" s="1">
        <f>44+4+36+46</f>
        <v>130</v>
      </c>
      <c r="K151" s="1" t="s">
        <v>896</v>
      </c>
      <c r="M151" s="1" t="s">
        <v>906</v>
      </c>
    </row>
    <row r="152" spans="1:14" ht="30" x14ac:dyDescent="0.25">
      <c r="A152" s="1" t="s">
        <v>900</v>
      </c>
      <c r="B152" s="1" t="s">
        <v>901</v>
      </c>
      <c r="C152" s="1" t="s">
        <v>72</v>
      </c>
      <c r="D152" s="1" t="s">
        <v>902</v>
      </c>
      <c r="E152" s="4" t="s">
        <v>903</v>
      </c>
      <c r="F152" s="1" t="s">
        <v>6</v>
      </c>
      <c r="G152" s="1" t="s">
        <v>222</v>
      </c>
      <c r="H152" s="4">
        <v>26756</v>
      </c>
      <c r="I152" s="1">
        <f>45+17+4</f>
        <v>66</v>
      </c>
      <c r="K152" s="1" t="s">
        <v>904</v>
      </c>
      <c r="M152" s="1" t="s">
        <v>908</v>
      </c>
    </row>
    <row r="153" spans="1:14" ht="90" x14ac:dyDescent="0.25">
      <c r="A153" s="1" t="s">
        <v>910</v>
      </c>
      <c r="B153" s="1" t="s">
        <v>100</v>
      </c>
      <c r="C153" s="1" t="s">
        <v>463</v>
      </c>
      <c r="D153" s="1" t="s">
        <v>647</v>
      </c>
      <c r="E153" s="4" t="s">
        <v>911</v>
      </c>
      <c r="F153" s="1" t="s">
        <v>186</v>
      </c>
      <c r="G153" s="1" t="s">
        <v>9</v>
      </c>
      <c r="H153" s="4">
        <v>26715</v>
      </c>
      <c r="I153" s="1">
        <f>168+8+2+2+1+2+2+3+4+1+1+6+1+13+4+9</f>
        <v>227</v>
      </c>
      <c r="K153" s="1" t="s">
        <v>912</v>
      </c>
      <c r="M153" s="1" t="s">
        <v>3267</v>
      </c>
    </row>
    <row r="154" spans="1:14" ht="45" x14ac:dyDescent="0.25">
      <c r="A154" s="1" t="s">
        <v>913</v>
      </c>
      <c r="B154" s="1" t="s">
        <v>77</v>
      </c>
      <c r="C154" s="1" t="s">
        <v>914</v>
      </c>
      <c r="D154" s="1" t="s">
        <v>348</v>
      </c>
      <c r="E154" s="4" t="s">
        <v>915</v>
      </c>
      <c r="F154" s="1" t="s">
        <v>186</v>
      </c>
      <c r="G154" s="1" t="s">
        <v>9</v>
      </c>
      <c r="H154" s="4">
        <v>26717</v>
      </c>
      <c r="I154" s="1">
        <f>170+2+30+25+5</f>
        <v>232</v>
      </c>
      <c r="K154" s="1" t="s">
        <v>916</v>
      </c>
      <c r="M154" s="1" t="s">
        <v>917</v>
      </c>
    </row>
    <row r="155" spans="1:14" ht="60" x14ac:dyDescent="0.25">
      <c r="A155" s="1" t="s">
        <v>918</v>
      </c>
      <c r="B155" s="1" t="s">
        <v>635</v>
      </c>
      <c r="C155" s="1" t="s">
        <v>67</v>
      </c>
      <c r="D155" s="1" t="s">
        <v>703</v>
      </c>
      <c r="E155" s="4" t="s">
        <v>919</v>
      </c>
      <c r="F155" s="1" t="s">
        <v>781</v>
      </c>
      <c r="G155" s="1" t="s">
        <v>20</v>
      </c>
      <c r="H155" s="4">
        <v>26710</v>
      </c>
      <c r="I155" s="1">
        <f>55+4+1+12+54+189</f>
        <v>315</v>
      </c>
      <c r="K155" s="1" t="s">
        <v>923</v>
      </c>
      <c r="M155" s="1" t="s">
        <v>924</v>
      </c>
    </row>
    <row r="156" spans="1:14" ht="45" x14ac:dyDescent="0.25">
      <c r="A156" s="1" t="s">
        <v>918</v>
      </c>
      <c r="B156" s="1" t="s">
        <v>140</v>
      </c>
      <c r="C156" s="1" t="s">
        <v>58</v>
      </c>
      <c r="D156" s="1" t="s">
        <v>227</v>
      </c>
      <c r="E156" s="4" t="s">
        <v>920</v>
      </c>
      <c r="F156" s="1" t="s">
        <v>6</v>
      </c>
      <c r="G156" s="1" t="s">
        <v>222</v>
      </c>
      <c r="H156" s="4">
        <v>26751</v>
      </c>
      <c r="I156" s="1">
        <f>38+49+4+1</f>
        <v>92</v>
      </c>
      <c r="K156" s="1" t="s">
        <v>926</v>
      </c>
      <c r="M156" s="1" t="s">
        <v>925</v>
      </c>
    </row>
    <row r="157" spans="1:14" ht="75" x14ac:dyDescent="0.25">
      <c r="A157" s="1" t="s">
        <v>921</v>
      </c>
      <c r="B157" s="1" t="s">
        <v>777</v>
      </c>
      <c r="C157" s="1" t="s">
        <v>72</v>
      </c>
      <c r="D157" s="1" t="s">
        <v>857</v>
      </c>
      <c r="E157" s="18" t="s">
        <v>922</v>
      </c>
      <c r="F157" s="1" t="s">
        <v>186</v>
      </c>
      <c r="G157" s="1" t="s">
        <v>9</v>
      </c>
      <c r="H157" s="4">
        <v>26743</v>
      </c>
      <c r="I157" s="1">
        <f>420+10+2+2+8+14+4+22+1+7+6+9</f>
        <v>505</v>
      </c>
      <c r="K157" s="1" t="s">
        <v>927</v>
      </c>
      <c r="M157" s="1" t="s">
        <v>3268</v>
      </c>
      <c r="N157" s="1" t="s">
        <v>1087</v>
      </c>
    </row>
    <row r="158" spans="1:14" s="17" customFormat="1" ht="90" x14ac:dyDescent="0.25">
      <c r="A158" s="17" t="s">
        <v>928</v>
      </c>
      <c r="B158" s="17" t="s">
        <v>77</v>
      </c>
      <c r="C158" s="17" t="s">
        <v>67</v>
      </c>
      <c r="D158" s="17" t="s">
        <v>656</v>
      </c>
      <c r="E158" s="18" t="s">
        <v>246</v>
      </c>
      <c r="F158" s="17" t="s">
        <v>6</v>
      </c>
      <c r="G158" s="17" t="s">
        <v>215</v>
      </c>
      <c r="H158" s="18">
        <v>26732</v>
      </c>
      <c r="I158" s="17">
        <f>118+27+4+15</f>
        <v>164</v>
      </c>
      <c r="K158" s="17" t="s">
        <v>929</v>
      </c>
      <c r="M158" s="17" t="s">
        <v>3345</v>
      </c>
    </row>
    <row r="159" spans="1:14" s="17" customFormat="1" x14ac:dyDescent="0.25">
      <c r="A159" s="17" t="s">
        <v>1519</v>
      </c>
      <c r="B159" s="17" t="s">
        <v>253</v>
      </c>
      <c r="C159" s="17" t="s">
        <v>58</v>
      </c>
      <c r="D159" s="17" t="s">
        <v>849</v>
      </c>
      <c r="E159" s="18" t="s">
        <v>1520</v>
      </c>
      <c r="F159" s="17" t="s">
        <v>386</v>
      </c>
      <c r="H159" s="18"/>
      <c r="M159" s="17" t="s">
        <v>1521</v>
      </c>
    </row>
    <row r="160" spans="1:14" ht="75" x14ac:dyDescent="0.25">
      <c r="A160" s="1" t="s">
        <v>930</v>
      </c>
      <c r="B160" s="1" t="s">
        <v>931</v>
      </c>
      <c r="D160" s="1" t="s">
        <v>703</v>
      </c>
      <c r="E160" s="4" t="s">
        <v>932</v>
      </c>
      <c r="F160" s="1" t="s">
        <v>186</v>
      </c>
      <c r="G160" s="1" t="s">
        <v>20</v>
      </c>
      <c r="H160" s="4">
        <v>24316</v>
      </c>
      <c r="I160" s="1">
        <f>772+50+1+78+14</f>
        <v>915</v>
      </c>
      <c r="K160" s="1" t="s">
        <v>941</v>
      </c>
      <c r="M160" s="1" t="s">
        <v>3269</v>
      </c>
    </row>
    <row r="161" spans="1:14" ht="75" x14ac:dyDescent="0.25">
      <c r="A161" s="1" t="s">
        <v>933</v>
      </c>
      <c r="B161" s="1" t="s">
        <v>934</v>
      </c>
      <c r="C161" s="1" t="s">
        <v>67</v>
      </c>
      <c r="D161" s="1" t="s">
        <v>567</v>
      </c>
      <c r="E161" s="4" t="s">
        <v>935</v>
      </c>
      <c r="F161" s="1" t="s">
        <v>186</v>
      </c>
      <c r="G161" s="1" t="s">
        <v>20</v>
      </c>
      <c r="H161" s="4">
        <v>26710</v>
      </c>
      <c r="I161" s="1">
        <f>302+80+4+34+85+60+207</f>
        <v>772</v>
      </c>
      <c r="K161" s="1" t="s">
        <v>939</v>
      </c>
      <c r="M161" s="1" t="s">
        <v>942</v>
      </c>
      <c r="N161" s="1" t="s">
        <v>3270</v>
      </c>
    </row>
    <row r="162" spans="1:14" ht="45" x14ac:dyDescent="0.25">
      <c r="A162" s="1" t="s">
        <v>936</v>
      </c>
      <c r="B162" s="1" t="s">
        <v>937</v>
      </c>
      <c r="C162" s="1" t="s">
        <v>67</v>
      </c>
      <c r="D162" s="1" t="s">
        <v>857</v>
      </c>
      <c r="E162" s="4" t="s">
        <v>938</v>
      </c>
      <c r="F162" s="1" t="s">
        <v>186</v>
      </c>
      <c r="G162" s="1" t="s">
        <v>9</v>
      </c>
      <c r="H162" s="4">
        <v>26756</v>
      </c>
      <c r="I162" s="1">
        <f>116+4+2+4+5+6</f>
        <v>137</v>
      </c>
      <c r="K162" s="1" t="s">
        <v>940</v>
      </c>
      <c r="M162" s="1" t="s">
        <v>943</v>
      </c>
      <c r="N162" s="1" t="s">
        <v>1104</v>
      </c>
    </row>
    <row r="163" spans="1:14" ht="87.75" customHeight="1" x14ac:dyDescent="0.25">
      <c r="A163" s="1" t="s">
        <v>944</v>
      </c>
      <c r="B163" s="1" t="s">
        <v>116</v>
      </c>
      <c r="C163" s="1" t="s">
        <v>716</v>
      </c>
      <c r="D163" s="1" t="s">
        <v>945</v>
      </c>
      <c r="E163" s="4" t="s">
        <v>946</v>
      </c>
      <c r="F163" s="1" t="s">
        <v>186</v>
      </c>
      <c r="G163" s="1" t="s">
        <v>215</v>
      </c>
      <c r="H163" s="4">
        <v>26735</v>
      </c>
      <c r="I163" s="1">
        <f>1167+160+1+4</f>
        <v>1332</v>
      </c>
      <c r="K163" s="1" t="s">
        <v>947</v>
      </c>
      <c r="M163" s="1" t="s">
        <v>948</v>
      </c>
    </row>
    <row r="164" spans="1:14" s="17" customFormat="1" ht="87.75" customHeight="1" x14ac:dyDescent="0.25">
      <c r="A164" s="17" t="s">
        <v>1123</v>
      </c>
      <c r="B164" s="17" t="s">
        <v>635</v>
      </c>
      <c r="C164" s="17" t="s">
        <v>67</v>
      </c>
      <c r="D164" s="17" t="s">
        <v>726</v>
      </c>
      <c r="E164" s="18" t="s">
        <v>1124</v>
      </c>
      <c r="F164" s="17" t="s">
        <v>386</v>
      </c>
      <c r="G164" s="17" t="s">
        <v>222</v>
      </c>
      <c r="H164" s="18"/>
      <c r="K164" s="17" t="s">
        <v>2982</v>
      </c>
      <c r="M164" s="17" t="s">
        <v>1542</v>
      </c>
    </row>
    <row r="165" spans="1:14" ht="45" x14ac:dyDescent="0.25">
      <c r="A165" s="1" t="s">
        <v>949</v>
      </c>
      <c r="B165" s="1" t="s">
        <v>226</v>
      </c>
      <c r="C165" s="1" t="s">
        <v>599</v>
      </c>
      <c r="D165" s="1" t="s">
        <v>647</v>
      </c>
      <c r="E165" s="4" t="s">
        <v>729</v>
      </c>
      <c r="F165" s="1" t="s">
        <v>186</v>
      </c>
      <c r="G165" s="1" t="s">
        <v>9</v>
      </c>
      <c r="H165" s="4">
        <v>26756</v>
      </c>
      <c r="I165" s="1">
        <f>160+5+2+7+1+7</f>
        <v>182</v>
      </c>
      <c r="K165" s="1" t="s">
        <v>950</v>
      </c>
      <c r="M165" s="1" t="s">
        <v>951</v>
      </c>
      <c r="N165" s="1" t="s">
        <v>1105</v>
      </c>
    </row>
    <row r="166" spans="1:14" s="17" customFormat="1" x14ac:dyDescent="0.25">
      <c r="A166" s="17" t="s">
        <v>451</v>
      </c>
      <c r="B166" s="17" t="s">
        <v>48</v>
      </c>
      <c r="C166" s="17" t="s">
        <v>32</v>
      </c>
      <c r="E166" s="18" t="s">
        <v>452</v>
      </c>
      <c r="H166" s="18"/>
    </row>
    <row r="167" spans="1:14" x14ac:dyDescent="0.25">
      <c r="A167" s="1" t="s">
        <v>952</v>
      </c>
      <c r="B167" s="1" t="s">
        <v>116</v>
      </c>
      <c r="C167" s="1" t="s">
        <v>953</v>
      </c>
      <c r="D167" s="1" t="s">
        <v>954</v>
      </c>
      <c r="E167" s="4" t="s">
        <v>955</v>
      </c>
      <c r="F167" s="1" t="s">
        <v>6</v>
      </c>
      <c r="G167" s="1" t="s">
        <v>956</v>
      </c>
      <c r="H167" s="4">
        <v>24278</v>
      </c>
      <c r="I167" s="1">
        <f>42</f>
        <v>42</v>
      </c>
      <c r="K167" s="1" t="s">
        <v>957</v>
      </c>
      <c r="M167" s="1" t="s">
        <v>958</v>
      </c>
    </row>
    <row r="168" spans="1:14" ht="45" x14ac:dyDescent="0.25">
      <c r="A168" s="1" t="s">
        <v>397</v>
      </c>
      <c r="B168" s="1" t="s">
        <v>959</v>
      </c>
      <c r="C168" s="1" t="s">
        <v>32</v>
      </c>
      <c r="D168" s="1" t="s">
        <v>348</v>
      </c>
      <c r="E168" s="4" t="s">
        <v>960</v>
      </c>
      <c r="F168" s="1" t="s">
        <v>186</v>
      </c>
      <c r="G168" s="1" t="s">
        <v>9</v>
      </c>
      <c r="H168" s="4">
        <v>26742</v>
      </c>
      <c r="I168" s="1">
        <f>338+8+2+9+4+19</f>
        <v>380</v>
      </c>
      <c r="K168" s="1" t="s">
        <v>962</v>
      </c>
      <c r="M168" s="1" t="s">
        <v>3271</v>
      </c>
    </row>
    <row r="169" spans="1:14" ht="120" x14ac:dyDescent="0.25">
      <c r="A169" s="1" t="s">
        <v>961</v>
      </c>
      <c r="B169" s="1" t="s">
        <v>100</v>
      </c>
      <c r="C169" s="1" t="s">
        <v>599</v>
      </c>
      <c r="D169" s="1" t="s">
        <v>210</v>
      </c>
      <c r="E169" s="4" t="s">
        <v>623</v>
      </c>
      <c r="F169" s="1" t="s">
        <v>781</v>
      </c>
      <c r="G169" s="1" t="s">
        <v>20</v>
      </c>
      <c r="H169" s="4">
        <v>26715</v>
      </c>
      <c r="I169" s="1">
        <f>24+3+18+32+4+12+3+9+33+10+1+1+129</f>
        <v>279</v>
      </c>
      <c r="K169" s="1" t="s">
        <v>963</v>
      </c>
      <c r="M169" s="1" t="s">
        <v>3272</v>
      </c>
    </row>
    <row r="170" spans="1:14" ht="60" x14ac:dyDescent="0.25">
      <c r="A170" s="1" t="s">
        <v>964</v>
      </c>
      <c r="B170" s="1" t="s">
        <v>965</v>
      </c>
      <c r="C170" s="1" t="s">
        <v>63</v>
      </c>
      <c r="D170" s="1" t="s">
        <v>210</v>
      </c>
      <c r="E170" s="4" t="s">
        <v>966</v>
      </c>
      <c r="G170" s="1" t="s">
        <v>20</v>
      </c>
      <c r="H170" s="4" t="s">
        <v>652</v>
      </c>
      <c r="I170" s="1">
        <f>50+4+46+3</f>
        <v>103</v>
      </c>
      <c r="K170" s="1" t="s">
        <v>972</v>
      </c>
      <c r="M170" s="1" t="s">
        <v>3273</v>
      </c>
    </row>
    <row r="171" spans="1:14" ht="60" x14ac:dyDescent="0.25">
      <c r="A171" s="1" t="s">
        <v>967</v>
      </c>
      <c r="B171" s="1" t="s">
        <v>968</v>
      </c>
      <c r="C171" s="1" t="s">
        <v>58</v>
      </c>
      <c r="D171" s="1" t="s">
        <v>647</v>
      </c>
      <c r="E171" s="4" t="s">
        <v>969</v>
      </c>
      <c r="F171" s="1" t="s">
        <v>186</v>
      </c>
      <c r="G171" s="1" t="s">
        <v>9</v>
      </c>
      <c r="H171" s="4">
        <v>26709</v>
      </c>
      <c r="I171" s="1">
        <f>360+3+1+1+12+2+1+11</f>
        <v>391</v>
      </c>
      <c r="K171" s="1" t="s">
        <v>973</v>
      </c>
      <c r="M171" s="1" t="s">
        <v>3274</v>
      </c>
    </row>
    <row r="172" spans="1:14" ht="45" x14ac:dyDescent="0.25">
      <c r="A172" s="1" t="s">
        <v>970</v>
      </c>
      <c r="B172" s="1" t="s">
        <v>684</v>
      </c>
      <c r="C172" s="1" t="s">
        <v>72</v>
      </c>
      <c r="D172" s="1" t="s">
        <v>726</v>
      </c>
      <c r="E172" s="4" t="s">
        <v>971</v>
      </c>
      <c r="F172" s="1" t="s">
        <v>6</v>
      </c>
      <c r="G172" s="1" t="s">
        <v>222</v>
      </c>
      <c r="H172" s="4">
        <v>26756</v>
      </c>
      <c r="I172" s="1">
        <f>21+28+1+4</f>
        <v>54</v>
      </c>
      <c r="K172" s="1" t="s">
        <v>974</v>
      </c>
      <c r="M172" s="1" t="s">
        <v>975</v>
      </c>
    </row>
    <row r="173" spans="1:14" ht="60" x14ac:dyDescent="0.25">
      <c r="A173" s="1" t="s">
        <v>976</v>
      </c>
      <c r="B173" s="1" t="s">
        <v>77</v>
      </c>
      <c r="C173" s="1" t="s">
        <v>67</v>
      </c>
      <c r="D173" s="1" t="s">
        <v>647</v>
      </c>
      <c r="E173" s="4" t="s">
        <v>977</v>
      </c>
      <c r="F173" s="1" t="s">
        <v>186</v>
      </c>
      <c r="G173" s="1" t="s">
        <v>9</v>
      </c>
      <c r="H173" s="4">
        <v>26735</v>
      </c>
      <c r="I173" s="1">
        <f>380+8+10+4+1+13+16+2+1+1</f>
        <v>436</v>
      </c>
      <c r="K173" s="1" t="s">
        <v>978</v>
      </c>
      <c r="M173" s="1" t="s">
        <v>979</v>
      </c>
    </row>
    <row r="174" spans="1:14" ht="75" x14ac:dyDescent="0.25">
      <c r="A174" s="1" t="s">
        <v>980</v>
      </c>
      <c r="B174" s="1" t="s">
        <v>981</v>
      </c>
      <c r="C174" s="1" t="s">
        <v>17</v>
      </c>
      <c r="D174" s="1" t="s">
        <v>348</v>
      </c>
      <c r="E174" s="4" t="s">
        <v>983</v>
      </c>
      <c r="F174" s="1" t="s">
        <v>186</v>
      </c>
      <c r="G174" s="1" t="s">
        <v>9</v>
      </c>
      <c r="H174" s="4">
        <v>26714</v>
      </c>
      <c r="I174" s="1">
        <f>450+3+2+4+1+1+30+2+26+6+18</f>
        <v>543</v>
      </c>
      <c r="K174" s="1" t="s">
        <v>986</v>
      </c>
      <c r="M174" s="1" t="s">
        <v>1565</v>
      </c>
    </row>
    <row r="175" spans="1:14" ht="30" x14ac:dyDescent="0.25">
      <c r="A175" s="1" t="s">
        <v>982</v>
      </c>
      <c r="B175" s="1" t="s">
        <v>226</v>
      </c>
      <c r="C175" s="1" t="s">
        <v>524</v>
      </c>
      <c r="D175" s="1" t="s">
        <v>647</v>
      </c>
      <c r="E175" s="4" t="s">
        <v>516</v>
      </c>
      <c r="F175" s="1" t="s">
        <v>186</v>
      </c>
      <c r="G175" s="1" t="s">
        <v>9</v>
      </c>
      <c r="H175" s="4">
        <v>26757</v>
      </c>
      <c r="I175" s="1">
        <f>95+2+2+4+6+2</f>
        <v>111</v>
      </c>
      <c r="K175" s="1" t="s">
        <v>987</v>
      </c>
      <c r="M175" s="1" t="s">
        <v>3275</v>
      </c>
    </row>
    <row r="176" spans="1:14" ht="60" x14ac:dyDescent="0.25">
      <c r="A176" s="1" t="s">
        <v>984</v>
      </c>
      <c r="B176" s="1" t="s">
        <v>226</v>
      </c>
      <c r="C176" s="1" t="s">
        <v>53</v>
      </c>
      <c r="D176" s="1" t="s">
        <v>647</v>
      </c>
      <c r="E176" s="4" t="s">
        <v>985</v>
      </c>
      <c r="F176" s="1" t="s">
        <v>186</v>
      </c>
      <c r="G176" s="1" t="s">
        <v>9</v>
      </c>
      <c r="H176" s="4">
        <v>26736</v>
      </c>
      <c r="I176" s="1">
        <f>5+2+25+3+2+16+2</f>
        <v>55</v>
      </c>
      <c r="K176" s="1" t="s">
        <v>988</v>
      </c>
      <c r="M176" s="1" t="s">
        <v>3276</v>
      </c>
    </row>
    <row r="177" spans="1:14" ht="30" x14ac:dyDescent="0.25">
      <c r="A177" s="1" t="s">
        <v>989</v>
      </c>
      <c r="B177" s="1" t="s">
        <v>77</v>
      </c>
      <c r="C177" s="1" t="s">
        <v>182</v>
      </c>
      <c r="D177" s="1" t="s">
        <v>990</v>
      </c>
      <c r="E177" s="4" t="s">
        <v>991</v>
      </c>
      <c r="F177" s="1" t="s">
        <v>6</v>
      </c>
      <c r="G177" s="1" t="s">
        <v>222</v>
      </c>
      <c r="H177" s="4">
        <v>26729</v>
      </c>
      <c r="I177" s="1">
        <f>47+19+6+12</f>
        <v>84</v>
      </c>
      <c r="K177" s="1" t="s">
        <v>998</v>
      </c>
      <c r="M177" s="1" t="s">
        <v>997</v>
      </c>
    </row>
    <row r="178" spans="1:14" ht="90" x14ac:dyDescent="0.25">
      <c r="A178" s="1" t="s">
        <v>989</v>
      </c>
      <c r="B178" s="1" t="s">
        <v>77</v>
      </c>
      <c r="C178" s="1" t="s">
        <v>53</v>
      </c>
      <c r="D178" s="1" t="s">
        <v>993</v>
      </c>
      <c r="E178" s="4" t="s">
        <v>992</v>
      </c>
      <c r="F178" s="1" t="s">
        <v>6</v>
      </c>
      <c r="G178" s="1" t="s">
        <v>215</v>
      </c>
      <c r="H178" s="4">
        <v>26716</v>
      </c>
      <c r="I178" s="1">
        <f>191+23+4+5</f>
        <v>223</v>
      </c>
      <c r="K178" s="1" t="s">
        <v>999</v>
      </c>
      <c r="M178" s="1" t="s">
        <v>3346</v>
      </c>
    </row>
    <row r="179" spans="1:14" ht="75" x14ac:dyDescent="0.25">
      <c r="A179" s="1" t="s">
        <v>994</v>
      </c>
      <c r="B179" s="1" t="s">
        <v>148</v>
      </c>
      <c r="C179" s="1" t="s">
        <v>67</v>
      </c>
      <c r="D179" s="1" t="s">
        <v>995</v>
      </c>
      <c r="E179" s="4" t="s">
        <v>996</v>
      </c>
      <c r="F179" s="1" t="s">
        <v>186</v>
      </c>
      <c r="G179" s="1" t="s">
        <v>9</v>
      </c>
      <c r="H179" s="4">
        <v>26742</v>
      </c>
      <c r="I179" s="1">
        <f>320+5+2+2+11+10+3+15</f>
        <v>368</v>
      </c>
      <c r="K179" s="1" t="s">
        <v>1000</v>
      </c>
      <c r="M179" s="1" t="s">
        <v>3277</v>
      </c>
      <c r="N179" s="1" t="s">
        <v>1091</v>
      </c>
    </row>
    <row r="180" spans="1:14" ht="45" x14ac:dyDescent="0.25">
      <c r="A180" s="1" t="s">
        <v>1001</v>
      </c>
      <c r="B180" s="1" t="s">
        <v>643</v>
      </c>
      <c r="C180" s="1" t="s">
        <v>26</v>
      </c>
      <c r="D180" s="1" t="s">
        <v>314</v>
      </c>
      <c r="E180" s="4" t="s">
        <v>532</v>
      </c>
      <c r="F180" s="1" t="s">
        <v>781</v>
      </c>
      <c r="G180" s="1" t="s">
        <v>20</v>
      </c>
      <c r="H180" s="4">
        <v>26712</v>
      </c>
      <c r="I180" s="1">
        <f>45+4+59+94</f>
        <v>202</v>
      </c>
      <c r="K180" s="1" t="s">
        <v>1010</v>
      </c>
      <c r="M180" s="1" t="s">
        <v>3278</v>
      </c>
    </row>
    <row r="181" spans="1:14" ht="60" x14ac:dyDescent="0.25">
      <c r="A181" s="1" t="s">
        <v>1002</v>
      </c>
      <c r="B181" s="1" t="s">
        <v>1003</v>
      </c>
      <c r="C181" s="1" t="s">
        <v>63</v>
      </c>
      <c r="D181" s="1" t="s">
        <v>1004</v>
      </c>
      <c r="E181" s="4" t="s">
        <v>1005</v>
      </c>
      <c r="F181" s="1" t="s">
        <v>6</v>
      </c>
      <c r="G181" s="1" t="s">
        <v>956</v>
      </c>
      <c r="H181" s="4">
        <v>24282</v>
      </c>
      <c r="I181" s="1">
        <f>15</f>
        <v>15</v>
      </c>
      <c r="K181" s="1" t="s">
        <v>1011</v>
      </c>
      <c r="M181" s="1" t="s">
        <v>1012</v>
      </c>
    </row>
    <row r="182" spans="1:14" ht="30" x14ac:dyDescent="0.25">
      <c r="A182" s="1" t="s">
        <v>1006</v>
      </c>
      <c r="B182" s="1" t="s">
        <v>369</v>
      </c>
      <c r="C182" s="1" t="s">
        <v>58</v>
      </c>
      <c r="D182" s="1" t="s">
        <v>995</v>
      </c>
      <c r="E182" s="4" t="s">
        <v>1007</v>
      </c>
      <c r="F182" s="1" t="s">
        <v>186</v>
      </c>
      <c r="G182" s="1" t="s">
        <v>9</v>
      </c>
      <c r="H182" s="4">
        <v>26756</v>
      </c>
      <c r="I182" s="1">
        <f>6+2+2+2</f>
        <v>12</v>
      </c>
      <c r="K182" s="1" t="s">
        <v>1016</v>
      </c>
      <c r="M182" s="1" t="s">
        <v>1013</v>
      </c>
      <c r="N182" s="1" t="s">
        <v>1106</v>
      </c>
    </row>
    <row r="183" spans="1:14" ht="75" x14ac:dyDescent="0.25">
      <c r="A183" s="1" t="s">
        <v>1008</v>
      </c>
      <c r="B183" s="1" t="s">
        <v>333</v>
      </c>
      <c r="C183" s="1" t="s">
        <v>32</v>
      </c>
      <c r="D183" s="1" t="s">
        <v>276</v>
      </c>
      <c r="E183" s="4" t="s">
        <v>1009</v>
      </c>
      <c r="F183" s="1" t="s">
        <v>489</v>
      </c>
      <c r="G183" s="1" t="s">
        <v>215</v>
      </c>
      <c r="H183" s="4">
        <v>27367</v>
      </c>
      <c r="I183" s="1">
        <f>36+2+4+26</f>
        <v>68</v>
      </c>
      <c r="K183" s="1" t="s">
        <v>1017</v>
      </c>
      <c r="M183" s="1" t="s">
        <v>3279</v>
      </c>
    </row>
    <row r="184" spans="1:14" ht="180" x14ac:dyDescent="0.25">
      <c r="A184" s="1" t="s">
        <v>1014</v>
      </c>
      <c r="B184" s="1" t="s">
        <v>635</v>
      </c>
      <c r="C184" s="1" t="s">
        <v>103</v>
      </c>
      <c r="D184" s="1" t="s">
        <v>857</v>
      </c>
      <c r="E184" s="4" t="s">
        <v>1015</v>
      </c>
      <c r="F184" s="1" t="s">
        <v>186</v>
      </c>
      <c r="G184" s="1" t="s">
        <v>9</v>
      </c>
      <c r="H184" s="4">
        <v>26571</v>
      </c>
      <c r="I184" s="1">
        <f>298+29+183+1+3+5+2+16+3+9+16+19+54+41+179+79+33</f>
        <v>970</v>
      </c>
      <c r="K184" s="1" t="s">
        <v>1018</v>
      </c>
      <c r="M184" s="1" t="s">
        <v>3280</v>
      </c>
      <c r="N184" s="17" t="s">
        <v>1107</v>
      </c>
    </row>
    <row r="185" spans="1:14" ht="30" x14ac:dyDescent="0.25">
      <c r="A185" s="1" t="s">
        <v>1019</v>
      </c>
      <c r="B185" s="1" t="s">
        <v>1020</v>
      </c>
      <c r="C185" s="1" t="s">
        <v>63</v>
      </c>
      <c r="D185" s="1" t="s">
        <v>857</v>
      </c>
      <c r="E185" s="4" t="s">
        <v>1021</v>
      </c>
      <c r="F185" s="1" t="s">
        <v>6</v>
      </c>
      <c r="G185" s="1" t="s">
        <v>222</v>
      </c>
      <c r="H185" s="4">
        <v>26757</v>
      </c>
      <c r="I185" s="1">
        <f>48</f>
        <v>48</v>
      </c>
      <c r="K185" s="1" t="s">
        <v>1022</v>
      </c>
      <c r="M185" s="1" t="s">
        <v>1031</v>
      </c>
    </row>
    <row r="186" spans="1:14" ht="60" x14ac:dyDescent="0.25">
      <c r="A186" s="1" t="s">
        <v>1023</v>
      </c>
      <c r="B186" s="1" t="s">
        <v>1024</v>
      </c>
      <c r="C186" s="1" t="s">
        <v>244</v>
      </c>
      <c r="D186" s="1" t="s">
        <v>647</v>
      </c>
      <c r="E186" s="4" t="s">
        <v>564</v>
      </c>
      <c r="F186" s="1" t="s">
        <v>186</v>
      </c>
      <c r="G186" s="1" t="s">
        <v>9</v>
      </c>
      <c r="H186" s="4">
        <v>26745</v>
      </c>
      <c r="I186" s="1">
        <f>322+12+2+4+3+12+9+4</f>
        <v>368</v>
      </c>
      <c r="K186" s="1" t="s">
        <v>1030</v>
      </c>
      <c r="M186" s="1" t="s">
        <v>1032</v>
      </c>
    </row>
    <row r="187" spans="1:14" ht="45" x14ac:dyDescent="0.25">
      <c r="A187" s="1" t="s">
        <v>1023</v>
      </c>
      <c r="B187" s="1" t="s">
        <v>1025</v>
      </c>
      <c r="C187" s="1" t="s">
        <v>123</v>
      </c>
      <c r="D187" s="1" t="s">
        <v>647</v>
      </c>
      <c r="E187" s="4" t="s">
        <v>1026</v>
      </c>
      <c r="F187" s="1" t="s">
        <v>186</v>
      </c>
      <c r="G187" s="1" t="s">
        <v>9</v>
      </c>
      <c r="H187" s="4">
        <v>26742</v>
      </c>
      <c r="I187" s="1">
        <f>288+9+2+9+8+4</f>
        <v>320</v>
      </c>
      <c r="K187" s="1" t="s">
        <v>1034</v>
      </c>
      <c r="M187" s="1" t="s">
        <v>1033</v>
      </c>
      <c r="N187" s="1" t="s">
        <v>1083</v>
      </c>
    </row>
    <row r="188" spans="1:14" ht="60" x14ac:dyDescent="0.25">
      <c r="A188" s="1" t="s">
        <v>1027</v>
      </c>
      <c r="B188" s="1" t="s">
        <v>77</v>
      </c>
      <c r="C188" s="1" t="s">
        <v>26</v>
      </c>
      <c r="D188" s="1" t="s">
        <v>314</v>
      </c>
      <c r="E188" s="4" t="s">
        <v>1028</v>
      </c>
      <c r="F188" s="1" t="s">
        <v>1029</v>
      </c>
      <c r="G188" s="1" t="s">
        <v>20</v>
      </c>
      <c r="I188" s="1">
        <f>26+2+76</f>
        <v>104</v>
      </c>
      <c r="K188" s="1" t="s">
        <v>1035</v>
      </c>
      <c r="M188" s="1" t="s">
        <v>3281</v>
      </c>
      <c r="N188" s="1" t="s">
        <v>1132</v>
      </c>
    </row>
    <row r="189" spans="1:14" ht="60" x14ac:dyDescent="0.25">
      <c r="A189" s="1" t="s">
        <v>1036</v>
      </c>
      <c r="B189" s="1" t="s">
        <v>635</v>
      </c>
      <c r="C189" s="1" t="s">
        <v>17</v>
      </c>
      <c r="D189" s="1" t="s">
        <v>210</v>
      </c>
      <c r="E189" s="4" t="s">
        <v>367</v>
      </c>
      <c r="F189" s="1" t="s">
        <v>6</v>
      </c>
      <c r="G189" s="1" t="s">
        <v>20</v>
      </c>
      <c r="H189" s="4" t="s">
        <v>652</v>
      </c>
      <c r="I189" s="1">
        <f>30+6+15+1+1+1+12+42</f>
        <v>108</v>
      </c>
      <c r="K189" s="1" t="s">
        <v>1037</v>
      </c>
      <c r="M189" s="1" t="s">
        <v>1038</v>
      </c>
    </row>
    <row r="190" spans="1:14" ht="30" x14ac:dyDescent="0.25">
      <c r="A190" s="1" t="s">
        <v>1039</v>
      </c>
      <c r="B190" s="1" t="s">
        <v>1040</v>
      </c>
      <c r="C190" s="1" t="s">
        <v>32</v>
      </c>
      <c r="D190" s="1" t="s">
        <v>227</v>
      </c>
      <c r="E190" s="4" t="s">
        <v>1041</v>
      </c>
      <c r="F190" s="1" t="s">
        <v>6</v>
      </c>
      <c r="G190" s="1" t="s">
        <v>222</v>
      </c>
      <c r="H190" s="4">
        <v>26758</v>
      </c>
      <c r="I190" s="1">
        <f>43+41+6+3</f>
        <v>93</v>
      </c>
      <c r="K190" s="1" t="s">
        <v>1042</v>
      </c>
      <c r="M190" s="1" t="s">
        <v>3282</v>
      </c>
    </row>
    <row r="191" spans="1:14" ht="105" x14ac:dyDescent="0.25">
      <c r="A191" s="1" t="s">
        <v>232</v>
      </c>
      <c r="B191" s="1" t="s">
        <v>226</v>
      </c>
      <c r="C191" s="1" t="s">
        <v>67</v>
      </c>
      <c r="D191" s="1" t="s">
        <v>703</v>
      </c>
      <c r="E191" s="4" t="s">
        <v>1043</v>
      </c>
      <c r="F191" s="1" t="s">
        <v>781</v>
      </c>
      <c r="G191" s="1" t="s">
        <v>20</v>
      </c>
      <c r="H191" s="4">
        <v>26758</v>
      </c>
      <c r="I191" s="1">
        <f>43+4+12+3+2+3+5+2+1+50+111</f>
        <v>236</v>
      </c>
      <c r="K191" s="1" t="s">
        <v>1046</v>
      </c>
      <c r="M191" s="1" t="s">
        <v>1047</v>
      </c>
      <c r="N191" s="1" t="s">
        <v>2811</v>
      </c>
    </row>
    <row r="192" spans="1:14" ht="45" x14ac:dyDescent="0.25">
      <c r="A192" s="1" t="s">
        <v>1044</v>
      </c>
      <c r="B192" s="1" t="s">
        <v>226</v>
      </c>
      <c r="D192" s="1" t="s">
        <v>857</v>
      </c>
      <c r="E192" s="4" t="s">
        <v>1045</v>
      </c>
      <c r="F192" s="1" t="s">
        <v>186</v>
      </c>
      <c r="G192" s="1" t="s">
        <v>9</v>
      </c>
      <c r="H192" s="4">
        <v>26742</v>
      </c>
      <c r="I192" s="1">
        <f>256+1+6+4+1+4+1+18+2+1</f>
        <v>294</v>
      </c>
      <c r="K192" s="1" t="s">
        <v>1048</v>
      </c>
      <c r="M192" s="1" t="s">
        <v>1049</v>
      </c>
    </row>
    <row r="193" spans="1:14" s="17" customFormat="1" ht="30" x14ac:dyDescent="0.25">
      <c r="A193" s="17" t="s">
        <v>1125</v>
      </c>
      <c r="B193" s="17" t="s">
        <v>981</v>
      </c>
      <c r="C193" s="17" t="s">
        <v>32</v>
      </c>
      <c r="E193" s="18" t="s">
        <v>1126</v>
      </c>
      <c r="H193" s="18"/>
    </row>
    <row r="194" spans="1:14" ht="75" x14ac:dyDescent="0.25">
      <c r="A194" s="1" t="s">
        <v>1050</v>
      </c>
      <c r="B194" s="1" t="s">
        <v>100</v>
      </c>
      <c r="C194" s="1" t="s">
        <v>953</v>
      </c>
      <c r="D194" s="1" t="s">
        <v>314</v>
      </c>
      <c r="E194" s="4" t="s">
        <v>614</v>
      </c>
      <c r="F194" s="1" t="s">
        <v>186</v>
      </c>
      <c r="G194" s="1" t="s">
        <v>20</v>
      </c>
      <c r="H194" s="4">
        <v>26743</v>
      </c>
      <c r="I194" s="1">
        <f>202+75+5+9+61+26+21+1+1+1</f>
        <v>402</v>
      </c>
      <c r="K194" s="1" t="s">
        <v>1051</v>
      </c>
      <c r="M194" s="1" t="s">
        <v>3283</v>
      </c>
      <c r="N194" s="1" t="s">
        <v>1372</v>
      </c>
    </row>
    <row r="195" spans="1:14" ht="75" x14ac:dyDescent="0.25">
      <c r="A195" s="1" t="s">
        <v>1052</v>
      </c>
      <c r="B195" s="1" t="s">
        <v>77</v>
      </c>
      <c r="C195" s="1" t="s">
        <v>53</v>
      </c>
      <c r="D195" s="1" t="s">
        <v>210</v>
      </c>
      <c r="E195" s="4" t="s">
        <v>778</v>
      </c>
      <c r="F195" s="1" t="s">
        <v>781</v>
      </c>
      <c r="G195" s="1" t="s">
        <v>20</v>
      </c>
      <c r="H195" s="4">
        <v>26731</v>
      </c>
      <c r="I195" s="1">
        <f>34+11+11+3+2+1+1+14+44+7+146</f>
        <v>274</v>
      </c>
      <c r="K195" s="1" t="s">
        <v>1060</v>
      </c>
      <c r="M195" s="1" t="s">
        <v>3284</v>
      </c>
      <c r="N195" s="1" t="s">
        <v>1066</v>
      </c>
    </row>
    <row r="196" spans="1:14" ht="60" x14ac:dyDescent="0.25">
      <c r="A196" s="1" t="s">
        <v>1053</v>
      </c>
      <c r="B196" s="1" t="s">
        <v>77</v>
      </c>
      <c r="D196" s="1" t="s">
        <v>647</v>
      </c>
      <c r="E196" s="4" t="s">
        <v>1054</v>
      </c>
      <c r="F196" s="1" t="s">
        <v>186</v>
      </c>
      <c r="G196" s="1" t="s">
        <v>9</v>
      </c>
      <c r="H196" s="4">
        <v>26733</v>
      </c>
      <c r="I196" s="1">
        <f>220+2+13+2+7+4+3</f>
        <v>251</v>
      </c>
      <c r="K196" s="1" t="s">
        <v>1061</v>
      </c>
      <c r="M196" s="1" t="s">
        <v>1067</v>
      </c>
    </row>
    <row r="197" spans="1:14" ht="60" x14ac:dyDescent="0.25">
      <c r="A197" s="1" t="s">
        <v>1055</v>
      </c>
      <c r="B197" s="1" t="s">
        <v>77</v>
      </c>
      <c r="C197" s="1" t="s">
        <v>953</v>
      </c>
      <c r="D197" s="1" t="s">
        <v>1056</v>
      </c>
      <c r="E197" s="4" t="s">
        <v>1057</v>
      </c>
      <c r="F197" s="1" t="s">
        <v>186</v>
      </c>
      <c r="G197" s="1" t="s">
        <v>9</v>
      </c>
      <c r="H197" s="4">
        <v>26742</v>
      </c>
      <c r="I197" s="1">
        <f>8+2+9+8+4</f>
        <v>31</v>
      </c>
      <c r="K197" s="1" t="s">
        <v>1062</v>
      </c>
      <c r="M197" s="1" t="s">
        <v>3285</v>
      </c>
      <c r="N197" s="1" t="s">
        <v>1070</v>
      </c>
    </row>
    <row r="198" spans="1:14" x14ac:dyDescent="0.25">
      <c r="A198" s="1" t="s">
        <v>1058</v>
      </c>
      <c r="B198" s="1" t="s">
        <v>77</v>
      </c>
      <c r="C198" s="1" t="s">
        <v>599</v>
      </c>
      <c r="D198" s="1" t="s">
        <v>289</v>
      </c>
      <c r="E198" s="4" t="s">
        <v>1059</v>
      </c>
      <c r="F198" s="1" t="s">
        <v>6</v>
      </c>
      <c r="G198" s="1" t="s">
        <v>222</v>
      </c>
      <c r="H198" s="4">
        <v>25289</v>
      </c>
      <c r="I198" s="1">
        <f>66+50</f>
        <v>116</v>
      </c>
      <c r="K198" s="1" t="s">
        <v>1063</v>
      </c>
      <c r="M198" s="1" t="s">
        <v>3286</v>
      </c>
      <c r="N198" s="1" t="s">
        <v>1068</v>
      </c>
    </row>
    <row r="199" spans="1:14" ht="45" x14ac:dyDescent="0.25">
      <c r="A199" s="1" t="s">
        <v>1058</v>
      </c>
      <c r="B199" s="1" t="s">
        <v>808</v>
      </c>
      <c r="D199" s="1" t="s">
        <v>647</v>
      </c>
      <c r="E199" s="4" t="s">
        <v>1026</v>
      </c>
      <c r="F199" s="1" t="s">
        <v>186</v>
      </c>
      <c r="G199" s="1" t="s">
        <v>9</v>
      </c>
      <c r="H199" s="4">
        <v>26742</v>
      </c>
      <c r="I199" s="1">
        <f>85+9+1+2+9+14+4</f>
        <v>124</v>
      </c>
      <c r="K199" s="1" t="s">
        <v>1064</v>
      </c>
      <c r="M199" s="1" t="s">
        <v>3287</v>
      </c>
      <c r="N199" s="1" t="s">
        <v>1069</v>
      </c>
    </row>
    <row r="200" spans="1:14" ht="60" x14ac:dyDescent="0.25">
      <c r="A200" s="1" t="s">
        <v>1071</v>
      </c>
      <c r="B200" s="1" t="s">
        <v>808</v>
      </c>
      <c r="C200" s="1" t="s">
        <v>113</v>
      </c>
      <c r="D200" s="1" t="s">
        <v>857</v>
      </c>
      <c r="E200" s="4" t="s">
        <v>564</v>
      </c>
      <c r="F200" s="1" t="s">
        <v>186</v>
      </c>
      <c r="G200" s="1" t="s">
        <v>9</v>
      </c>
      <c r="H200" s="4">
        <v>26743</v>
      </c>
      <c r="I200" s="1">
        <f>159+4+1+2+16+8+4</f>
        <v>194</v>
      </c>
      <c r="K200" s="1" t="s">
        <v>1077</v>
      </c>
      <c r="M200" s="1" t="s">
        <v>1076</v>
      </c>
      <c r="N200" s="1" t="s">
        <v>1082</v>
      </c>
    </row>
    <row r="201" spans="1:14" ht="45" x14ac:dyDescent="0.25">
      <c r="A201" s="1" t="s">
        <v>1072</v>
      </c>
      <c r="B201" s="1" t="s">
        <v>636</v>
      </c>
      <c r="C201" s="1" t="s">
        <v>103</v>
      </c>
      <c r="D201" s="1" t="s">
        <v>647</v>
      </c>
      <c r="E201" s="4" t="s">
        <v>515</v>
      </c>
      <c r="F201" s="1" t="s">
        <v>186</v>
      </c>
      <c r="G201" s="1" t="s">
        <v>9</v>
      </c>
      <c r="H201" s="4">
        <v>26714</v>
      </c>
      <c r="I201" s="1">
        <f>240+8+7+2+2+26+13+1</f>
        <v>299</v>
      </c>
      <c r="K201" s="1" t="s">
        <v>1078</v>
      </c>
      <c r="M201" s="1" t="s">
        <v>3288</v>
      </c>
      <c r="N201" s="1" t="s">
        <v>1080</v>
      </c>
    </row>
    <row r="202" spans="1:14" ht="60" x14ac:dyDescent="0.25">
      <c r="A202" s="1" t="s">
        <v>1073</v>
      </c>
      <c r="B202" s="1" t="s">
        <v>1074</v>
      </c>
      <c r="C202" s="1" t="s">
        <v>113</v>
      </c>
      <c r="D202" s="1" t="s">
        <v>348</v>
      </c>
      <c r="E202" s="4" t="s">
        <v>1075</v>
      </c>
      <c r="F202" s="1" t="s">
        <v>186</v>
      </c>
      <c r="G202" s="1" t="s">
        <v>9</v>
      </c>
      <c r="H202" s="4">
        <v>26733</v>
      </c>
      <c r="I202" s="1">
        <f>160+18+8+3+1+4+3+19+2+12+3+15</f>
        <v>248</v>
      </c>
      <c r="K202" s="1" t="s">
        <v>1079</v>
      </c>
      <c r="M202" s="1" t="s">
        <v>1081</v>
      </c>
    </row>
    <row r="203" spans="1:14" s="17" customFormat="1" ht="30" x14ac:dyDescent="0.25">
      <c r="A203" s="17" t="s">
        <v>1136</v>
      </c>
      <c r="B203" s="17" t="s">
        <v>1137</v>
      </c>
      <c r="C203" s="17" t="s">
        <v>72</v>
      </c>
      <c r="D203" s="17" t="s">
        <v>245</v>
      </c>
      <c r="E203" s="18" t="s">
        <v>1138</v>
      </c>
      <c r="F203" s="17" t="s">
        <v>6</v>
      </c>
      <c r="G203" s="17" t="s">
        <v>222</v>
      </c>
      <c r="H203" s="18">
        <v>26753</v>
      </c>
      <c r="I203" s="17">
        <f>40+5+47+4</f>
        <v>96</v>
      </c>
      <c r="K203" s="17" t="s">
        <v>1141</v>
      </c>
      <c r="M203" s="17" t="s">
        <v>1142</v>
      </c>
    </row>
    <row r="204" spans="1:14" ht="210" x14ac:dyDescent="0.25">
      <c r="A204" s="1" t="s">
        <v>1139</v>
      </c>
      <c r="B204" s="1" t="s">
        <v>77</v>
      </c>
      <c r="C204" s="1" t="s">
        <v>412</v>
      </c>
      <c r="D204" s="1" t="s">
        <v>366</v>
      </c>
      <c r="E204" s="4" t="s">
        <v>1140</v>
      </c>
      <c r="F204" s="1" t="s">
        <v>186</v>
      </c>
      <c r="G204" s="1" t="s">
        <v>9</v>
      </c>
      <c r="H204" s="4">
        <v>26751</v>
      </c>
      <c r="I204" s="1">
        <f>602+6+1+2+5+22+30+2+2+5+4+3+6+6+10+4+1+3+9+770</f>
        <v>1493</v>
      </c>
      <c r="K204" s="1" t="s">
        <v>1143</v>
      </c>
      <c r="M204" s="1" t="s">
        <v>3289</v>
      </c>
    </row>
    <row r="205" spans="1:14" s="17" customFormat="1" ht="45" x14ac:dyDescent="0.25">
      <c r="A205" s="17" t="s">
        <v>1139</v>
      </c>
      <c r="B205" s="17" t="s">
        <v>100</v>
      </c>
      <c r="C205" s="17" t="s">
        <v>58</v>
      </c>
      <c r="D205" s="17" t="s">
        <v>314</v>
      </c>
      <c r="E205" s="18" t="s">
        <v>3148</v>
      </c>
      <c r="G205" s="17" t="s">
        <v>20</v>
      </c>
      <c r="H205" s="18">
        <v>26749</v>
      </c>
      <c r="I205" s="17">
        <f>41+6+96+37</f>
        <v>180</v>
      </c>
      <c r="K205" s="17" t="s">
        <v>3147</v>
      </c>
      <c r="M205" s="17" t="s">
        <v>3149</v>
      </c>
    </row>
    <row r="206" spans="1:14" ht="90" x14ac:dyDescent="0.25">
      <c r="A206" s="1" t="s">
        <v>1144</v>
      </c>
      <c r="B206" s="1" t="s">
        <v>162</v>
      </c>
      <c r="C206" s="1" t="s">
        <v>72</v>
      </c>
      <c r="D206" s="1" t="s">
        <v>101</v>
      </c>
      <c r="E206" s="4" t="s">
        <v>878</v>
      </c>
      <c r="F206" s="1" t="s">
        <v>186</v>
      </c>
      <c r="G206" s="1" t="s">
        <v>9</v>
      </c>
      <c r="H206" s="4">
        <v>26744</v>
      </c>
      <c r="I206" s="1">
        <f>222+5+2+2+5+8+3+6+14+11+2</f>
        <v>280</v>
      </c>
      <c r="K206" s="1" t="s">
        <v>1146</v>
      </c>
      <c r="M206" s="1" t="s">
        <v>3290</v>
      </c>
    </row>
    <row r="207" spans="1:14" ht="75" x14ac:dyDescent="0.25">
      <c r="A207" s="1" t="s">
        <v>1145</v>
      </c>
      <c r="B207" s="1" t="s">
        <v>226</v>
      </c>
      <c r="C207" s="1" t="s">
        <v>72</v>
      </c>
      <c r="D207" s="1" t="s">
        <v>101</v>
      </c>
      <c r="E207" s="4" t="s">
        <v>859</v>
      </c>
      <c r="F207" s="1" t="s">
        <v>186</v>
      </c>
      <c r="G207" s="1" t="s">
        <v>9</v>
      </c>
      <c r="H207" s="4">
        <v>26742</v>
      </c>
      <c r="I207" s="1">
        <f>289+10+3+4+3+5+25+6+4+10</f>
        <v>359</v>
      </c>
      <c r="K207" s="1" t="s">
        <v>1147</v>
      </c>
      <c r="M207" s="1" t="s">
        <v>3291</v>
      </c>
    </row>
    <row r="208" spans="1:14" ht="60" x14ac:dyDescent="0.25">
      <c r="A208" s="1" t="s">
        <v>1148</v>
      </c>
      <c r="B208" s="1" t="s">
        <v>354</v>
      </c>
      <c r="C208" s="1" t="s">
        <v>412</v>
      </c>
      <c r="D208" s="1" t="s">
        <v>348</v>
      </c>
      <c r="E208" s="4" t="s">
        <v>1149</v>
      </c>
      <c r="F208" s="1" t="s">
        <v>186</v>
      </c>
      <c r="G208" s="1" t="s">
        <v>9</v>
      </c>
      <c r="H208" s="4">
        <v>26716</v>
      </c>
      <c r="I208" s="1">
        <f>540+23+1+2+19+20</f>
        <v>605</v>
      </c>
      <c r="K208" s="1" t="s">
        <v>1152</v>
      </c>
      <c r="M208" s="1" t="s">
        <v>1157</v>
      </c>
    </row>
    <row r="209" spans="1:15" ht="45" x14ac:dyDescent="0.25">
      <c r="A209" s="1" t="s">
        <v>269</v>
      </c>
      <c r="B209" s="1" t="s">
        <v>148</v>
      </c>
      <c r="C209" s="1" t="s">
        <v>32</v>
      </c>
      <c r="D209" s="1" t="s">
        <v>101</v>
      </c>
      <c r="E209" s="4" t="s">
        <v>729</v>
      </c>
      <c r="F209" s="1" t="s">
        <v>186</v>
      </c>
      <c r="G209" s="1" t="s">
        <v>9</v>
      </c>
      <c r="H209" s="4">
        <v>26757</v>
      </c>
      <c r="I209" s="1">
        <f>76+3+2+3+11+3+5</f>
        <v>103</v>
      </c>
      <c r="K209" s="1" t="s">
        <v>1154</v>
      </c>
      <c r="M209" s="1" t="s">
        <v>1158</v>
      </c>
    </row>
    <row r="210" spans="1:15" ht="45" x14ac:dyDescent="0.25">
      <c r="A210" s="1" t="s">
        <v>847</v>
      </c>
      <c r="B210" s="1" t="s">
        <v>1150</v>
      </c>
      <c r="C210" s="1" t="s">
        <v>953</v>
      </c>
      <c r="D210" s="1" t="s">
        <v>227</v>
      </c>
      <c r="E210" s="4" t="s">
        <v>1151</v>
      </c>
      <c r="F210" s="1" t="s">
        <v>6</v>
      </c>
      <c r="G210" s="1" t="s">
        <v>222</v>
      </c>
      <c r="H210" s="4">
        <v>26759</v>
      </c>
      <c r="I210" s="1">
        <f>33+3+59+4+10</f>
        <v>109</v>
      </c>
      <c r="K210" s="1" t="s">
        <v>1155</v>
      </c>
      <c r="M210" s="1" t="s">
        <v>3292</v>
      </c>
      <c r="O210" s="1" t="s">
        <v>1739</v>
      </c>
    </row>
    <row r="211" spans="1:15" ht="60" x14ac:dyDescent="0.25">
      <c r="A211" s="1" t="s">
        <v>1153</v>
      </c>
      <c r="B211" s="1" t="s">
        <v>771</v>
      </c>
      <c r="C211" s="1" t="s">
        <v>67</v>
      </c>
      <c r="D211" s="1" t="s">
        <v>567</v>
      </c>
      <c r="E211" s="4" t="s">
        <v>623</v>
      </c>
      <c r="F211" s="1" t="s">
        <v>6</v>
      </c>
      <c r="G211" s="1" t="s">
        <v>20</v>
      </c>
      <c r="I211" s="1">
        <f>35+4+62+7+1</f>
        <v>109</v>
      </c>
      <c r="K211" s="1" t="s">
        <v>1156</v>
      </c>
      <c r="M211" s="1" t="s">
        <v>1159</v>
      </c>
    </row>
    <row r="212" spans="1:15" ht="45" x14ac:dyDescent="0.25">
      <c r="A212" s="1" t="s">
        <v>1160</v>
      </c>
      <c r="B212" s="1" t="s">
        <v>808</v>
      </c>
      <c r="C212" s="1" t="s">
        <v>58</v>
      </c>
      <c r="D212" s="1" t="s">
        <v>101</v>
      </c>
      <c r="E212" s="4" t="s">
        <v>888</v>
      </c>
      <c r="F212" s="1" t="s">
        <v>186</v>
      </c>
      <c r="G212" s="1" t="s">
        <v>9</v>
      </c>
      <c r="H212" s="4">
        <v>26756</v>
      </c>
      <c r="I212" s="1">
        <f>301+35+6+3+3+2+4+12</f>
        <v>366</v>
      </c>
      <c r="K212" s="1" t="s">
        <v>1164</v>
      </c>
      <c r="M212" s="1" t="s">
        <v>3293</v>
      </c>
    </row>
    <row r="213" spans="1:15" ht="60" x14ac:dyDescent="0.25">
      <c r="A213" s="1" t="s">
        <v>1161</v>
      </c>
      <c r="B213" s="1" t="s">
        <v>1162</v>
      </c>
      <c r="C213" s="1" t="s">
        <v>716</v>
      </c>
      <c r="D213" s="1" t="s">
        <v>260</v>
      </c>
      <c r="E213" s="4" t="s">
        <v>1163</v>
      </c>
      <c r="F213" s="1" t="s">
        <v>6</v>
      </c>
      <c r="G213" s="1" t="s">
        <v>215</v>
      </c>
      <c r="H213" s="4">
        <v>26743</v>
      </c>
      <c r="I213" s="1">
        <f>48+4+3+34</f>
        <v>89</v>
      </c>
      <c r="K213" s="1" t="s">
        <v>1165</v>
      </c>
      <c r="M213" s="1" t="s">
        <v>3294</v>
      </c>
    </row>
    <row r="214" spans="1:15" ht="60" x14ac:dyDescent="0.25">
      <c r="A214" s="1" t="s">
        <v>3104</v>
      </c>
      <c r="B214" s="1" t="s">
        <v>100</v>
      </c>
      <c r="C214" s="1" t="s">
        <v>123</v>
      </c>
      <c r="D214" s="1" t="s">
        <v>703</v>
      </c>
      <c r="E214" s="4" t="s">
        <v>1166</v>
      </c>
      <c r="F214" s="1" t="s">
        <v>186</v>
      </c>
      <c r="G214" s="1" t="s">
        <v>20</v>
      </c>
      <c r="H214" s="4">
        <v>25422</v>
      </c>
      <c r="I214" s="1">
        <f>664+36+8+217</f>
        <v>925</v>
      </c>
      <c r="K214" s="1" t="s">
        <v>1168</v>
      </c>
      <c r="M214" s="1" t="s">
        <v>1167</v>
      </c>
    </row>
    <row r="215" spans="1:15" s="17" customFormat="1" ht="30" x14ac:dyDescent="0.25">
      <c r="A215" s="17" t="s">
        <v>1169</v>
      </c>
      <c r="B215" s="17" t="s">
        <v>777</v>
      </c>
      <c r="C215" s="17" t="s">
        <v>123</v>
      </c>
      <c r="D215" s="17" t="s">
        <v>201</v>
      </c>
      <c r="E215" s="18" t="s">
        <v>1170</v>
      </c>
      <c r="F215" s="17" t="s">
        <v>386</v>
      </c>
      <c r="G215" s="17" t="s">
        <v>222</v>
      </c>
      <c r="H215" s="18"/>
      <c r="I215" s="17">
        <v>5</v>
      </c>
      <c r="K215" s="17" t="s">
        <v>1175</v>
      </c>
      <c r="M215" s="17" t="s">
        <v>1184</v>
      </c>
    </row>
    <row r="216" spans="1:15" ht="90" x14ac:dyDescent="0.25">
      <c r="A216" s="1" t="s">
        <v>1171</v>
      </c>
      <c r="B216" s="1" t="s">
        <v>100</v>
      </c>
      <c r="C216" s="1" t="s">
        <v>599</v>
      </c>
      <c r="D216" s="1" t="s">
        <v>567</v>
      </c>
      <c r="E216" s="4" t="s">
        <v>1172</v>
      </c>
      <c r="F216" s="1" t="s">
        <v>781</v>
      </c>
      <c r="G216" s="1" t="s">
        <v>20</v>
      </c>
      <c r="I216" s="1">
        <f>59+4+24+4+76+115</f>
        <v>282</v>
      </c>
      <c r="K216" s="1" t="s">
        <v>1176</v>
      </c>
      <c r="M216" s="1" t="s">
        <v>1185</v>
      </c>
    </row>
    <row r="217" spans="1:15" ht="45" x14ac:dyDescent="0.25">
      <c r="A217" s="1" t="s">
        <v>1173</v>
      </c>
      <c r="B217" s="1" t="s">
        <v>148</v>
      </c>
      <c r="C217" s="1" t="s">
        <v>58</v>
      </c>
      <c r="D217" s="1" t="s">
        <v>348</v>
      </c>
      <c r="E217" s="4" t="s">
        <v>1174</v>
      </c>
      <c r="F217" s="1" t="s">
        <v>186</v>
      </c>
      <c r="G217" s="1" t="s">
        <v>9</v>
      </c>
      <c r="H217" s="4">
        <v>26757</v>
      </c>
      <c r="I217" s="1">
        <f>259+7+2+3+5+17</f>
        <v>293</v>
      </c>
      <c r="K217" s="1" t="s">
        <v>1177</v>
      </c>
      <c r="M217" s="1" t="s">
        <v>1186</v>
      </c>
    </row>
    <row r="218" spans="1:15" ht="165" x14ac:dyDescent="0.25">
      <c r="A218" s="1" t="s">
        <v>1178</v>
      </c>
      <c r="B218" s="1" t="s">
        <v>457</v>
      </c>
      <c r="C218" s="1" t="s">
        <v>26</v>
      </c>
      <c r="D218" s="1" t="s">
        <v>366</v>
      </c>
      <c r="E218" s="4" t="s">
        <v>1180</v>
      </c>
      <c r="F218" s="1" t="s">
        <v>186</v>
      </c>
      <c r="G218" s="1" t="s">
        <v>9</v>
      </c>
      <c r="H218" s="4">
        <v>26735</v>
      </c>
      <c r="I218" s="1">
        <f>252+54+7+35+17+2+1+3+3+2+1+5+5+3+5+2</f>
        <v>397</v>
      </c>
      <c r="K218" s="1" t="s">
        <v>1182</v>
      </c>
      <c r="M218" s="1" t="s">
        <v>3295</v>
      </c>
    </row>
    <row r="219" spans="1:15" ht="60" x14ac:dyDescent="0.25">
      <c r="A219" s="1" t="s">
        <v>1179</v>
      </c>
      <c r="B219" s="1" t="s">
        <v>616</v>
      </c>
      <c r="C219" s="1" t="s">
        <v>72</v>
      </c>
      <c r="D219" s="1" t="s">
        <v>703</v>
      </c>
      <c r="E219" s="4" t="s">
        <v>1181</v>
      </c>
      <c r="F219" s="1" t="s">
        <v>781</v>
      </c>
      <c r="G219" s="1" t="s">
        <v>20</v>
      </c>
      <c r="I219" s="1">
        <f>44+9+2+2+4+38+10+265</f>
        <v>374</v>
      </c>
      <c r="K219" s="1" t="s">
        <v>1183</v>
      </c>
      <c r="M219" s="1" t="s">
        <v>3296</v>
      </c>
      <c r="N219" s="1" t="s">
        <v>1744</v>
      </c>
    </row>
    <row r="220" spans="1:15" ht="150" x14ac:dyDescent="0.25">
      <c r="A220" s="1" t="s">
        <v>1187</v>
      </c>
      <c r="B220" s="1" t="s">
        <v>469</v>
      </c>
      <c r="C220" s="1" t="s">
        <v>72</v>
      </c>
      <c r="D220" s="1" t="s">
        <v>314</v>
      </c>
      <c r="E220" s="4" t="s">
        <v>1188</v>
      </c>
      <c r="F220" s="1" t="s">
        <v>781</v>
      </c>
      <c r="G220" s="1" t="s">
        <v>20</v>
      </c>
      <c r="I220" s="1">
        <f>28+4+1+2+1+7+18+2+50+1+17+63+311</f>
        <v>505</v>
      </c>
      <c r="K220" s="1" t="s">
        <v>1189</v>
      </c>
      <c r="M220" s="1" t="s">
        <v>3297</v>
      </c>
    </row>
    <row r="221" spans="1:15" ht="45" x14ac:dyDescent="0.25">
      <c r="A221" s="1" t="s">
        <v>1190</v>
      </c>
      <c r="B221" s="1" t="s">
        <v>616</v>
      </c>
      <c r="C221" s="1" t="s">
        <v>63</v>
      </c>
      <c r="D221" s="1" t="s">
        <v>348</v>
      </c>
      <c r="E221" s="4" t="s">
        <v>1191</v>
      </c>
      <c r="F221" s="1" t="s">
        <v>186</v>
      </c>
      <c r="G221" s="1" t="s">
        <v>9</v>
      </c>
      <c r="H221" s="4">
        <v>26757</v>
      </c>
      <c r="I221" s="1">
        <f>101+2+5+5</f>
        <v>113</v>
      </c>
      <c r="K221" s="1" t="s">
        <v>1192</v>
      </c>
      <c r="M221" s="1" t="s">
        <v>1193</v>
      </c>
    </row>
    <row r="222" spans="1:15" ht="75" x14ac:dyDescent="0.25">
      <c r="A222" s="1" t="s">
        <v>1194</v>
      </c>
      <c r="B222" s="1" t="s">
        <v>1195</v>
      </c>
      <c r="C222" s="1" t="s">
        <v>32</v>
      </c>
      <c r="D222" s="1" t="s">
        <v>703</v>
      </c>
      <c r="E222" s="4" t="s">
        <v>1196</v>
      </c>
      <c r="F222" s="1" t="s">
        <v>186</v>
      </c>
      <c r="G222" s="1" t="s">
        <v>20</v>
      </c>
      <c r="H222" s="4">
        <v>26592</v>
      </c>
      <c r="I222" s="1">
        <f>82+136+61+16+8+11+54+207</f>
        <v>575</v>
      </c>
      <c r="K222" s="1" t="s">
        <v>1197</v>
      </c>
      <c r="M222" s="1" t="s">
        <v>3298</v>
      </c>
    </row>
    <row r="223" spans="1:15" ht="105" x14ac:dyDescent="0.25">
      <c r="A223" s="1" t="s">
        <v>1198</v>
      </c>
      <c r="B223" s="1" t="s">
        <v>100</v>
      </c>
      <c r="C223" s="1" t="s">
        <v>113</v>
      </c>
      <c r="D223" s="1" t="s">
        <v>1199</v>
      </c>
      <c r="E223" s="4" t="s">
        <v>1200</v>
      </c>
      <c r="F223" s="1" t="s">
        <v>186</v>
      </c>
      <c r="G223" s="1" t="s">
        <v>1201</v>
      </c>
      <c r="H223" s="4">
        <v>26752</v>
      </c>
      <c r="I223" s="1">
        <f>27+49+28+22+79+64+174+403+7+1</f>
        <v>854</v>
      </c>
      <c r="K223" s="1" t="s">
        <v>1202</v>
      </c>
      <c r="M223" s="1" t="s">
        <v>3299</v>
      </c>
    </row>
    <row r="224" spans="1:15" ht="135" x14ac:dyDescent="0.25">
      <c r="A224" s="10" t="s">
        <v>1198</v>
      </c>
      <c r="B224" s="1" t="s">
        <v>100</v>
      </c>
      <c r="C224" s="1" t="s">
        <v>113</v>
      </c>
      <c r="D224" s="1" t="s">
        <v>1199</v>
      </c>
      <c r="E224" s="4" t="s">
        <v>1200</v>
      </c>
      <c r="G224" s="1" t="s">
        <v>1201</v>
      </c>
      <c r="I224" s="1">
        <f>209+145+125+109</f>
        <v>588</v>
      </c>
      <c r="K224" s="1" t="s">
        <v>1203</v>
      </c>
      <c r="M224" s="1" t="s">
        <v>3300</v>
      </c>
    </row>
    <row r="225" spans="1:14" ht="75" x14ac:dyDescent="0.25">
      <c r="A225" s="10" t="s">
        <v>1198</v>
      </c>
      <c r="B225" s="1" t="s">
        <v>100</v>
      </c>
      <c r="C225" s="1" t="s">
        <v>113</v>
      </c>
      <c r="D225" s="1" t="s">
        <v>1199</v>
      </c>
      <c r="E225" s="4" t="s">
        <v>1200</v>
      </c>
      <c r="G225" s="1" t="s">
        <v>1201</v>
      </c>
      <c r="I225" s="1">
        <f>188+165+216</f>
        <v>569</v>
      </c>
      <c r="K225" s="1" t="s">
        <v>1205</v>
      </c>
      <c r="M225" s="1" t="s">
        <v>3301</v>
      </c>
    </row>
    <row r="226" spans="1:14" ht="60" x14ac:dyDescent="0.25">
      <c r="A226" s="1" t="s">
        <v>1206</v>
      </c>
      <c r="B226" s="1" t="s">
        <v>369</v>
      </c>
      <c r="C226" s="1" t="s">
        <v>67</v>
      </c>
      <c r="D226" s="1" t="s">
        <v>101</v>
      </c>
      <c r="E226" s="4" t="s">
        <v>1207</v>
      </c>
      <c r="F226" s="1" t="s">
        <v>186</v>
      </c>
      <c r="G226" s="1" t="s">
        <v>9</v>
      </c>
      <c r="H226" s="4">
        <v>26756</v>
      </c>
      <c r="I226" s="1">
        <f>270+1+10+4+3+4+12+2+8+9</f>
        <v>323</v>
      </c>
      <c r="K226" s="1" t="s">
        <v>1208</v>
      </c>
      <c r="M226" s="1" t="s">
        <v>3302</v>
      </c>
    </row>
    <row r="227" spans="1:14" ht="75" x14ac:dyDescent="0.25">
      <c r="A227" s="1" t="s">
        <v>1209</v>
      </c>
      <c r="B227" s="1" t="s">
        <v>563</v>
      </c>
      <c r="C227" s="1" t="s">
        <v>192</v>
      </c>
      <c r="D227" s="1" t="s">
        <v>101</v>
      </c>
      <c r="E227" s="4" t="s">
        <v>286</v>
      </c>
      <c r="F227" s="1" t="s">
        <v>186</v>
      </c>
      <c r="G227" s="1" t="s">
        <v>9</v>
      </c>
      <c r="H227" s="4">
        <v>26712</v>
      </c>
      <c r="I227" s="1">
        <f>80+4+3+2+8+2+6+2</f>
        <v>107</v>
      </c>
      <c r="K227" s="1" t="s">
        <v>1211</v>
      </c>
      <c r="M227" s="1" t="s">
        <v>1216</v>
      </c>
    </row>
    <row r="228" spans="1:14" ht="60" x14ac:dyDescent="0.25">
      <c r="A228" s="1" t="s">
        <v>1210</v>
      </c>
      <c r="B228" s="1" t="s">
        <v>83</v>
      </c>
      <c r="C228" s="1" t="s">
        <v>32</v>
      </c>
      <c r="D228" s="1" t="s">
        <v>348</v>
      </c>
      <c r="E228" s="4" t="s">
        <v>328</v>
      </c>
      <c r="F228" s="1" t="s">
        <v>186</v>
      </c>
      <c r="G228" s="1" t="s">
        <v>9</v>
      </c>
      <c r="H228" s="4">
        <v>26744</v>
      </c>
      <c r="I228" s="1">
        <f>250+2+9+2+3+4+9</f>
        <v>279</v>
      </c>
      <c r="K228" s="1" t="s">
        <v>1212</v>
      </c>
      <c r="M228" s="1" t="s">
        <v>1217</v>
      </c>
    </row>
    <row r="229" spans="1:14" ht="75" x14ac:dyDescent="0.25">
      <c r="A229" s="1" t="s">
        <v>1213</v>
      </c>
      <c r="B229" s="1" t="s">
        <v>1214</v>
      </c>
      <c r="C229" s="1" t="s">
        <v>953</v>
      </c>
      <c r="D229" s="1" t="s">
        <v>553</v>
      </c>
      <c r="E229" s="4" t="s">
        <v>586</v>
      </c>
      <c r="F229" s="1" t="s">
        <v>186</v>
      </c>
      <c r="G229" s="1" t="s">
        <v>9</v>
      </c>
      <c r="H229" s="4">
        <v>26733</v>
      </c>
      <c r="I229" s="1">
        <f>575+3+3+5+2+1+1+8+2+14</f>
        <v>614</v>
      </c>
      <c r="K229" s="1" t="s">
        <v>1215</v>
      </c>
      <c r="M229" s="1" t="s">
        <v>3303</v>
      </c>
    </row>
    <row r="230" spans="1:14" ht="30" x14ac:dyDescent="0.25">
      <c r="A230" s="1" t="s">
        <v>1218</v>
      </c>
      <c r="B230" s="1" t="s">
        <v>163</v>
      </c>
      <c r="C230" s="1" t="s">
        <v>113</v>
      </c>
      <c r="D230" s="1" t="s">
        <v>567</v>
      </c>
      <c r="E230" s="4" t="s">
        <v>1219</v>
      </c>
      <c r="F230" s="1" t="s">
        <v>6</v>
      </c>
      <c r="G230" s="1" t="s">
        <v>20</v>
      </c>
      <c r="I230" s="1">
        <f>22+4+4+38</f>
        <v>68</v>
      </c>
      <c r="K230" s="1" t="s">
        <v>1224</v>
      </c>
      <c r="M230" s="1" t="s">
        <v>1227</v>
      </c>
      <c r="N230" s="1" t="s">
        <v>1373</v>
      </c>
    </row>
    <row r="231" spans="1:14" ht="45" x14ac:dyDescent="0.25">
      <c r="A231" s="1" t="s">
        <v>1220</v>
      </c>
      <c r="B231" s="1" t="s">
        <v>684</v>
      </c>
      <c r="C231" s="1" t="s">
        <v>58</v>
      </c>
      <c r="D231" s="1" t="s">
        <v>101</v>
      </c>
      <c r="E231" s="4" t="s">
        <v>1221</v>
      </c>
      <c r="F231" s="1" t="s">
        <v>186</v>
      </c>
      <c r="G231" s="1" t="s">
        <v>9</v>
      </c>
      <c r="H231" s="4">
        <v>26714</v>
      </c>
      <c r="I231" s="1">
        <f>63+2+2+2+4</f>
        <v>73</v>
      </c>
      <c r="K231" s="1" t="s">
        <v>1225</v>
      </c>
      <c r="M231" s="1" t="s">
        <v>3304</v>
      </c>
    </row>
    <row r="232" spans="1:14" ht="45" x14ac:dyDescent="0.25">
      <c r="A232" s="1" t="s">
        <v>885</v>
      </c>
      <c r="B232" s="1" t="s">
        <v>1222</v>
      </c>
      <c r="C232" s="1" t="s">
        <v>72</v>
      </c>
      <c r="D232" s="1" t="s">
        <v>703</v>
      </c>
      <c r="E232" s="4" t="s">
        <v>1223</v>
      </c>
      <c r="F232" s="1" t="s">
        <v>781</v>
      </c>
      <c r="G232" s="1" t="s">
        <v>20</v>
      </c>
      <c r="I232" s="1">
        <f>66+4+78+114</f>
        <v>262</v>
      </c>
      <c r="K232" s="1" t="s">
        <v>1226</v>
      </c>
      <c r="M232" s="1" t="s">
        <v>3305</v>
      </c>
    </row>
    <row r="233" spans="1:14" s="17" customFormat="1" x14ac:dyDescent="0.25">
      <c r="A233" s="17" t="s">
        <v>885</v>
      </c>
      <c r="B233" s="17" t="s">
        <v>140</v>
      </c>
      <c r="C233" s="17" t="s">
        <v>412</v>
      </c>
      <c r="D233" s="17" t="s">
        <v>1522</v>
      </c>
      <c r="E233" s="18" t="s">
        <v>1523</v>
      </c>
      <c r="F233" s="17" t="s">
        <v>386</v>
      </c>
      <c r="H233" s="18"/>
      <c r="M233" s="17" t="s">
        <v>1524</v>
      </c>
    </row>
    <row r="234" spans="1:14" ht="150" x14ac:dyDescent="0.25">
      <c r="A234" s="1" t="s">
        <v>1228</v>
      </c>
      <c r="B234" s="1" t="s">
        <v>1229</v>
      </c>
      <c r="C234" s="1" t="s">
        <v>103</v>
      </c>
      <c r="D234" s="1" t="s">
        <v>703</v>
      </c>
      <c r="E234" s="4" t="s">
        <v>1230</v>
      </c>
      <c r="F234" s="1" t="s">
        <v>1236</v>
      </c>
      <c r="G234" s="1" t="s">
        <v>20</v>
      </c>
      <c r="H234" s="4">
        <v>26742</v>
      </c>
      <c r="I234" s="1">
        <f>145+60+18+3+1+1+1+1+1+15+22+36+208+1</f>
        <v>513</v>
      </c>
      <c r="K234" s="1" t="s">
        <v>1231</v>
      </c>
      <c r="M234" s="1" t="s">
        <v>3306</v>
      </c>
    </row>
    <row r="235" spans="1:14" ht="120" x14ac:dyDescent="0.25">
      <c r="A235" s="1" t="s">
        <v>1233</v>
      </c>
      <c r="B235" s="1" t="s">
        <v>1234</v>
      </c>
      <c r="C235" s="1" t="s">
        <v>63</v>
      </c>
      <c r="D235" s="1" t="s">
        <v>990</v>
      </c>
      <c r="E235" s="4" t="s">
        <v>45</v>
      </c>
      <c r="F235" s="1" t="s">
        <v>1235</v>
      </c>
      <c r="G235" s="1" t="s">
        <v>222</v>
      </c>
      <c r="I235" s="1">
        <f>15+6+3+4+1</f>
        <v>29</v>
      </c>
      <c r="K235" s="1" t="s">
        <v>1232</v>
      </c>
      <c r="M235" s="1" t="s">
        <v>2026</v>
      </c>
    </row>
    <row r="236" spans="1:14" ht="120" x14ac:dyDescent="0.25">
      <c r="A236" s="1" t="s">
        <v>1237</v>
      </c>
      <c r="B236" s="1" t="s">
        <v>1238</v>
      </c>
      <c r="C236" s="1" t="s">
        <v>67</v>
      </c>
      <c r="D236" s="1" t="s">
        <v>553</v>
      </c>
      <c r="E236" s="4" t="s">
        <v>1239</v>
      </c>
      <c r="F236" s="1" t="s">
        <v>186</v>
      </c>
      <c r="G236" s="1" t="s">
        <v>9</v>
      </c>
      <c r="H236" s="4">
        <v>26751</v>
      </c>
      <c r="I236" s="1">
        <f>310+3+1+19+2+9+36+2+2+1+3+19+1+18+1+78+5+1</f>
        <v>511</v>
      </c>
      <c r="K236" s="1" t="s">
        <v>1240</v>
      </c>
      <c r="M236" s="1" t="s">
        <v>3307</v>
      </c>
      <c r="N236" s="1" t="s">
        <v>1746</v>
      </c>
    </row>
    <row r="237" spans="1:14" ht="45" x14ac:dyDescent="0.25">
      <c r="A237" s="1" t="s">
        <v>1241</v>
      </c>
      <c r="B237" s="1" t="s">
        <v>116</v>
      </c>
      <c r="C237" s="1" t="s">
        <v>63</v>
      </c>
      <c r="D237" s="1" t="s">
        <v>796</v>
      </c>
      <c r="E237" s="4" t="s">
        <v>211</v>
      </c>
      <c r="F237" s="1" t="s">
        <v>186</v>
      </c>
      <c r="G237" s="1" t="s">
        <v>9</v>
      </c>
      <c r="H237" s="4">
        <v>26753</v>
      </c>
      <c r="I237" s="1">
        <f>130+11+4+6+7+3+8+33</f>
        <v>202</v>
      </c>
      <c r="K237" s="1" t="s">
        <v>1242</v>
      </c>
      <c r="M237" s="1" t="s">
        <v>1243</v>
      </c>
    </row>
    <row r="238" spans="1:14" ht="30" x14ac:dyDescent="0.25">
      <c r="A238" s="1" t="s">
        <v>1244</v>
      </c>
      <c r="B238" s="1" t="s">
        <v>1245</v>
      </c>
      <c r="C238" s="1" t="s">
        <v>58</v>
      </c>
      <c r="D238" s="1" t="s">
        <v>245</v>
      </c>
      <c r="E238" s="4" t="s">
        <v>246</v>
      </c>
      <c r="F238" s="1" t="s">
        <v>6</v>
      </c>
      <c r="G238" s="1" t="s">
        <v>222</v>
      </c>
      <c r="H238" s="4">
        <v>26738</v>
      </c>
      <c r="I238" s="1">
        <f>45+42+4</f>
        <v>91</v>
      </c>
      <c r="K238" s="1" t="s">
        <v>1246</v>
      </c>
      <c r="M238" s="1" t="s">
        <v>1253</v>
      </c>
    </row>
    <row r="239" spans="1:14" s="17" customFormat="1" ht="45" x14ac:dyDescent="0.25">
      <c r="A239" s="17" t="s">
        <v>1525</v>
      </c>
      <c r="B239" s="17" t="s">
        <v>280</v>
      </c>
      <c r="C239" s="17" t="s">
        <v>67</v>
      </c>
      <c r="D239" s="17" t="s">
        <v>849</v>
      </c>
      <c r="E239" s="18" t="s">
        <v>1526</v>
      </c>
      <c r="F239" s="17" t="s">
        <v>386</v>
      </c>
      <c r="G239" s="17" t="s">
        <v>222</v>
      </c>
      <c r="H239" s="18">
        <v>24579</v>
      </c>
      <c r="I239" s="17">
        <f>1+2+7+2+1</f>
        <v>13</v>
      </c>
      <c r="K239" s="17" t="s">
        <v>2027</v>
      </c>
      <c r="M239" s="17" t="s">
        <v>2028</v>
      </c>
    </row>
    <row r="240" spans="1:14" ht="45" x14ac:dyDescent="0.25">
      <c r="A240" s="1" t="s">
        <v>1247</v>
      </c>
      <c r="B240" s="1" t="s">
        <v>469</v>
      </c>
      <c r="C240" s="1" t="s">
        <v>32</v>
      </c>
      <c r="D240" s="1" t="s">
        <v>348</v>
      </c>
      <c r="E240" s="4" t="s">
        <v>1248</v>
      </c>
      <c r="F240" s="1" t="s">
        <v>186</v>
      </c>
      <c r="G240" s="1" t="s">
        <v>9</v>
      </c>
      <c r="H240" s="4">
        <v>26757</v>
      </c>
      <c r="I240" s="1">
        <f>199+2+1+4+1+15+12</f>
        <v>234</v>
      </c>
      <c r="K240" s="1" t="s">
        <v>1250</v>
      </c>
      <c r="M240" s="1" t="s">
        <v>1254</v>
      </c>
    </row>
    <row r="241" spans="1:13" ht="34.5" customHeight="1" x14ac:dyDescent="0.25">
      <c r="A241" s="1" t="s">
        <v>440</v>
      </c>
      <c r="B241" s="1" t="s">
        <v>226</v>
      </c>
      <c r="C241" s="1" t="s">
        <v>599</v>
      </c>
      <c r="D241" s="1" t="s">
        <v>101</v>
      </c>
      <c r="E241" s="4" t="s">
        <v>378</v>
      </c>
      <c r="F241" s="1" t="s">
        <v>186</v>
      </c>
      <c r="G241" s="1" t="s">
        <v>9</v>
      </c>
      <c r="H241" s="4">
        <v>26756</v>
      </c>
      <c r="I241" s="1">
        <f>147+7+2+2+3+4</f>
        <v>165</v>
      </c>
      <c r="K241" s="1" t="s">
        <v>1251</v>
      </c>
      <c r="M241" s="1" t="s">
        <v>1255</v>
      </c>
    </row>
    <row r="242" spans="1:13" ht="90" x14ac:dyDescent="0.25">
      <c r="A242" s="1" t="s">
        <v>1249</v>
      </c>
      <c r="B242" s="1" t="s">
        <v>226</v>
      </c>
      <c r="C242" s="1" t="s">
        <v>123</v>
      </c>
      <c r="D242" s="1" t="s">
        <v>348</v>
      </c>
      <c r="E242" s="4" t="s">
        <v>600</v>
      </c>
      <c r="F242" s="1" t="s">
        <v>186</v>
      </c>
      <c r="G242" s="1" t="s">
        <v>9</v>
      </c>
      <c r="H242" s="4">
        <v>26733</v>
      </c>
      <c r="I242" s="1">
        <f>413+7+1+1+1+4+3+30+2+26</f>
        <v>488</v>
      </c>
      <c r="K242" s="1" t="s">
        <v>1252</v>
      </c>
      <c r="M242" s="1" t="s">
        <v>3308</v>
      </c>
    </row>
    <row r="243" spans="1:13" ht="60" x14ac:dyDescent="0.25">
      <c r="A243" s="1" t="s">
        <v>1256</v>
      </c>
      <c r="B243" s="1" t="s">
        <v>163</v>
      </c>
      <c r="C243" s="1" t="s">
        <v>72</v>
      </c>
      <c r="D243" s="1" t="s">
        <v>101</v>
      </c>
      <c r="E243" s="4" t="s">
        <v>1257</v>
      </c>
      <c r="F243" s="1" t="s">
        <v>186</v>
      </c>
      <c r="G243" s="1" t="s">
        <v>9</v>
      </c>
      <c r="H243" s="4">
        <v>26737</v>
      </c>
      <c r="I243" s="1">
        <f>307+4+2+27+2+18+11+1</f>
        <v>372</v>
      </c>
      <c r="K243" s="1" t="s">
        <v>1258</v>
      </c>
      <c r="M243" s="1" t="s">
        <v>3309</v>
      </c>
    </row>
    <row r="244" spans="1:13" ht="45" x14ac:dyDescent="0.25">
      <c r="A244" s="1" t="s">
        <v>1259</v>
      </c>
      <c r="B244" s="1" t="s">
        <v>808</v>
      </c>
      <c r="C244" s="1" t="s">
        <v>113</v>
      </c>
      <c r="D244" s="1" t="s">
        <v>227</v>
      </c>
      <c r="E244" s="4" t="s">
        <v>1260</v>
      </c>
      <c r="F244" s="1" t="s">
        <v>6</v>
      </c>
      <c r="G244" s="1" t="s">
        <v>222</v>
      </c>
      <c r="H244" s="4">
        <v>25358</v>
      </c>
      <c r="I244" s="1">
        <f>39+3+2+1+43+15+2+5</f>
        <v>110</v>
      </c>
      <c r="K244" s="1" t="s">
        <v>1266</v>
      </c>
      <c r="M244" s="1" t="s">
        <v>1271</v>
      </c>
    </row>
    <row r="245" spans="1:13" ht="30" x14ac:dyDescent="0.25">
      <c r="A245" s="1" t="s">
        <v>1261</v>
      </c>
      <c r="B245" s="1" t="s">
        <v>397</v>
      </c>
      <c r="C245" s="1" t="s">
        <v>72</v>
      </c>
      <c r="D245" s="1" t="s">
        <v>201</v>
      </c>
      <c r="E245" s="4" t="s">
        <v>724</v>
      </c>
      <c r="F245" s="1" t="s">
        <v>6</v>
      </c>
      <c r="G245" s="1" t="s">
        <v>222</v>
      </c>
      <c r="I245" s="1">
        <f>17+38</f>
        <v>55</v>
      </c>
      <c r="K245" s="1" t="s">
        <v>1267</v>
      </c>
      <c r="M245" s="1" t="s">
        <v>1270</v>
      </c>
    </row>
    <row r="246" spans="1:13" s="17" customFormat="1" x14ac:dyDescent="0.25">
      <c r="A246" s="17" t="s">
        <v>1527</v>
      </c>
      <c r="B246" s="17" t="s">
        <v>777</v>
      </c>
      <c r="C246" s="17" t="s">
        <v>72</v>
      </c>
      <c r="D246" s="17" t="s">
        <v>726</v>
      </c>
      <c r="E246" s="18" t="s">
        <v>1528</v>
      </c>
      <c r="F246" s="17" t="s">
        <v>386</v>
      </c>
      <c r="H246" s="18"/>
      <c r="M246" s="17" t="s">
        <v>1529</v>
      </c>
    </row>
    <row r="247" spans="1:13" ht="45" customHeight="1" x14ac:dyDescent="0.25">
      <c r="A247" s="1" t="s">
        <v>1262</v>
      </c>
      <c r="B247" s="1" t="s">
        <v>1263</v>
      </c>
      <c r="C247" s="1" t="s">
        <v>17</v>
      </c>
      <c r="D247" s="1" t="s">
        <v>101</v>
      </c>
      <c r="E247" s="4" t="s">
        <v>814</v>
      </c>
      <c r="F247" s="1" t="s">
        <v>186</v>
      </c>
      <c r="G247" s="1" t="s">
        <v>9</v>
      </c>
      <c r="H247" s="4">
        <v>26742</v>
      </c>
      <c r="I247" s="1">
        <f>265+11+3+11+12+4+6</f>
        <v>312</v>
      </c>
      <c r="K247" s="1" t="s">
        <v>1268</v>
      </c>
      <c r="M247" s="1" t="s">
        <v>3310</v>
      </c>
    </row>
    <row r="248" spans="1:13" ht="47.25" customHeight="1" x14ac:dyDescent="0.25">
      <c r="A248" s="1" t="s">
        <v>1264</v>
      </c>
      <c r="B248" s="1" t="s">
        <v>150</v>
      </c>
      <c r="C248" s="1" t="s">
        <v>463</v>
      </c>
      <c r="D248" s="1" t="s">
        <v>553</v>
      </c>
      <c r="E248" s="4" t="s">
        <v>1265</v>
      </c>
      <c r="F248" s="1" t="s">
        <v>186</v>
      </c>
      <c r="G248" s="1" t="s">
        <v>9</v>
      </c>
      <c r="H248" s="4">
        <v>26714</v>
      </c>
      <c r="I248" s="1">
        <f>131+10+6+9+3+1+12+2+25</f>
        <v>199</v>
      </c>
      <c r="K248" s="1" t="s">
        <v>1269</v>
      </c>
      <c r="M248" s="1" t="s">
        <v>3311</v>
      </c>
    </row>
    <row r="249" spans="1:13" s="17" customFormat="1" ht="47.25" customHeight="1" x14ac:dyDescent="0.25">
      <c r="A249" s="17" t="s">
        <v>1530</v>
      </c>
      <c r="B249" s="17" t="s">
        <v>981</v>
      </c>
      <c r="D249" s="17" t="s">
        <v>1531</v>
      </c>
      <c r="E249" s="18" t="s">
        <v>1532</v>
      </c>
      <c r="F249" s="17" t="s">
        <v>386</v>
      </c>
      <c r="H249" s="18"/>
      <c r="M249" s="17" t="s">
        <v>1533</v>
      </c>
    </row>
    <row r="250" spans="1:13" ht="75" x14ac:dyDescent="0.25">
      <c r="A250" s="1" t="s">
        <v>1272</v>
      </c>
      <c r="B250" s="1" t="s">
        <v>502</v>
      </c>
      <c r="C250" s="1" t="s">
        <v>72</v>
      </c>
      <c r="D250" s="1" t="s">
        <v>101</v>
      </c>
      <c r="E250" s="4" t="s">
        <v>1273</v>
      </c>
      <c r="F250" s="1" t="s">
        <v>186</v>
      </c>
      <c r="G250" s="1" t="s">
        <v>9</v>
      </c>
      <c r="H250" s="4">
        <v>26713</v>
      </c>
      <c r="I250" s="1">
        <f>304+31+2+19+2+17+2+40+1+7</f>
        <v>425</v>
      </c>
      <c r="K250" s="1" t="s">
        <v>1274</v>
      </c>
      <c r="M250" s="1" t="s">
        <v>3312</v>
      </c>
    </row>
    <row r="251" spans="1:13" ht="30" x14ac:dyDescent="0.25">
      <c r="A251" s="1" t="s">
        <v>1275</v>
      </c>
      <c r="B251" s="1" t="s">
        <v>31</v>
      </c>
      <c r="C251" s="1" t="s">
        <v>58</v>
      </c>
      <c r="D251" s="1" t="s">
        <v>227</v>
      </c>
      <c r="E251" s="4" t="s">
        <v>1276</v>
      </c>
      <c r="F251" s="1" t="s">
        <v>6</v>
      </c>
      <c r="G251" s="1" t="s">
        <v>222</v>
      </c>
      <c r="H251" s="4">
        <v>26721</v>
      </c>
      <c r="I251" s="1">
        <f>71+32+4</f>
        <v>107</v>
      </c>
      <c r="K251" s="1" t="s">
        <v>1282</v>
      </c>
      <c r="M251" s="1" t="s">
        <v>1285</v>
      </c>
    </row>
    <row r="252" spans="1:13" ht="60" x14ac:dyDescent="0.25">
      <c r="A252" s="1" t="s">
        <v>1277</v>
      </c>
      <c r="B252" s="1" t="s">
        <v>1278</v>
      </c>
      <c r="C252" s="1" t="s">
        <v>123</v>
      </c>
      <c r="D252" s="1" t="s">
        <v>201</v>
      </c>
      <c r="E252" s="4" t="s">
        <v>1279</v>
      </c>
      <c r="F252" s="1" t="s">
        <v>6</v>
      </c>
      <c r="G252" s="1" t="s">
        <v>222</v>
      </c>
      <c r="H252" s="4">
        <v>25216</v>
      </c>
      <c r="I252" s="1">
        <f>32+14+2+4+1+5+1+15+2</f>
        <v>76</v>
      </c>
      <c r="K252" s="1" t="s">
        <v>1283</v>
      </c>
      <c r="M252" s="1" t="s">
        <v>3313</v>
      </c>
    </row>
    <row r="253" spans="1:13" ht="45" x14ac:dyDescent="0.25">
      <c r="A253" s="1" t="s">
        <v>1280</v>
      </c>
      <c r="B253" s="1" t="s">
        <v>1281</v>
      </c>
      <c r="D253" s="1" t="s">
        <v>553</v>
      </c>
      <c r="E253" s="4" t="s">
        <v>960</v>
      </c>
      <c r="F253" s="1" t="s">
        <v>186</v>
      </c>
      <c r="G253" s="1" t="s">
        <v>9</v>
      </c>
      <c r="H253" s="4">
        <v>26743</v>
      </c>
      <c r="I253" s="1">
        <f>400+2+2+4+4+24</f>
        <v>436</v>
      </c>
      <c r="K253" s="1" t="s">
        <v>1284</v>
      </c>
      <c r="M253" s="1" t="s">
        <v>1286</v>
      </c>
    </row>
    <row r="254" spans="1:13" ht="75" x14ac:dyDescent="0.25">
      <c r="A254" s="1" t="s">
        <v>1263</v>
      </c>
      <c r="B254" s="1" t="s">
        <v>1234</v>
      </c>
      <c r="C254" s="1" t="s">
        <v>63</v>
      </c>
      <c r="D254" s="1" t="s">
        <v>588</v>
      </c>
      <c r="E254" s="4" t="s">
        <v>1287</v>
      </c>
      <c r="F254" s="1" t="s">
        <v>186</v>
      </c>
      <c r="G254" s="1" t="s">
        <v>9</v>
      </c>
      <c r="H254" s="4">
        <v>26745</v>
      </c>
      <c r="I254" s="1">
        <f>313+4+2+1+6+2+21+15</f>
        <v>364</v>
      </c>
      <c r="K254" s="1" t="s">
        <v>1288</v>
      </c>
      <c r="M254" s="1" t="s">
        <v>1289</v>
      </c>
    </row>
    <row r="255" spans="1:13" ht="90" x14ac:dyDescent="0.25">
      <c r="A255" s="1" t="s">
        <v>1290</v>
      </c>
      <c r="B255" s="1" t="s">
        <v>784</v>
      </c>
      <c r="C255" s="1" t="s">
        <v>53</v>
      </c>
      <c r="D255" s="1" t="s">
        <v>210</v>
      </c>
      <c r="E255" s="4" t="s">
        <v>1291</v>
      </c>
      <c r="F255" s="1" t="s">
        <v>186</v>
      </c>
      <c r="G255" s="1" t="s">
        <v>20</v>
      </c>
      <c r="I255" s="1">
        <f>100+41+4+35+12+14</f>
        <v>206</v>
      </c>
      <c r="K255" s="1" t="s">
        <v>1292</v>
      </c>
      <c r="M255" s="1" t="s">
        <v>3314</v>
      </c>
    </row>
    <row r="256" spans="1:13" ht="90" x14ac:dyDescent="0.25">
      <c r="A256" s="1" t="s">
        <v>1294</v>
      </c>
      <c r="B256" s="1" t="s">
        <v>777</v>
      </c>
      <c r="C256" s="1" t="s">
        <v>113</v>
      </c>
      <c r="D256" s="1" t="s">
        <v>101</v>
      </c>
      <c r="E256" s="4" t="s">
        <v>1295</v>
      </c>
      <c r="F256" s="1" t="s">
        <v>186</v>
      </c>
      <c r="G256" s="1" t="s">
        <v>9</v>
      </c>
      <c r="H256" s="4">
        <v>26708</v>
      </c>
      <c r="I256" s="1">
        <f>387+1+15+2+3+7+17+2+49+8</f>
        <v>491</v>
      </c>
      <c r="K256" s="1" t="s">
        <v>1293</v>
      </c>
      <c r="M256" s="1" t="s">
        <v>3315</v>
      </c>
    </row>
    <row r="257" spans="1:14" ht="60" x14ac:dyDescent="0.25">
      <c r="A257" s="1" t="s">
        <v>1294</v>
      </c>
      <c r="B257" s="1" t="s">
        <v>200</v>
      </c>
      <c r="C257" s="1" t="s">
        <v>463</v>
      </c>
      <c r="D257" s="1" t="s">
        <v>101</v>
      </c>
      <c r="E257" s="4" t="s">
        <v>1296</v>
      </c>
      <c r="F257" s="1" t="s">
        <v>186</v>
      </c>
      <c r="G257" s="1" t="s">
        <v>9</v>
      </c>
      <c r="H257" s="4">
        <v>26745</v>
      </c>
      <c r="I257" s="1">
        <f>317+9+2+3+5+9+4+17</f>
        <v>366</v>
      </c>
      <c r="K257" s="1" t="s">
        <v>1297</v>
      </c>
      <c r="M257" s="1" t="s">
        <v>3316</v>
      </c>
    </row>
    <row r="258" spans="1:14" ht="90" x14ac:dyDescent="0.25">
      <c r="A258" s="1" t="s">
        <v>1294</v>
      </c>
      <c r="B258" s="1" t="s">
        <v>140</v>
      </c>
      <c r="C258" s="1" t="s">
        <v>113</v>
      </c>
      <c r="D258" s="1" t="s">
        <v>703</v>
      </c>
      <c r="E258" s="4" t="s">
        <v>1298</v>
      </c>
      <c r="F258" s="1" t="s">
        <v>6</v>
      </c>
      <c r="G258" s="1" t="s">
        <v>20</v>
      </c>
      <c r="I258" s="1">
        <f>37+2+11+7+61+45+2+29+21</f>
        <v>215</v>
      </c>
      <c r="K258" s="1" t="s">
        <v>1301</v>
      </c>
      <c r="M258" s="1" t="s">
        <v>3317</v>
      </c>
    </row>
    <row r="259" spans="1:14" ht="60" x14ac:dyDescent="0.25">
      <c r="A259" s="1" t="s">
        <v>1299</v>
      </c>
      <c r="B259" s="1" t="s">
        <v>1300</v>
      </c>
      <c r="C259" s="1" t="s">
        <v>67</v>
      </c>
      <c r="D259" s="1" t="s">
        <v>703</v>
      </c>
      <c r="E259" s="4" t="s">
        <v>1181</v>
      </c>
      <c r="F259" s="1" t="s">
        <v>781</v>
      </c>
      <c r="G259" s="1" t="s">
        <v>20</v>
      </c>
      <c r="I259" s="1">
        <f>70+2+70+223</f>
        <v>365</v>
      </c>
      <c r="K259" s="1" t="s">
        <v>1302</v>
      </c>
      <c r="M259" s="1" t="s">
        <v>1308</v>
      </c>
      <c r="N259" s="1" t="s">
        <v>1366</v>
      </c>
    </row>
    <row r="260" spans="1:14" s="17" customFormat="1" x14ac:dyDescent="0.25">
      <c r="A260" s="17" t="s">
        <v>1534</v>
      </c>
      <c r="B260" s="17" t="s">
        <v>1003</v>
      </c>
      <c r="C260" s="17" t="s">
        <v>17</v>
      </c>
      <c r="D260" s="17" t="s">
        <v>1199</v>
      </c>
      <c r="E260" s="18" t="s">
        <v>1535</v>
      </c>
      <c r="F260" s="17" t="s">
        <v>386</v>
      </c>
      <c r="H260" s="18"/>
      <c r="M260" s="17" t="s">
        <v>1536</v>
      </c>
    </row>
    <row r="261" spans="1:14" ht="30" x14ac:dyDescent="0.25">
      <c r="A261" s="1" t="s">
        <v>1303</v>
      </c>
      <c r="B261" s="1" t="s">
        <v>1304</v>
      </c>
      <c r="C261" s="1" t="s">
        <v>914</v>
      </c>
      <c r="D261" s="1" t="s">
        <v>348</v>
      </c>
      <c r="E261" s="4" t="s">
        <v>1174</v>
      </c>
      <c r="F261" s="1" t="s">
        <v>186</v>
      </c>
      <c r="G261" s="1" t="s">
        <v>9</v>
      </c>
      <c r="H261" s="4">
        <v>26757</v>
      </c>
      <c r="I261" s="1">
        <f>244+6+4+17+13</f>
        <v>284</v>
      </c>
      <c r="K261" s="1" t="s">
        <v>1305</v>
      </c>
      <c r="M261" s="1" t="s">
        <v>3318</v>
      </c>
    </row>
    <row r="262" spans="1:14" ht="90" x14ac:dyDescent="0.25">
      <c r="A262" s="1" t="s">
        <v>1306</v>
      </c>
      <c r="B262" s="1" t="s">
        <v>140</v>
      </c>
      <c r="C262" s="1" t="s">
        <v>58</v>
      </c>
      <c r="D262" s="1" t="s">
        <v>101</v>
      </c>
      <c r="E262" s="4" t="s">
        <v>729</v>
      </c>
      <c r="F262" s="1" t="s">
        <v>186</v>
      </c>
      <c r="G262" s="1" t="s">
        <v>9</v>
      </c>
      <c r="H262" s="4">
        <v>26757</v>
      </c>
      <c r="I262" s="1">
        <f>203+7+4+1+9+3+1+3+1+1+1+1+4+10+2</f>
        <v>251</v>
      </c>
      <c r="K262" s="1" t="s">
        <v>1307</v>
      </c>
      <c r="M262" s="1" t="s">
        <v>3347</v>
      </c>
    </row>
    <row r="263" spans="1:14" ht="60" x14ac:dyDescent="0.25">
      <c r="A263" s="1" t="s">
        <v>1309</v>
      </c>
      <c r="B263" s="1" t="s">
        <v>369</v>
      </c>
      <c r="C263" s="1" t="s">
        <v>192</v>
      </c>
      <c r="D263" s="1" t="s">
        <v>210</v>
      </c>
      <c r="E263" s="4" t="s">
        <v>1310</v>
      </c>
      <c r="F263" s="1" t="s">
        <v>781</v>
      </c>
      <c r="G263" s="1" t="s">
        <v>20</v>
      </c>
      <c r="I263" s="1">
        <f>52+4+45+26+173</f>
        <v>300</v>
      </c>
      <c r="K263" s="1" t="s">
        <v>1311</v>
      </c>
      <c r="M263" s="1" t="s">
        <v>1322</v>
      </c>
    </row>
    <row r="264" spans="1:14" ht="75" x14ac:dyDescent="0.25">
      <c r="A264" s="1" t="s">
        <v>1312</v>
      </c>
      <c r="B264" s="1" t="s">
        <v>369</v>
      </c>
      <c r="C264" s="1" t="s">
        <v>53</v>
      </c>
      <c r="D264" s="1" t="s">
        <v>990</v>
      </c>
      <c r="E264" s="4" t="s">
        <v>1313</v>
      </c>
      <c r="F264" s="1" t="s">
        <v>186</v>
      </c>
      <c r="G264" s="1" t="s">
        <v>222</v>
      </c>
      <c r="H264" s="4">
        <v>26712</v>
      </c>
      <c r="I264" s="1">
        <f>226+74+33+7+2+1+4+1+3+3</f>
        <v>354</v>
      </c>
      <c r="K264" s="1" t="s">
        <v>1316</v>
      </c>
      <c r="M264" s="1" t="s">
        <v>1323</v>
      </c>
    </row>
    <row r="265" spans="1:14" ht="75" x14ac:dyDescent="0.25">
      <c r="A265" s="1" t="s">
        <v>1314</v>
      </c>
      <c r="B265" s="1" t="s">
        <v>226</v>
      </c>
      <c r="C265" s="1" t="s">
        <v>463</v>
      </c>
      <c r="D265" s="1" t="s">
        <v>227</v>
      </c>
      <c r="E265" s="4" t="s">
        <v>1315</v>
      </c>
      <c r="F265" s="1" t="s">
        <v>6</v>
      </c>
      <c r="G265" s="1" t="s">
        <v>222</v>
      </c>
      <c r="H265" s="4">
        <v>26732</v>
      </c>
      <c r="I265" s="1">
        <f>31+81+4+1</f>
        <v>117</v>
      </c>
      <c r="K265" s="1" t="s">
        <v>1317</v>
      </c>
      <c r="M265" s="1" t="s">
        <v>3319</v>
      </c>
    </row>
    <row r="266" spans="1:14" ht="90" x14ac:dyDescent="0.25">
      <c r="A266" s="1" t="s">
        <v>1318</v>
      </c>
      <c r="B266" s="1" t="s">
        <v>1319</v>
      </c>
      <c r="C266" s="1" t="s">
        <v>953</v>
      </c>
      <c r="D266" s="1" t="s">
        <v>101</v>
      </c>
      <c r="E266" s="4" t="s">
        <v>1320</v>
      </c>
      <c r="F266" s="1" t="s">
        <v>186</v>
      </c>
      <c r="G266" s="1" t="s">
        <v>9</v>
      </c>
      <c r="H266" s="4">
        <v>26712</v>
      </c>
      <c r="I266" s="1">
        <f>155+7+1+2+2+11+14+2+15+5</f>
        <v>214</v>
      </c>
      <c r="K266" s="1" t="s">
        <v>1321</v>
      </c>
      <c r="M266" s="1" t="s">
        <v>3320</v>
      </c>
    </row>
    <row r="267" spans="1:14" x14ac:dyDescent="0.25">
      <c r="A267" s="1" t="s">
        <v>1318</v>
      </c>
      <c r="B267" s="1" t="s">
        <v>1324</v>
      </c>
      <c r="C267" s="1" t="s">
        <v>599</v>
      </c>
      <c r="D267" s="1" t="s">
        <v>849</v>
      </c>
      <c r="E267" s="4" t="s">
        <v>1325</v>
      </c>
      <c r="F267" s="1" t="s">
        <v>6</v>
      </c>
      <c r="G267" s="1" t="s">
        <v>222</v>
      </c>
      <c r="H267" s="4">
        <v>25499</v>
      </c>
      <c r="I267" s="1">
        <f>48+34</f>
        <v>82</v>
      </c>
      <c r="K267" s="1" t="s">
        <v>1326</v>
      </c>
      <c r="M267" s="1" t="s">
        <v>1337</v>
      </c>
    </row>
    <row r="268" spans="1:14" s="17" customFormat="1" x14ac:dyDescent="0.25">
      <c r="A268" s="17" t="s">
        <v>1537</v>
      </c>
      <c r="B268" s="17" t="s">
        <v>469</v>
      </c>
      <c r="C268" s="17" t="s">
        <v>182</v>
      </c>
      <c r="D268" s="17" t="s">
        <v>1538</v>
      </c>
      <c r="E268" s="18" t="s">
        <v>3015</v>
      </c>
      <c r="F268" s="17" t="s">
        <v>386</v>
      </c>
      <c r="H268" s="18"/>
      <c r="M268" s="17" t="s">
        <v>1539</v>
      </c>
    </row>
    <row r="269" spans="1:14" ht="120" x14ac:dyDescent="0.25">
      <c r="A269" s="1" t="s">
        <v>1327</v>
      </c>
      <c r="B269" s="1" t="s">
        <v>226</v>
      </c>
      <c r="C269" s="1" t="s">
        <v>599</v>
      </c>
      <c r="D269" s="1" t="s">
        <v>101</v>
      </c>
      <c r="E269" s="4" t="s">
        <v>1328</v>
      </c>
      <c r="F269" s="1" t="s">
        <v>186</v>
      </c>
      <c r="G269" s="1" t="s">
        <v>9</v>
      </c>
      <c r="H269" s="4">
        <v>26716</v>
      </c>
      <c r="I269" s="1">
        <f>369+7+2+5+5+23+2+19+2+19+11+3+5</f>
        <v>472</v>
      </c>
      <c r="K269" s="1" t="s">
        <v>1334</v>
      </c>
      <c r="M269" s="1" t="s">
        <v>1338</v>
      </c>
    </row>
    <row r="270" spans="1:14" ht="90" x14ac:dyDescent="0.25">
      <c r="A270" s="1" t="s">
        <v>1329</v>
      </c>
      <c r="B270" s="1" t="s">
        <v>447</v>
      </c>
      <c r="C270" s="1" t="s">
        <v>67</v>
      </c>
      <c r="D270" s="1" t="s">
        <v>101</v>
      </c>
      <c r="E270" s="4" t="s">
        <v>1330</v>
      </c>
      <c r="F270" s="1" t="s">
        <v>186</v>
      </c>
      <c r="G270" s="1" t="s">
        <v>9</v>
      </c>
      <c r="H270" s="4">
        <v>26707</v>
      </c>
      <c r="I270" s="1">
        <f>166+2+8+17+16+2+2+2</f>
        <v>215</v>
      </c>
      <c r="K270" s="1" t="s">
        <v>1335</v>
      </c>
      <c r="M270" s="1" t="s">
        <v>1339</v>
      </c>
      <c r="N270" s="1" t="s">
        <v>3016</v>
      </c>
    </row>
    <row r="271" spans="1:14" s="17" customFormat="1" ht="45" x14ac:dyDescent="0.25">
      <c r="A271" s="17" t="s">
        <v>1540</v>
      </c>
      <c r="B271" s="17" t="s">
        <v>100</v>
      </c>
      <c r="C271" s="17" t="s">
        <v>67</v>
      </c>
      <c r="D271" s="17" t="s">
        <v>726</v>
      </c>
      <c r="E271" s="18" t="s">
        <v>1124</v>
      </c>
      <c r="F271" s="17" t="s">
        <v>386</v>
      </c>
      <c r="H271" s="18"/>
      <c r="M271" s="17" t="s">
        <v>1541</v>
      </c>
    </row>
    <row r="272" spans="1:14" ht="45" x14ac:dyDescent="0.25">
      <c r="A272" s="1" t="s">
        <v>1331</v>
      </c>
      <c r="B272" s="1" t="s">
        <v>1332</v>
      </c>
      <c r="C272" s="1" t="s">
        <v>17</v>
      </c>
      <c r="D272" s="1" t="s">
        <v>101</v>
      </c>
      <c r="E272" s="4" t="s">
        <v>1333</v>
      </c>
      <c r="F272" s="1" t="s">
        <v>186</v>
      </c>
      <c r="G272" s="1" t="s">
        <v>9</v>
      </c>
      <c r="H272" s="4">
        <v>26758</v>
      </c>
      <c r="I272" s="1">
        <f>281+4+2+13+7</f>
        <v>307</v>
      </c>
      <c r="K272" s="1" t="s">
        <v>1336</v>
      </c>
      <c r="M272" s="1" t="s">
        <v>3321</v>
      </c>
    </row>
    <row r="273" spans="1:14" ht="45" x14ac:dyDescent="0.25">
      <c r="A273" s="1" t="s">
        <v>1340</v>
      </c>
      <c r="B273" s="1" t="s">
        <v>968</v>
      </c>
      <c r="C273" s="1" t="s">
        <v>63</v>
      </c>
      <c r="D273" s="1" t="s">
        <v>726</v>
      </c>
      <c r="E273" s="4" t="s">
        <v>1341</v>
      </c>
      <c r="F273" s="1" t="s">
        <v>6</v>
      </c>
      <c r="G273" s="1" t="s">
        <v>222</v>
      </c>
      <c r="H273" s="4">
        <v>26754</v>
      </c>
      <c r="I273" s="1">
        <f>25+11+4+6</f>
        <v>46</v>
      </c>
      <c r="K273" s="1" t="s">
        <v>1342</v>
      </c>
      <c r="M273" s="1" t="s">
        <v>1347</v>
      </c>
      <c r="N273" s="1" t="s">
        <v>1743</v>
      </c>
    </row>
    <row r="274" spans="1:14" ht="105" x14ac:dyDescent="0.25">
      <c r="A274" s="1" t="s">
        <v>1343</v>
      </c>
      <c r="B274" s="1" t="s">
        <v>134</v>
      </c>
      <c r="C274" s="1" t="s">
        <v>599</v>
      </c>
      <c r="D274" s="1" t="s">
        <v>1344</v>
      </c>
      <c r="E274" s="4" t="s">
        <v>1345</v>
      </c>
      <c r="F274" s="1" t="s">
        <v>186</v>
      </c>
      <c r="G274" s="1" t="s">
        <v>20</v>
      </c>
      <c r="I274" s="1">
        <f>958+37+4+17+34+70+39</f>
        <v>1159</v>
      </c>
      <c r="K274" s="1" t="s">
        <v>1346</v>
      </c>
      <c r="M274" s="1" t="s">
        <v>3322</v>
      </c>
    </row>
    <row r="275" spans="1:14" ht="45" x14ac:dyDescent="0.25">
      <c r="A275" s="1" t="s">
        <v>1348</v>
      </c>
      <c r="B275" s="1" t="s">
        <v>77</v>
      </c>
      <c r="D275" s="1" t="s">
        <v>210</v>
      </c>
      <c r="E275" s="4" t="s">
        <v>1349</v>
      </c>
      <c r="F275" s="1" t="s">
        <v>781</v>
      </c>
      <c r="G275" s="1" t="s">
        <v>20</v>
      </c>
      <c r="I275" s="1">
        <f>68+4+66+218</f>
        <v>356</v>
      </c>
      <c r="K275" s="1" t="s">
        <v>1350</v>
      </c>
      <c r="M275" s="1" t="s">
        <v>1363</v>
      </c>
    </row>
    <row r="276" spans="1:14" ht="75" x14ac:dyDescent="0.25">
      <c r="A276" s="1" t="s">
        <v>1351</v>
      </c>
      <c r="B276" s="1" t="s">
        <v>397</v>
      </c>
      <c r="C276" s="1" t="s">
        <v>32</v>
      </c>
      <c r="D276" s="1" t="s">
        <v>101</v>
      </c>
      <c r="E276" s="4" t="s">
        <v>1352</v>
      </c>
      <c r="F276" s="1" t="s">
        <v>186</v>
      </c>
      <c r="G276" s="1" t="s">
        <v>9</v>
      </c>
      <c r="H276" s="4">
        <v>26717</v>
      </c>
      <c r="I276" s="1">
        <f>482+4+2+3+11+50+6</f>
        <v>558</v>
      </c>
      <c r="K276" s="1" t="s">
        <v>1355</v>
      </c>
      <c r="M276" s="1" t="s">
        <v>1364</v>
      </c>
    </row>
    <row r="277" spans="1:14" ht="45" x14ac:dyDescent="0.25">
      <c r="A277" s="1" t="s">
        <v>1353</v>
      </c>
      <c r="B277" s="1" t="s">
        <v>100</v>
      </c>
      <c r="C277" s="1" t="s">
        <v>113</v>
      </c>
      <c r="D277" s="1" t="s">
        <v>954</v>
      </c>
      <c r="E277" s="4" t="s">
        <v>1354</v>
      </c>
      <c r="F277" s="1" t="s">
        <v>6</v>
      </c>
      <c r="G277" s="1" t="s">
        <v>215</v>
      </c>
      <c r="H277" s="4">
        <v>26744</v>
      </c>
      <c r="I277" s="1">
        <f>49+4+82</f>
        <v>135</v>
      </c>
      <c r="K277" s="1" t="s">
        <v>1356</v>
      </c>
      <c r="M277" s="1" t="s">
        <v>1365</v>
      </c>
    </row>
    <row r="278" spans="1:14" ht="30" x14ac:dyDescent="0.25">
      <c r="A278" s="1" t="s">
        <v>42</v>
      </c>
      <c r="B278" s="1" t="s">
        <v>369</v>
      </c>
      <c r="C278" s="1" t="s">
        <v>58</v>
      </c>
      <c r="D278" s="1" t="s">
        <v>348</v>
      </c>
      <c r="E278" s="4" t="s">
        <v>1357</v>
      </c>
      <c r="F278" s="1" t="s">
        <v>186</v>
      </c>
      <c r="G278" s="1" t="s">
        <v>9</v>
      </c>
      <c r="H278" s="4">
        <v>26758</v>
      </c>
      <c r="I278" s="1">
        <f>115+4+5+6+8</f>
        <v>138</v>
      </c>
      <c r="K278" s="1" t="s">
        <v>1358</v>
      </c>
      <c r="M278" s="1" t="s">
        <v>1374</v>
      </c>
    </row>
    <row r="279" spans="1:14" ht="30" x14ac:dyDescent="0.25">
      <c r="A279" s="1" t="s">
        <v>354</v>
      </c>
      <c r="B279" s="1" t="s">
        <v>1359</v>
      </c>
      <c r="C279" s="1" t="s">
        <v>72</v>
      </c>
      <c r="D279" s="1" t="s">
        <v>726</v>
      </c>
      <c r="E279" s="4" t="s">
        <v>724</v>
      </c>
      <c r="F279" s="1" t="s">
        <v>6</v>
      </c>
      <c r="G279" s="1" t="s">
        <v>222</v>
      </c>
      <c r="H279" s="4">
        <v>25192</v>
      </c>
      <c r="I279" s="1">
        <f>45+20+15</f>
        <v>80</v>
      </c>
      <c r="K279" s="1" t="s">
        <v>1361</v>
      </c>
      <c r="M279" s="1" t="s">
        <v>1375</v>
      </c>
    </row>
    <row r="280" spans="1:14" ht="30" x14ac:dyDescent="0.25">
      <c r="A280" s="1" t="s">
        <v>354</v>
      </c>
      <c r="B280" s="1" t="s">
        <v>1360</v>
      </c>
      <c r="C280" s="1" t="s">
        <v>599</v>
      </c>
      <c r="D280" s="1" t="s">
        <v>227</v>
      </c>
      <c r="E280" s="4" t="s">
        <v>1151</v>
      </c>
      <c r="F280" s="1" t="s">
        <v>1029</v>
      </c>
      <c r="G280" s="1" t="s">
        <v>222</v>
      </c>
      <c r="H280" s="4">
        <v>26733</v>
      </c>
      <c r="I280" s="1">
        <f>38+4+37+2</f>
        <v>81</v>
      </c>
      <c r="K280" s="1" t="s">
        <v>1362</v>
      </c>
      <c r="M280" s="1" t="s">
        <v>1376</v>
      </c>
    </row>
    <row r="281" spans="1:14" s="17" customFormat="1" ht="45" x14ac:dyDescent="0.25">
      <c r="A281" s="17" t="s">
        <v>1377</v>
      </c>
      <c r="B281" s="17" t="s">
        <v>1378</v>
      </c>
      <c r="C281" s="17" t="s">
        <v>72</v>
      </c>
      <c r="D281" s="17" t="s">
        <v>708</v>
      </c>
      <c r="E281" s="18" t="s">
        <v>1059</v>
      </c>
      <c r="F281" s="17" t="s">
        <v>6</v>
      </c>
      <c r="G281" s="17" t="s">
        <v>222</v>
      </c>
      <c r="H281" s="18">
        <v>26757</v>
      </c>
      <c r="I281" s="17">
        <f>43+37+3+9+1+2</f>
        <v>95</v>
      </c>
      <c r="K281" s="17" t="s">
        <v>1379</v>
      </c>
      <c r="M281" s="17" t="s">
        <v>2029</v>
      </c>
      <c r="N281" s="17" t="s">
        <v>1397</v>
      </c>
    </row>
    <row r="282" spans="1:14" s="17" customFormat="1" ht="75" x14ac:dyDescent="0.25">
      <c r="A282" s="1" t="s">
        <v>1383</v>
      </c>
      <c r="B282" s="1" t="s">
        <v>432</v>
      </c>
      <c r="C282" s="1" t="s">
        <v>26</v>
      </c>
      <c r="D282" s="1" t="s">
        <v>101</v>
      </c>
      <c r="E282" s="4" t="s">
        <v>1384</v>
      </c>
      <c r="F282" s="1" t="s">
        <v>186</v>
      </c>
      <c r="G282" s="1" t="s">
        <v>9</v>
      </c>
      <c r="H282" s="4">
        <v>26742</v>
      </c>
      <c r="I282" s="1">
        <f>246+8+4+2+2+18+4+13+8</f>
        <v>305</v>
      </c>
      <c r="J282" s="1"/>
      <c r="K282" s="1" t="s">
        <v>1392</v>
      </c>
      <c r="M282" s="17" t="s">
        <v>3323</v>
      </c>
    </row>
    <row r="283" spans="1:14" ht="30" x14ac:dyDescent="0.25">
      <c r="A283" s="1" t="s">
        <v>1380</v>
      </c>
      <c r="B283" s="1" t="s">
        <v>116</v>
      </c>
      <c r="C283" s="1" t="s">
        <v>53</v>
      </c>
      <c r="D283" s="1" t="s">
        <v>1381</v>
      </c>
      <c r="E283" s="4" t="s">
        <v>1382</v>
      </c>
      <c r="F283" s="1" t="s">
        <v>6</v>
      </c>
      <c r="G283" s="1" t="s">
        <v>222</v>
      </c>
      <c r="H283" s="4">
        <v>26714</v>
      </c>
      <c r="I283" s="1">
        <f>42+14+6+1+4</f>
        <v>67</v>
      </c>
      <c r="K283" s="1" t="s">
        <v>1393</v>
      </c>
      <c r="M283" s="1" t="s">
        <v>1398</v>
      </c>
    </row>
    <row r="284" spans="1:14" ht="45" x14ac:dyDescent="0.25">
      <c r="A284" s="1" t="s">
        <v>1385</v>
      </c>
      <c r="B284" s="1" t="s">
        <v>116</v>
      </c>
      <c r="C284" s="1" t="s">
        <v>192</v>
      </c>
      <c r="D284" s="1" t="s">
        <v>210</v>
      </c>
      <c r="E284" s="4" t="s">
        <v>1386</v>
      </c>
      <c r="F284" s="1" t="s">
        <v>6</v>
      </c>
      <c r="G284" s="1" t="s">
        <v>20</v>
      </c>
      <c r="I284" s="1">
        <f>25+3+19+28</f>
        <v>75</v>
      </c>
      <c r="K284" s="1" t="s">
        <v>1394</v>
      </c>
      <c r="M284" s="1" t="s">
        <v>1399</v>
      </c>
    </row>
    <row r="285" spans="1:14" ht="90" x14ac:dyDescent="0.25">
      <c r="A285" s="1" t="s">
        <v>1387</v>
      </c>
      <c r="B285" s="1" t="s">
        <v>808</v>
      </c>
      <c r="C285" s="1" t="s">
        <v>53</v>
      </c>
      <c r="D285" s="1" t="s">
        <v>314</v>
      </c>
      <c r="E285" s="4" t="s">
        <v>1388</v>
      </c>
      <c r="F285" s="1" t="s">
        <v>6</v>
      </c>
      <c r="G285" s="1" t="s">
        <v>20</v>
      </c>
      <c r="I285" s="1">
        <f>15+4+1+1+6+1+1+3+16</f>
        <v>48</v>
      </c>
      <c r="K285" s="1" t="s">
        <v>1395</v>
      </c>
      <c r="M285" s="1" t="s">
        <v>3324</v>
      </c>
    </row>
    <row r="286" spans="1:14" ht="60" x14ac:dyDescent="0.25">
      <c r="A286" s="1" t="s">
        <v>1389</v>
      </c>
      <c r="B286" s="1" t="s">
        <v>1390</v>
      </c>
      <c r="C286" s="1" t="s">
        <v>32</v>
      </c>
      <c r="D286" s="1" t="s">
        <v>553</v>
      </c>
      <c r="E286" s="4" t="s">
        <v>1391</v>
      </c>
      <c r="F286" s="1" t="s">
        <v>186</v>
      </c>
      <c r="G286" s="1" t="s">
        <v>9</v>
      </c>
      <c r="H286" s="4">
        <v>26756</v>
      </c>
      <c r="I286" s="1">
        <f>309+5+2+2+28+5+14</f>
        <v>365</v>
      </c>
      <c r="K286" s="1" t="s">
        <v>1396</v>
      </c>
      <c r="M286" s="1" t="s">
        <v>1400</v>
      </c>
      <c r="N286" s="1" t="s">
        <v>1401</v>
      </c>
    </row>
    <row r="287" spans="1:14" ht="60" x14ac:dyDescent="0.25">
      <c r="A287" s="1" t="s">
        <v>1402</v>
      </c>
      <c r="B287" s="1" t="s">
        <v>1403</v>
      </c>
      <c r="C287" s="1" t="s">
        <v>58</v>
      </c>
      <c r="D287" s="1" t="s">
        <v>348</v>
      </c>
      <c r="E287" s="4" t="s">
        <v>1404</v>
      </c>
      <c r="F287" s="1" t="s">
        <v>186</v>
      </c>
      <c r="G287" s="1" t="s">
        <v>9</v>
      </c>
      <c r="H287" s="4">
        <v>26743</v>
      </c>
      <c r="I287" s="1">
        <f>467+5+3+2+2+29+4+17</f>
        <v>529</v>
      </c>
      <c r="K287" s="1" t="s">
        <v>1405</v>
      </c>
      <c r="M287" s="1" t="s">
        <v>3325</v>
      </c>
      <c r="N287" s="1" t="s">
        <v>490</v>
      </c>
    </row>
    <row r="288" spans="1:14" ht="59.25" customHeight="1" x14ac:dyDescent="0.25">
      <c r="A288" s="1" t="s">
        <v>1406</v>
      </c>
      <c r="B288" s="1" t="s">
        <v>100</v>
      </c>
      <c r="C288" s="1" t="s">
        <v>599</v>
      </c>
      <c r="D288" s="1" t="s">
        <v>101</v>
      </c>
      <c r="E288" s="4" t="s">
        <v>1408</v>
      </c>
      <c r="F288" s="1" t="s">
        <v>186</v>
      </c>
      <c r="G288" s="1" t="s">
        <v>9</v>
      </c>
      <c r="H288" s="4">
        <v>26744</v>
      </c>
      <c r="I288" s="1">
        <f>295+9+3+5+5+2+26+2+20</f>
        <v>367</v>
      </c>
      <c r="K288" s="1" t="s">
        <v>1410</v>
      </c>
      <c r="M288" s="1" t="s">
        <v>1412</v>
      </c>
      <c r="N288" s="1" t="s">
        <v>1745</v>
      </c>
    </row>
    <row r="289" spans="1:14" ht="59.25" customHeight="1" x14ac:dyDescent="0.25">
      <c r="A289" s="1" t="s">
        <v>1407</v>
      </c>
      <c r="B289" s="1" t="s">
        <v>116</v>
      </c>
      <c r="C289" s="1" t="s">
        <v>72</v>
      </c>
      <c r="D289" s="1" t="s">
        <v>553</v>
      </c>
      <c r="E289" s="4" t="s">
        <v>1409</v>
      </c>
      <c r="F289" s="1" t="s">
        <v>186</v>
      </c>
      <c r="G289" s="1" t="s">
        <v>9</v>
      </c>
      <c r="H289" s="4">
        <v>26735</v>
      </c>
      <c r="I289" s="1">
        <f>234+3+2+11+2+17+4+42</f>
        <v>315</v>
      </c>
      <c r="K289" s="1" t="s">
        <v>1411</v>
      </c>
      <c r="M289" s="1" t="s">
        <v>1413</v>
      </c>
    </row>
    <row r="290" spans="1:14" s="17" customFormat="1" ht="60" x14ac:dyDescent="0.25">
      <c r="A290" s="17" t="s">
        <v>1414</v>
      </c>
      <c r="B290" s="17" t="s">
        <v>116</v>
      </c>
      <c r="C290" s="17" t="s">
        <v>914</v>
      </c>
      <c r="D290" s="17" t="s">
        <v>101</v>
      </c>
      <c r="E290" s="18" t="s">
        <v>349</v>
      </c>
      <c r="F290" s="17" t="s">
        <v>186</v>
      </c>
      <c r="G290" s="17" t="s">
        <v>9</v>
      </c>
      <c r="H290" s="18">
        <v>26713</v>
      </c>
      <c r="I290" s="17">
        <f>622+2+3+1+1+25+2+17</f>
        <v>673</v>
      </c>
      <c r="K290" s="17" t="s">
        <v>1415</v>
      </c>
      <c r="M290" s="17" t="s">
        <v>1425</v>
      </c>
      <c r="N290" s="17" t="s">
        <v>1422</v>
      </c>
    </row>
    <row r="291" spans="1:14" ht="165" x14ac:dyDescent="0.25">
      <c r="A291" s="1" t="s">
        <v>1416</v>
      </c>
      <c r="B291" s="1" t="s">
        <v>226</v>
      </c>
      <c r="C291" s="1" t="s">
        <v>63</v>
      </c>
      <c r="D291" s="1" t="s">
        <v>210</v>
      </c>
      <c r="E291" s="4" t="s">
        <v>1417</v>
      </c>
      <c r="F291" s="1" t="s">
        <v>6</v>
      </c>
      <c r="G291" s="1" t="s">
        <v>20</v>
      </c>
      <c r="I291" s="1">
        <f>33+4+3+6+5+1+2+3+2+1+3+3+8+1+43</f>
        <v>118</v>
      </c>
      <c r="K291" s="1" t="s">
        <v>1420</v>
      </c>
      <c r="M291" s="1" t="s">
        <v>3326</v>
      </c>
      <c r="N291" s="1" t="s">
        <v>1426</v>
      </c>
    </row>
    <row r="292" spans="1:14" ht="60" x14ac:dyDescent="0.25">
      <c r="A292" s="1" t="s">
        <v>1418</v>
      </c>
      <c r="B292" s="1" t="s">
        <v>89</v>
      </c>
      <c r="C292" s="1" t="s">
        <v>244</v>
      </c>
      <c r="D292" s="1" t="s">
        <v>348</v>
      </c>
      <c r="E292" s="4" t="s">
        <v>1419</v>
      </c>
      <c r="F292" s="1" t="s">
        <v>186</v>
      </c>
      <c r="G292" s="1" t="s">
        <v>9</v>
      </c>
      <c r="H292" s="4">
        <v>26743</v>
      </c>
      <c r="I292" s="1">
        <f>131+4+2+4+1+14+13</f>
        <v>169</v>
      </c>
      <c r="K292" s="1" t="s">
        <v>1421</v>
      </c>
      <c r="M292" s="1" t="s">
        <v>1428</v>
      </c>
      <c r="N292" s="1" t="s">
        <v>1427</v>
      </c>
    </row>
    <row r="293" spans="1:14" s="17" customFormat="1" x14ac:dyDescent="0.25">
      <c r="A293" s="17" t="s">
        <v>1546</v>
      </c>
      <c r="B293" s="17" t="s">
        <v>1547</v>
      </c>
      <c r="C293" s="17" t="s">
        <v>244</v>
      </c>
      <c r="D293" s="17" t="s">
        <v>1531</v>
      </c>
      <c r="E293" s="18" t="s">
        <v>1116</v>
      </c>
      <c r="F293" s="17" t="s">
        <v>386</v>
      </c>
      <c r="H293" s="18"/>
      <c r="M293" s="17" t="s">
        <v>1539</v>
      </c>
    </row>
    <row r="294" spans="1:14" ht="60" x14ac:dyDescent="0.25">
      <c r="A294" s="1" t="s">
        <v>1429</v>
      </c>
      <c r="B294" s="1" t="s">
        <v>1430</v>
      </c>
      <c r="C294" s="1" t="s">
        <v>67</v>
      </c>
      <c r="D294" s="1" t="s">
        <v>553</v>
      </c>
      <c r="E294" s="4" t="s">
        <v>1431</v>
      </c>
      <c r="F294" s="1" t="s">
        <v>186</v>
      </c>
      <c r="G294" s="1" t="s">
        <v>9</v>
      </c>
      <c r="H294" s="4">
        <v>26744</v>
      </c>
      <c r="I294" s="1">
        <f>435+5+3</f>
        <v>443</v>
      </c>
      <c r="K294" s="1" t="s">
        <v>1435</v>
      </c>
      <c r="M294" s="1" t="s">
        <v>1400</v>
      </c>
    </row>
    <row r="295" spans="1:14" ht="30" x14ac:dyDescent="0.25">
      <c r="A295" s="1" t="s">
        <v>1432</v>
      </c>
      <c r="B295" s="1" t="s">
        <v>140</v>
      </c>
      <c r="C295" s="1" t="s">
        <v>244</v>
      </c>
      <c r="D295" s="1" t="s">
        <v>201</v>
      </c>
      <c r="E295" s="4" t="s">
        <v>903</v>
      </c>
      <c r="F295" s="1" t="s">
        <v>6</v>
      </c>
      <c r="G295" s="1" t="s">
        <v>222</v>
      </c>
      <c r="H295" s="4">
        <v>26756</v>
      </c>
      <c r="I295" s="1">
        <f>37+7+4</f>
        <v>48</v>
      </c>
      <c r="K295" s="1" t="s">
        <v>1436</v>
      </c>
      <c r="M295" s="1" t="s">
        <v>1439</v>
      </c>
    </row>
    <row r="296" spans="1:14" ht="76.5" customHeight="1" x14ac:dyDescent="0.25">
      <c r="A296" s="1" t="s">
        <v>1433</v>
      </c>
      <c r="B296" s="1" t="s">
        <v>635</v>
      </c>
      <c r="C296" s="1" t="s">
        <v>32</v>
      </c>
      <c r="D296" s="1" t="s">
        <v>348</v>
      </c>
      <c r="E296" s="4" t="s">
        <v>341</v>
      </c>
      <c r="F296" s="1" t="s">
        <v>186</v>
      </c>
      <c r="G296" s="1" t="s">
        <v>9</v>
      </c>
      <c r="H296" s="4">
        <v>26733</v>
      </c>
      <c r="I296" s="1">
        <f>358+1+2+2+1+32+2+1</f>
        <v>399</v>
      </c>
      <c r="K296" s="1" t="s">
        <v>1437</v>
      </c>
      <c r="M296" s="1" t="s">
        <v>1441</v>
      </c>
      <c r="N296" s="1" t="s">
        <v>1440</v>
      </c>
    </row>
    <row r="297" spans="1:14" ht="60" x14ac:dyDescent="0.25">
      <c r="A297" s="1" t="s">
        <v>450</v>
      </c>
      <c r="B297" s="1" t="s">
        <v>100</v>
      </c>
      <c r="C297" s="1" t="s">
        <v>192</v>
      </c>
      <c r="D297" s="1" t="s">
        <v>348</v>
      </c>
      <c r="E297" s="4" t="s">
        <v>1434</v>
      </c>
      <c r="F297" s="1" t="s">
        <v>186</v>
      </c>
      <c r="G297" s="1" t="s">
        <v>9</v>
      </c>
      <c r="H297" s="4">
        <v>26758</v>
      </c>
      <c r="I297" s="1">
        <f>211+2+2+6+6</f>
        <v>227</v>
      </c>
      <c r="K297" s="1" t="s">
        <v>1438</v>
      </c>
      <c r="M297" s="1" t="s">
        <v>1443</v>
      </c>
      <c r="N297" s="1" t="s">
        <v>1442</v>
      </c>
    </row>
    <row r="298" spans="1:14" ht="135" x14ac:dyDescent="0.25">
      <c r="A298" s="1" t="s">
        <v>1444</v>
      </c>
      <c r="B298" s="1" t="s">
        <v>116</v>
      </c>
      <c r="C298" s="1" t="s">
        <v>32</v>
      </c>
      <c r="D298" s="1" t="s">
        <v>588</v>
      </c>
      <c r="E298" s="4" t="s">
        <v>1445</v>
      </c>
      <c r="F298" s="1" t="s">
        <v>186</v>
      </c>
      <c r="G298" s="1" t="s">
        <v>9</v>
      </c>
      <c r="H298" s="4">
        <v>26734</v>
      </c>
      <c r="I298" s="1">
        <f>126+4+2+8+2+7+20+1+5+22+6+2+1+8+2+1+34</f>
        <v>251</v>
      </c>
      <c r="K298" s="1" t="s">
        <v>1446</v>
      </c>
      <c r="M298" s="1" t="s">
        <v>3327</v>
      </c>
    </row>
    <row r="299" spans="1:14" ht="75" x14ac:dyDescent="0.25">
      <c r="A299" s="1" t="s">
        <v>1447</v>
      </c>
      <c r="B299" s="1" t="s">
        <v>808</v>
      </c>
      <c r="C299" s="1" t="s">
        <v>113</v>
      </c>
      <c r="D299" s="1" t="s">
        <v>553</v>
      </c>
      <c r="E299" s="4" t="s">
        <v>1448</v>
      </c>
      <c r="F299" s="1" t="s">
        <v>186</v>
      </c>
      <c r="G299" s="1" t="s">
        <v>9</v>
      </c>
      <c r="H299" s="4">
        <v>26735</v>
      </c>
      <c r="I299" s="1">
        <f>362+6+6+2+2+22+2+22+2</f>
        <v>426</v>
      </c>
      <c r="K299" s="1" t="s">
        <v>1450</v>
      </c>
      <c r="M299" s="1" t="s">
        <v>1453</v>
      </c>
      <c r="N299" s="1" t="s">
        <v>1452</v>
      </c>
    </row>
    <row r="300" spans="1:14" s="17" customFormat="1" x14ac:dyDescent="0.25">
      <c r="A300" s="17" t="s">
        <v>1543</v>
      </c>
      <c r="B300" s="17" t="s">
        <v>116</v>
      </c>
      <c r="D300" s="17" t="s">
        <v>1544</v>
      </c>
      <c r="E300" s="18" t="s">
        <v>1545</v>
      </c>
      <c r="F300" s="17" t="s">
        <v>386</v>
      </c>
      <c r="H300" s="18"/>
      <c r="M300" s="17" t="s">
        <v>1524</v>
      </c>
    </row>
    <row r="301" spans="1:14" ht="90" x14ac:dyDescent="0.25">
      <c r="A301" s="1" t="s">
        <v>1449</v>
      </c>
      <c r="B301" s="1" t="s">
        <v>116</v>
      </c>
      <c r="C301" s="1" t="s">
        <v>32</v>
      </c>
      <c r="D301" s="1" t="s">
        <v>210</v>
      </c>
      <c r="E301" s="4" t="s">
        <v>513</v>
      </c>
      <c r="F301" s="1" t="s">
        <v>6</v>
      </c>
      <c r="G301" s="1" t="s">
        <v>20</v>
      </c>
      <c r="I301" s="1">
        <f>25+4+3+1+3+1+12+1+39+54</f>
        <v>143</v>
      </c>
      <c r="K301" s="1" t="s">
        <v>1451</v>
      </c>
      <c r="M301" s="1" t="s">
        <v>1454</v>
      </c>
    </row>
    <row r="302" spans="1:14" ht="60" x14ac:dyDescent="0.25">
      <c r="A302" s="1" t="s">
        <v>1455</v>
      </c>
      <c r="B302" s="1" t="s">
        <v>1456</v>
      </c>
      <c r="C302" s="1" t="s">
        <v>182</v>
      </c>
      <c r="D302" s="1" t="s">
        <v>210</v>
      </c>
      <c r="E302" s="4" t="s">
        <v>1230</v>
      </c>
      <c r="F302" s="1" t="s">
        <v>781</v>
      </c>
      <c r="G302" s="1" t="s">
        <v>20</v>
      </c>
      <c r="I302" s="1">
        <f>60+4+35+158</f>
        <v>257</v>
      </c>
      <c r="K302" s="1" t="s">
        <v>1457</v>
      </c>
      <c r="M302" s="1" t="s">
        <v>1464</v>
      </c>
      <c r="N302" s="1" t="s">
        <v>1465</v>
      </c>
    </row>
    <row r="303" spans="1:14" ht="75" x14ac:dyDescent="0.25">
      <c r="A303" s="1" t="s">
        <v>1458</v>
      </c>
      <c r="B303" s="1" t="s">
        <v>1459</v>
      </c>
      <c r="C303" s="1" t="s">
        <v>412</v>
      </c>
      <c r="D303" s="1" t="s">
        <v>314</v>
      </c>
      <c r="E303" s="18" t="s">
        <v>1466</v>
      </c>
      <c r="F303" s="36" t="s">
        <v>1467</v>
      </c>
      <c r="G303" s="1" t="s">
        <v>20</v>
      </c>
      <c r="H303" s="4">
        <v>23907</v>
      </c>
      <c r="I303" s="1">
        <f>173+6+6+2+5+1+7</f>
        <v>200</v>
      </c>
      <c r="K303" s="1" t="s">
        <v>1462</v>
      </c>
      <c r="M303" s="1" t="s">
        <v>3328</v>
      </c>
    </row>
    <row r="304" spans="1:14" ht="90" x14ac:dyDescent="0.25">
      <c r="A304" s="1" t="s">
        <v>1460</v>
      </c>
      <c r="B304" s="1" t="s">
        <v>1127</v>
      </c>
      <c r="C304" s="1" t="s">
        <v>17</v>
      </c>
      <c r="D304" s="1" t="s">
        <v>553</v>
      </c>
      <c r="E304" s="4" t="s">
        <v>1461</v>
      </c>
      <c r="F304" s="1" t="s">
        <v>186</v>
      </c>
      <c r="G304" s="1" t="s">
        <v>9</v>
      </c>
      <c r="H304" s="4">
        <v>26742</v>
      </c>
      <c r="I304" s="1">
        <f>338+1+21+4+29+9+5+7+59+14+17+14</f>
        <v>518</v>
      </c>
      <c r="K304" s="1" t="s">
        <v>1463</v>
      </c>
      <c r="M304" s="1" t="s">
        <v>3329</v>
      </c>
    </row>
    <row r="305" spans="1:15" s="17" customFormat="1" x14ac:dyDescent="0.25">
      <c r="A305" s="17" t="s">
        <v>1548</v>
      </c>
      <c r="B305" s="17" t="s">
        <v>847</v>
      </c>
      <c r="C305" s="17" t="s">
        <v>26</v>
      </c>
      <c r="D305" s="17" t="s">
        <v>214</v>
      </c>
      <c r="E305" s="18" t="s">
        <v>1549</v>
      </c>
      <c r="F305" s="17" t="s">
        <v>386</v>
      </c>
      <c r="H305" s="18"/>
      <c r="M305" s="17" t="s">
        <v>3153</v>
      </c>
    </row>
    <row r="306" spans="1:15" ht="60" x14ac:dyDescent="0.25">
      <c r="A306" s="1" t="s">
        <v>1468</v>
      </c>
      <c r="B306" s="1" t="s">
        <v>163</v>
      </c>
      <c r="C306" s="1" t="s">
        <v>67</v>
      </c>
      <c r="D306" s="1" t="s">
        <v>101</v>
      </c>
      <c r="E306" s="4" t="s">
        <v>378</v>
      </c>
      <c r="F306" s="1" t="s">
        <v>186</v>
      </c>
      <c r="G306" s="1" t="s">
        <v>9</v>
      </c>
      <c r="H306" s="4">
        <v>26711</v>
      </c>
      <c r="I306" s="1">
        <f>173+1+10+2+13+11+2+14</f>
        <v>226</v>
      </c>
      <c r="K306" s="1" t="s">
        <v>1469</v>
      </c>
      <c r="M306" s="1" t="s">
        <v>3330</v>
      </c>
      <c r="N306" s="1" t="s">
        <v>1480</v>
      </c>
      <c r="O306" s="1" t="s">
        <v>1503</v>
      </c>
    </row>
    <row r="307" spans="1:15" ht="30" x14ac:dyDescent="0.25">
      <c r="A307" s="1" t="s">
        <v>1468</v>
      </c>
      <c r="B307" s="1" t="s">
        <v>116</v>
      </c>
      <c r="C307" s="1" t="s">
        <v>72</v>
      </c>
      <c r="D307" s="1" t="s">
        <v>227</v>
      </c>
      <c r="E307" s="4" t="s">
        <v>1470</v>
      </c>
      <c r="F307" s="1" t="s">
        <v>186</v>
      </c>
      <c r="G307" s="1" t="s">
        <v>222</v>
      </c>
      <c r="H307" s="4">
        <v>24792</v>
      </c>
      <c r="I307" s="1">
        <f>168+4</f>
        <v>172</v>
      </c>
      <c r="K307" s="1" t="s">
        <v>1474</v>
      </c>
      <c r="M307" s="1" t="s">
        <v>1488</v>
      </c>
    </row>
    <row r="308" spans="1:15" ht="17.25" customHeight="1" x14ac:dyDescent="0.25">
      <c r="A308" s="1" t="s">
        <v>1471</v>
      </c>
      <c r="B308" s="1" t="s">
        <v>1472</v>
      </c>
      <c r="C308" s="1" t="s">
        <v>32</v>
      </c>
      <c r="D308" s="1" t="s">
        <v>227</v>
      </c>
      <c r="E308" s="4" t="s">
        <v>903</v>
      </c>
      <c r="F308" s="1" t="s">
        <v>6</v>
      </c>
      <c r="G308" s="1" t="s">
        <v>222</v>
      </c>
      <c r="H308" s="4">
        <v>26756</v>
      </c>
      <c r="I308" s="1">
        <f>30+2</f>
        <v>32</v>
      </c>
      <c r="K308" s="1" t="s">
        <v>1475</v>
      </c>
      <c r="M308" s="1" t="s">
        <v>1487</v>
      </c>
      <c r="O308" s="1" t="s">
        <v>1501</v>
      </c>
    </row>
    <row r="309" spans="1:15" ht="60" x14ac:dyDescent="0.25">
      <c r="A309" s="1" t="s">
        <v>116</v>
      </c>
      <c r="B309" s="1" t="s">
        <v>1481</v>
      </c>
      <c r="C309" s="1" t="s">
        <v>463</v>
      </c>
      <c r="D309" s="1" t="s">
        <v>567</v>
      </c>
      <c r="E309" s="4" t="s">
        <v>1473</v>
      </c>
      <c r="F309" s="1" t="s">
        <v>781</v>
      </c>
      <c r="G309" s="1" t="s">
        <v>20</v>
      </c>
      <c r="I309" s="1">
        <f>34+3+36+4+115</f>
        <v>192</v>
      </c>
      <c r="K309" s="1" t="s">
        <v>1476</v>
      </c>
      <c r="M309" s="1" t="s">
        <v>1482</v>
      </c>
      <c r="N309" s="1" t="s">
        <v>1483</v>
      </c>
      <c r="O309" s="1" t="s">
        <v>1500</v>
      </c>
    </row>
    <row r="310" spans="1:15" ht="60" x14ac:dyDescent="0.25">
      <c r="A310" s="1" t="s">
        <v>116</v>
      </c>
      <c r="B310" s="1" t="s">
        <v>1477</v>
      </c>
      <c r="C310" s="1" t="s">
        <v>17</v>
      </c>
      <c r="D310" s="1" t="s">
        <v>553</v>
      </c>
      <c r="E310" s="4" t="s">
        <v>1478</v>
      </c>
      <c r="F310" s="1" t="s">
        <v>186</v>
      </c>
      <c r="G310" s="1" t="s">
        <v>9</v>
      </c>
      <c r="H310" s="4">
        <v>26742</v>
      </c>
      <c r="I310" s="1">
        <f>522+8+3+4+13+4+23+7</f>
        <v>584</v>
      </c>
      <c r="K310" s="1" t="s">
        <v>1479</v>
      </c>
      <c r="M310" s="1" t="s">
        <v>1485</v>
      </c>
      <c r="N310" s="1" t="s">
        <v>1484</v>
      </c>
      <c r="O310" s="1" t="s">
        <v>1499</v>
      </c>
    </row>
    <row r="311" spans="1:15" ht="45.75" customHeight="1" x14ac:dyDescent="0.25">
      <c r="A311" s="1" t="s">
        <v>1489</v>
      </c>
      <c r="B311" s="1" t="s">
        <v>1490</v>
      </c>
      <c r="C311" s="1" t="s">
        <v>953</v>
      </c>
      <c r="D311" s="1" t="s">
        <v>101</v>
      </c>
      <c r="E311" s="4" t="s">
        <v>568</v>
      </c>
      <c r="F311" s="1" t="s">
        <v>186</v>
      </c>
      <c r="G311" s="1" t="s">
        <v>9</v>
      </c>
      <c r="H311" s="4">
        <v>26732</v>
      </c>
      <c r="I311" s="1">
        <f>317+6+1+1+3+16+2+13</f>
        <v>359</v>
      </c>
      <c r="K311" s="1" t="s">
        <v>1491</v>
      </c>
      <c r="M311" s="1" t="s">
        <v>1496</v>
      </c>
      <c r="N311" s="1" t="s">
        <v>1497</v>
      </c>
      <c r="O311" s="1" t="s">
        <v>1973</v>
      </c>
    </row>
    <row r="312" spans="1:15" ht="45" x14ac:dyDescent="0.25">
      <c r="A312" s="1" t="s">
        <v>1492</v>
      </c>
      <c r="B312" s="1" t="s">
        <v>733</v>
      </c>
      <c r="C312" s="1" t="s">
        <v>53</v>
      </c>
      <c r="D312" s="1" t="s">
        <v>553</v>
      </c>
      <c r="E312" s="4" t="s">
        <v>793</v>
      </c>
      <c r="F312" s="1" t="s">
        <v>186</v>
      </c>
      <c r="G312" s="1" t="s">
        <v>9</v>
      </c>
      <c r="H312" s="4">
        <v>26757</v>
      </c>
      <c r="I312" s="1">
        <f>96+4+2+3+2+1+6</f>
        <v>114</v>
      </c>
      <c r="K312" s="1" t="s">
        <v>1494</v>
      </c>
      <c r="M312" s="1" t="s">
        <v>1498</v>
      </c>
      <c r="N312" s="1" t="s">
        <v>2814</v>
      </c>
      <c r="O312" s="1" t="s">
        <v>1502</v>
      </c>
    </row>
    <row r="313" spans="1:15" ht="60" x14ac:dyDescent="0.25">
      <c r="A313" s="1" t="s">
        <v>1024</v>
      </c>
      <c r="B313" s="1" t="s">
        <v>100</v>
      </c>
      <c r="C313" s="1" t="s">
        <v>17</v>
      </c>
      <c r="D313" s="1" t="s">
        <v>101</v>
      </c>
      <c r="E313" s="4" t="s">
        <v>1493</v>
      </c>
      <c r="F313" s="1" t="s">
        <v>186</v>
      </c>
      <c r="G313" s="1" t="s">
        <v>9</v>
      </c>
      <c r="H313" s="4">
        <v>26711</v>
      </c>
      <c r="I313" s="1">
        <f>135+3+3+2+9+2+14</f>
        <v>168</v>
      </c>
      <c r="K313" s="1" t="s">
        <v>1495</v>
      </c>
      <c r="M313" s="1" t="s">
        <v>3331</v>
      </c>
      <c r="N313" s="1" t="s">
        <v>1504</v>
      </c>
      <c r="O313" s="1" t="s">
        <v>3332</v>
      </c>
    </row>
    <row r="314" spans="1:15" ht="75" x14ac:dyDescent="0.25">
      <c r="A314" s="1" t="s">
        <v>1505</v>
      </c>
      <c r="B314" s="1" t="s">
        <v>1040</v>
      </c>
      <c r="C314" s="1" t="s">
        <v>244</v>
      </c>
      <c r="D314" s="1" t="s">
        <v>567</v>
      </c>
      <c r="E314" s="4" t="s">
        <v>1506</v>
      </c>
      <c r="F314" s="1" t="s">
        <v>6</v>
      </c>
      <c r="G314" s="1" t="s">
        <v>20</v>
      </c>
      <c r="I314" s="1">
        <f>36+4+53+1+2</f>
        <v>96</v>
      </c>
      <c r="K314" s="1" t="s">
        <v>1507</v>
      </c>
      <c r="M314" s="1" t="s">
        <v>1551</v>
      </c>
      <c r="O314" s="1" t="s">
        <v>1550</v>
      </c>
    </row>
    <row r="315" spans="1:15" ht="45" x14ac:dyDescent="0.25">
      <c r="A315" s="1" t="s">
        <v>1508</v>
      </c>
      <c r="B315" s="1" t="s">
        <v>432</v>
      </c>
      <c r="C315" s="1" t="s">
        <v>113</v>
      </c>
      <c r="D315" s="1" t="s">
        <v>101</v>
      </c>
      <c r="E315" s="4" t="s">
        <v>1509</v>
      </c>
      <c r="F315" s="1" t="s">
        <v>186</v>
      </c>
      <c r="G315" s="1" t="s">
        <v>9</v>
      </c>
      <c r="H315" s="4">
        <v>26718</v>
      </c>
      <c r="I315" s="1">
        <f>289+7+3+1+14+12</f>
        <v>326</v>
      </c>
      <c r="K315" s="1" t="s">
        <v>1513</v>
      </c>
      <c r="M315" s="1" t="s">
        <v>1553</v>
      </c>
      <c r="N315" s="1" t="s">
        <v>1552</v>
      </c>
      <c r="O315" s="1" t="s">
        <v>1974</v>
      </c>
    </row>
    <row r="316" spans="1:15" ht="30" x14ac:dyDescent="0.25">
      <c r="A316" s="1" t="s">
        <v>111</v>
      </c>
      <c r="B316" s="1" t="s">
        <v>47</v>
      </c>
      <c r="C316" s="1" t="s">
        <v>32</v>
      </c>
      <c r="D316" s="1" t="s">
        <v>227</v>
      </c>
      <c r="E316" s="4" t="s">
        <v>1510</v>
      </c>
      <c r="F316" s="1" t="s">
        <v>1029</v>
      </c>
      <c r="G316" s="1" t="s">
        <v>222</v>
      </c>
      <c r="H316" s="4">
        <v>26711</v>
      </c>
      <c r="I316" s="1">
        <f>42+16+6</f>
        <v>64</v>
      </c>
      <c r="K316" s="1" t="s">
        <v>1514</v>
      </c>
      <c r="M316" s="1" t="s">
        <v>1554</v>
      </c>
      <c r="N316" s="1" t="s">
        <v>1555</v>
      </c>
      <c r="O316" s="1" t="s">
        <v>1556</v>
      </c>
    </row>
    <row r="317" spans="1:15" x14ac:dyDescent="0.25">
      <c r="A317" s="1" t="s">
        <v>111</v>
      </c>
      <c r="B317" s="1" t="s">
        <v>635</v>
      </c>
      <c r="C317" s="1" t="s">
        <v>113</v>
      </c>
      <c r="D317" s="1" t="s">
        <v>1511</v>
      </c>
      <c r="E317" s="4" t="s">
        <v>1512</v>
      </c>
      <c r="F317" s="1" t="s">
        <v>6</v>
      </c>
      <c r="G317" s="1" t="s">
        <v>222</v>
      </c>
      <c r="H317" s="4">
        <v>24792</v>
      </c>
      <c r="I317" s="1">
        <f>120</f>
        <v>120</v>
      </c>
      <c r="K317" s="1" t="s">
        <v>1515</v>
      </c>
      <c r="M317" s="1" t="s">
        <v>1562</v>
      </c>
    </row>
    <row r="318" spans="1:15" ht="60" x14ac:dyDescent="0.25">
      <c r="A318" s="1" t="s">
        <v>111</v>
      </c>
      <c r="B318" s="1" t="s">
        <v>1557</v>
      </c>
      <c r="C318" s="1" t="s">
        <v>72</v>
      </c>
      <c r="D318" s="1" t="s">
        <v>101</v>
      </c>
      <c r="E318" s="4" t="s">
        <v>1558</v>
      </c>
      <c r="F318" s="1" t="s">
        <v>186</v>
      </c>
      <c r="G318" s="1" t="s">
        <v>9</v>
      </c>
      <c r="H318" s="4">
        <v>26728</v>
      </c>
      <c r="I318" s="1">
        <f>318+2+1+6+13+2</f>
        <v>342</v>
      </c>
      <c r="K318" s="1" t="s">
        <v>1559</v>
      </c>
      <c r="M318" s="1" t="s">
        <v>1561</v>
      </c>
      <c r="N318" s="1" t="s">
        <v>1563</v>
      </c>
      <c r="O318" s="1" t="s">
        <v>1560</v>
      </c>
    </row>
    <row r="319" spans="1:15" ht="60" x14ac:dyDescent="0.25">
      <c r="A319" s="1" t="s">
        <v>111</v>
      </c>
      <c r="B319" s="1" t="s">
        <v>808</v>
      </c>
      <c r="C319" s="1" t="s">
        <v>113</v>
      </c>
      <c r="D319" s="1" t="s">
        <v>553</v>
      </c>
      <c r="E319" s="4" t="s">
        <v>1566</v>
      </c>
      <c r="F319" s="1" t="s">
        <v>186</v>
      </c>
      <c r="G319" s="1" t="s">
        <v>9</v>
      </c>
      <c r="H319" s="4">
        <v>26747</v>
      </c>
      <c r="I319" s="1">
        <f>186+3+7+24+4+6</f>
        <v>230</v>
      </c>
      <c r="K319" s="1" t="s">
        <v>1567</v>
      </c>
      <c r="M319" s="1" t="s">
        <v>1572</v>
      </c>
      <c r="N319" s="17" t="s">
        <v>1573</v>
      </c>
      <c r="O319" s="1" t="s">
        <v>1571</v>
      </c>
    </row>
    <row r="320" spans="1:15" ht="75" x14ac:dyDescent="0.25">
      <c r="A320" s="1" t="s">
        <v>111</v>
      </c>
      <c r="B320" s="1" t="s">
        <v>148</v>
      </c>
      <c r="C320" s="1" t="s">
        <v>72</v>
      </c>
      <c r="D320" s="1" t="s">
        <v>553</v>
      </c>
      <c r="E320" s="4" t="s">
        <v>731</v>
      </c>
      <c r="F320" s="1" t="s">
        <v>186</v>
      </c>
      <c r="G320" s="1" t="s">
        <v>9</v>
      </c>
      <c r="H320" s="4">
        <v>26756</v>
      </c>
      <c r="I320" s="1">
        <f>147+2+7+7</f>
        <v>163</v>
      </c>
      <c r="K320" s="1" t="s">
        <v>1569</v>
      </c>
      <c r="M320" s="1" t="s">
        <v>1575</v>
      </c>
      <c r="N320" s="1" t="s">
        <v>1574</v>
      </c>
      <c r="O320" s="1" t="s">
        <v>1503</v>
      </c>
    </row>
    <row r="321" spans="1:15" ht="60" x14ac:dyDescent="0.25">
      <c r="A321" s="1" t="s">
        <v>111</v>
      </c>
      <c r="B321" s="1" t="s">
        <v>66</v>
      </c>
      <c r="C321" s="1" t="s">
        <v>113</v>
      </c>
      <c r="D321" s="1" t="s">
        <v>553</v>
      </c>
      <c r="E321" s="4" t="s">
        <v>1568</v>
      </c>
      <c r="F321" s="1" t="s">
        <v>186</v>
      </c>
      <c r="G321" s="1" t="s">
        <v>9</v>
      </c>
      <c r="H321" s="4">
        <v>26714</v>
      </c>
      <c r="I321" s="1">
        <f>260+4+2+11+2+22+3</f>
        <v>304</v>
      </c>
      <c r="K321" s="1" t="s">
        <v>1570</v>
      </c>
      <c r="M321" s="1" t="s">
        <v>1576</v>
      </c>
      <c r="N321" s="1" t="s">
        <v>1577</v>
      </c>
      <c r="O321" s="1" t="s">
        <v>1578</v>
      </c>
    </row>
    <row r="322" spans="1:15" ht="105" x14ac:dyDescent="0.25">
      <c r="A322" s="1" t="s">
        <v>402</v>
      </c>
      <c r="B322" s="1" t="s">
        <v>1579</v>
      </c>
      <c r="C322" s="1" t="s">
        <v>463</v>
      </c>
      <c r="D322" s="1" t="s">
        <v>101</v>
      </c>
      <c r="E322" s="4" t="s">
        <v>1580</v>
      </c>
      <c r="F322" s="1" t="s">
        <v>186</v>
      </c>
      <c r="G322" s="1" t="s">
        <v>9</v>
      </c>
      <c r="H322" s="4">
        <v>26716</v>
      </c>
      <c r="I322" s="1">
        <f>232+8+2+3+5+1+2+4+4+3+3+49+2+23</f>
        <v>341</v>
      </c>
      <c r="K322" s="1" t="s">
        <v>1581</v>
      </c>
      <c r="M322" s="1" t="s">
        <v>3333</v>
      </c>
      <c r="N322" s="1" t="s">
        <v>1747</v>
      </c>
      <c r="O322" s="1" t="s">
        <v>1974</v>
      </c>
    </row>
    <row r="323" spans="1:15" ht="60" x14ac:dyDescent="0.25">
      <c r="A323" s="1" t="s">
        <v>402</v>
      </c>
      <c r="B323" s="1" t="s">
        <v>100</v>
      </c>
      <c r="C323" s="1" t="s">
        <v>26</v>
      </c>
      <c r="D323" s="1" t="s">
        <v>348</v>
      </c>
      <c r="E323" s="4" t="s">
        <v>1408</v>
      </c>
      <c r="F323" s="1" t="s">
        <v>186</v>
      </c>
      <c r="G323" s="1" t="s">
        <v>9</v>
      </c>
      <c r="H323" s="4">
        <v>26742</v>
      </c>
      <c r="I323" s="1">
        <f>375+9+3+2+37+2+50+3</f>
        <v>481</v>
      </c>
      <c r="K323" s="1" t="s">
        <v>1583</v>
      </c>
      <c r="M323" s="1" t="s">
        <v>3348</v>
      </c>
      <c r="N323" s="1" t="s">
        <v>1582</v>
      </c>
      <c r="O323" s="1" t="s">
        <v>1975</v>
      </c>
    </row>
    <row r="324" spans="1:15" x14ac:dyDescent="0.25">
      <c r="A324" s="1" t="s">
        <v>402</v>
      </c>
      <c r="B324" s="1" t="s">
        <v>140</v>
      </c>
      <c r="C324" s="1" t="s">
        <v>463</v>
      </c>
      <c r="D324" s="1" t="s">
        <v>201</v>
      </c>
      <c r="E324" s="4" t="s">
        <v>1585</v>
      </c>
      <c r="F324" s="1" t="s">
        <v>6</v>
      </c>
      <c r="G324" s="1" t="s">
        <v>222</v>
      </c>
      <c r="H324" s="4">
        <v>25204</v>
      </c>
      <c r="I324" s="1">
        <f>64+38</f>
        <v>102</v>
      </c>
      <c r="K324" s="1" t="s">
        <v>1584</v>
      </c>
      <c r="M324" s="1" t="s">
        <v>879</v>
      </c>
    </row>
    <row r="325" spans="1:15" ht="60" x14ac:dyDescent="0.25">
      <c r="A325" s="1" t="s">
        <v>1586</v>
      </c>
      <c r="B325" s="1" t="s">
        <v>469</v>
      </c>
      <c r="C325" s="1" t="s">
        <v>67</v>
      </c>
      <c r="D325" s="1" t="s">
        <v>101</v>
      </c>
      <c r="E325" s="4" t="s">
        <v>1587</v>
      </c>
      <c r="F325" s="1" t="s">
        <v>186</v>
      </c>
      <c r="G325" s="1" t="s">
        <v>9</v>
      </c>
      <c r="H325" s="4">
        <v>26714</v>
      </c>
      <c r="I325" s="1">
        <f>170+4+3+19+15+2</f>
        <v>213</v>
      </c>
      <c r="K325" s="1" t="s">
        <v>1588</v>
      </c>
      <c r="M325" s="1" t="s">
        <v>3334</v>
      </c>
      <c r="O325" s="1" t="s">
        <v>1976</v>
      </c>
    </row>
    <row r="326" spans="1:15" ht="164.25" customHeight="1" x14ac:dyDescent="0.25">
      <c r="A326" s="1" t="s">
        <v>1589</v>
      </c>
      <c r="B326" s="1" t="s">
        <v>883</v>
      </c>
      <c r="C326" s="1" t="s">
        <v>53</v>
      </c>
      <c r="D326" s="1" t="s">
        <v>553</v>
      </c>
      <c r="E326" s="4" t="s">
        <v>1075</v>
      </c>
      <c r="F326" s="1" t="s">
        <v>186</v>
      </c>
      <c r="G326" s="1" t="s">
        <v>9</v>
      </c>
      <c r="H326" s="4">
        <v>26735</v>
      </c>
      <c r="I326" s="1">
        <f>232+1+1+5+1+5+6+10+1+2+12+2+9+13+5+6+1+6+2+1+1+4+7+1+1</f>
        <v>335</v>
      </c>
      <c r="K326" s="1" t="s">
        <v>1592</v>
      </c>
      <c r="M326" s="1" t="s">
        <v>1595</v>
      </c>
      <c r="O326" s="1" t="s">
        <v>1594</v>
      </c>
    </row>
    <row r="327" spans="1:15" ht="60" x14ac:dyDescent="0.25">
      <c r="A327" s="1" t="s">
        <v>1590</v>
      </c>
      <c r="B327" s="1" t="s">
        <v>1591</v>
      </c>
      <c r="C327" s="1" t="s">
        <v>32</v>
      </c>
      <c r="D327" s="1" t="s">
        <v>276</v>
      </c>
      <c r="E327" s="4" t="s">
        <v>1354</v>
      </c>
      <c r="F327" s="1" t="s">
        <v>386</v>
      </c>
      <c r="G327" s="1" t="s">
        <v>215</v>
      </c>
      <c r="I327" s="1">
        <f>2+34+44</f>
        <v>80</v>
      </c>
      <c r="K327" s="1" t="s">
        <v>1593</v>
      </c>
      <c r="M327" s="1" t="s">
        <v>1596</v>
      </c>
    </row>
    <row r="328" spans="1:15" ht="150" x14ac:dyDescent="0.25">
      <c r="A328" s="1" t="s">
        <v>1597</v>
      </c>
      <c r="B328" s="1" t="s">
        <v>96</v>
      </c>
      <c r="C328" s="1" t="s">
        <v>72</v>
      </c>
      <c r="D328" s="1" t="s">
        <v>703</v>
      </c>
      <c r="E328" s="4" t="s">
        <v>1598</v>
      </c>
      <c r="F328" s="1" t="s">
        <v>781</v>
      </c>
      <c r="G328" s="1" t="s">
        <v>20</v>
      </c>
      <c r="H328" s="4">
        <v>26763</v>
      </c>
      <c r="I328" s="1">
        <f>28+4+3+7+4+21+5+11+2+14+21+2+11+2+1+8+124</f>
        <v>268</v>
      </c>
      <c r="K328" s="1" t="s">
        <v>1599</v>
      </c>
      <c r="M328" s="1" t="s">
        <v>3335</v>
      </c>
      <c r="N328" s="1" t="s">
        <v>1608</v>
      </c>
      <c r="O328" s="1" t="s">
        <v>1594</v>
      </c>
    </row>
    <row r="329" spans="1:15" ht="30" x14ac:dyDescent="0.25">
      <c r="A329" s="1" t="s">
        <v>1600</v>
      </c>
      <c r="B329" s="1" t="s">
        <v>1601</v>
      </c>
      <c r="C329" s="1" t="s">
        <v>192</v>
      </c>
      <c r="D329" s="1" t="s">
        <v>227</v>
      </c>
      <c r="E329" s="4" t="s">
        <v>1602</v>
      </c>
      <c r="F329" s="1" t="s">
        <v>6</v>
      </c>
      <c r="G329" s="1" t="s">
        <v>222</v>
      </c>
      <c r="H329" s="4">
        <v>26732</v>
      </c>
      <c r="I329" s="1">
        <f>12+34+4</f>
        <v>50</v>
      </c>
      <c r="K329" s="1" t="s">
        <v>1606</v>
      </c>
      <c r="M329" s="1" t="s">
        <v>1609</v>
      </c>
    </row>
    <row r="330" spans="1:15" ht="135" x14ac:dyDescent="0.25">
      <c r="A330" s="1" t="s">
        <v>1603</v>
      </c>
      <c r="B330" s="1" t="s">
        <v>16</v>
      </c>
      <c r="C330" s="1" t="s">
        <v>953</v>
      </c>
      <c r="D330" s="1" t="s">
        <v>348</v>
      </c>
      <c r="E330" s="4" t="s">
        <v>1604</v>
      </c>
      <c r="F330" s="17" t="s">
        <v>186</v>
      </c>
      <c r="G330" s="1" t="s">
        <v>9</v>
      </c>
      <c r="H330" s="4">
        <v>26731</v>
      </c>
      <c r="I330" s="1">
        <f>29+15+3+2+2+33+2+31+1+6+6+20</f>
        <v>150</v>
      </c>
      <c r="K330" s="1" t="s">
        <v>1607</v>
      </c>
      <c r="M330" s="17" t="s">
        <v>1611</v>
      </c>
      <c r="O330" s="1" t="s">
        <v>1610</v>
      </c>
    </row>
    <row r="331" spans="1:15" ht="105" x14ac:dyDescent="0.25">
      <c r="A331" s="1" t="s">
        <v>1612</v>
      </c>
      <c r="B331" s="1" t="s">
        <v>148</v>
      </c>
      <c r="C331" s="1" t="s">
        <v>412</v>
      </c>
      <c r="D331" s="1" t="s">
        <v>101</v>
      </c>
      <c r="E331" s="4" t="s">
        <v>1605</v>
      </c>
      <c r="F331" s="1" t="s">
        <v>186</v>
      </c>
      <c r="G331" s="1" t="s">
        <v>9</v>
      </c>
      <c r="H331" s="4">
        <v>26712</v>
      </c>
      <c r="I331" s="1">
        <f>231+5+1+16+1+2+11+92+2+24+2</f>
        <v>387</v>
      </c>
      <c r="K331" s="1" t="s">
        <v>1615</v>
      </c>
      <c r="M331" s="1" t="s">
        <v>1614</v>
      </c>
      <c r="N331" s="1" t="s">
        <v>1625</v>
      </c>
      <c r="O331" s="1" t="s">
        <v>1613</v>
      </c>
    </row>
    <row r="332" spans="1:15" ht="60" x14ac:dyDescent="0.25">
      <c r="A332" s="1" t="s">
        <v>1616</v>
      </c>
      <c r="B332" s="1" t="s">
        <v>1617</v>
      </c>
      <c r="C332" s="1" t="s">
        <v>17</v>
      </c>
      <c r="D332" s="1" t="s">
        <v>314</v>
      </c>
      <c r="E332" s="4" t="s">
        <v>1618</v>
      </c>
      <c r="F332" s="1" t="s">
        <v>781</v>
      </c>
      <c r="G332" s="1" t="s">
        <v>20</v>
      </c>
      <c r="I332" s="1">
        <f>63+3+84+12+188</f>
        <v>350</v>
      </c>
      <c r="K332" s="1" t="s">
        <v>1619</v>
      </c>
      <c r="M332" s="1" t="s">
        <v>1626</v>
      </c>
      <c r="O332" s="1" t="s">
        <v>1977</v>
      </c>
    </row>
    <row r="333" spans="1:15" ht="75" x14ac:dyDescent="0.25">
      <c r="A333" s="1" t="s">
        <v>1620</v>
      </c>
      <c r="B333" s="1" t="s">
        <v>62</v>
      </c>
      <c r="C333" s="1" t="s">
        <v>67</v>
      </c>
      <c r="D333" s="1" t="s">
        <v>210</v>
      </c>
      <c r="E333" s="4" t="s">
        <v>1621</v>
      </c>
      <c r="F333" s="1" t="s">
        <v>6</v>
      </c>
      <c r="G333" s="1" t="s">
        <v>20</v>
      </c>
      <c r="I333" s="1">
        <f>27+3+2+22+3+2+1</f>
        <v>60</v>
      </c>
      <c r="K333" s="1" t="s">
        <v>1627</v>
      </c>
      <c r="M333" s="1" t="s">
        <v>1630</v>
      </c>
      <c r="N333" s="1" t="s">
        <v>1631</v>
      </c>
      <c r="O333" s="1" t="s">
        <v>1629</v>
      </c>
    </row>
    <row r="334" spans="1:15" ht="60" x14ac:dyDescent="0.25">
      <c r="A334" s="1" t="s">
        <v>1622</v>
      </c>
      <c r="B334" s="1" t="s">
        <v>140</v>
      </c>
      <c r="C334" s="1" t="s">
        <v>53</v>
      </c>
      <c r="D334" s="1" t="s">
        <v>1623</v>
      </c>
      <c r="E334" s="4" t="s">
        <v>1624</v>
      </c>
      <c r="F334" s="1" t="s">
        <v>186</v>
      </c>
      <c r="G334" s="1" t="s">
        <v>9</v>
      </c>
      <c r="H334" s="4">
        <v>26746</v>
      </c>
      <c r="I334" s="1">
        <f>258+4+2+1+9+4+17</f>
        <v>295</v>
      </c>
      <c r="K334" s="1" t="s">
        <v>1628</v>
      </c>
      <c r="M334" s="1" t="s">
        <v>3336</v>
      </c>
      <c r="O334" s="1" t="s">
        <v>1500</v>
      </c>
    </row>
    <row r="335" spans="1:15" ht="60" x14ac:dyDescent="0.25">
      <c r="A335" s="1" t="s">
        <v>1632</v>
      </c>
      <c r="B335" s="1" t="s">
        <v>96</v>
      </c>
      <c r="C335" s="1" t="s">
        <v>63</v>
      </c>
      <c r="D335" s="1" t="s">
        <v>588</v>
      </c>
      <c r="E335" s="4" t="s">
        <v>1633</v>
      </c>
      <c r="F335" s="1" t="s">
        <v>186</v>
      </c>
      <c r="G335" s="1" t="s">
        <v>9</v>
      </c>
      <c r="H335" s="4">
        <v>26757</v>
      </c>
      <c r="I335" s="1">
        <f>165+9+2+9+9+2</f>
        <v>196</v>
      </c>
      <c r="K335" s="1" t="s">
        <v>1634</v>
      </c>
      <c r="M335" s="1" t="s">
        <v>1638</v>
      </c>
      <c r="N335" s="1" t="s">
        <v>1637</v>
      </c>
      <c r="O335" s="1" t="s">
        <v>1503</v>
      </c>
    </row>
    <row r="336" spans="1:15" ht="149.25" customHeight="1" x14ac:dyDescent="0.25">
      <c r="A336" s="1" t="s">
        <v>1635</v>
      </c>
      <c r="B336" s="1" t="s">
        <v>140</v>
      </c>
      <c r="C336" s="1" t="s">
        <v>58</v>
      </c>
      <c r="D336" s="1" t="s">
        <v>101</v>
      </c>
      <c r="E336" s="4" t="s">
        <v>286</v>
      </c>
      <c r="F336" s="1" t="s">
        <v>186</v>
      </c>
      <c r="G336" s="1" t="s">
        <v>9</v>
      </c>
      <c r="H336" s="4">
        <v>26708</v>
      </c>
      <c r="I336" s="1">
        <f>62+1+2+6+4+2</f>
        <v>77</v>
      </c>
      <c r="K336" s="1" t="s">
        <v>1636</v>
      </c>
      <c r="M336" s="1" t="s">
        <v>1639</v>
      </c>
      <c r="N336" s="1" t="s">
        <v>1640</v>
      </c>
      <c r="O336" s="1" t="s">
        <v>1629</v>
      </c>
    </row>
    <row r="337" spans="1:15" ht="255" x14ac:dyDescent="0.25">
      <c r="A337" s="1" t="s">
        <v>1641</v>
      </c>
      <c r="B337" s="1" t="s">
        <v>163</v>
      </c>
      <c r="C337" s="1" t="s">
        <v>123</v>
      </c>
      <c r="D337" s="1" t="s">
        <v>314</v>
      </c>
      <c r="E337" s="4" t="s">
        <v>1642</v>
      </c>
      <c r="F337" s="1" t="s">
        <v>186</v>
      </c>
      <c r="G337" s="1" t="s">
        <v>20</v>
      </c>
      <c r="H337" s="4">
        <v>23628</v>
      </c>
      <c r="I337" s="1">
        <f>(379+346)+10+6+5+10+11+7+2+6+5+5+2+2+2+6+25+24+3+4+15+45+14+4+14+16+1+1+26+12+15</f>
        <v>1023</v>
      </c>
      <c r="K337" s="1" t="s">
        <v>1643</v>
      </c>
      <c r="M337" s="1" t="s">
        <v>3337</v>
      </c>
    </row>
    <row r="338" spans="1:15" ht="45" x14ac:dyDescent="0.25">
      <c r="A338" s="1" t="s">
        <v>1648</v>
      </c>
      <c r="B338" s="1" t="s">
        <v>1649</v>
      </c>
      <c r="C338" s="1" t="s">
        <v>67</v>
      </c>
      <c r="D338" s="1" t="s">
        <v>703</v>
      </c>
      <c r="E338" s="4" t="s">
        <v>1650</v>
      </c>
      <c r="F338" s="1" t="s">
        <v>6</v>
      </c>
      <c r="G338" s="1" t="s">
        <v>20</v>
      </c>
      <c r="I338" s="1">
        <f>62+6+54+4</f>
        <v>126</v>
      </c>
      <c r="K338" s="1" t="s">
        <v>1647</v>
      </c>
      <c r="M338" s="1" t="s">
        <v>1658</v>
      </c>
      <c r="N338" s="1" t="s">
        <v>1657</v>
      </c>
      <c r="O338" s="1" t="s">
        <v>1978</v>
      </c>
    </row>
    <row r="339" spans="1:15" ht="45" x14ac:dyDescent="0.25">
      <c r="A339" s="1" t="s">
        <v>1644</v>
      </c>
      <c r="B339" s="1" t="s">
        <v>1645</v>
      </c>
      <c r="C339" s="1" t="s">
        <v>285</v>
      </c>
      <c r="D339" s="1" t="s">
        <v>289</v>
      </c>
      <c r="E339" s="4" t="s">
        <v>1646</v>
      </c>
      <c r="F339" s="1" t="s">
        <v>186</v>
      </c>
      <c r="G339" s="1" t="s">
        <v>222</v>
      </c>
      <c r="H339" s="4">
        <v>26756</v>
      </c>
      <c r="I339" s="1">
        <f>111+55+4+7+7</f>
        <v>184</v>
      </c>
      <c r="K339" s="1" t="s">
        <v>1659</v>
      </c>
      <c r="M339" s="1" t="s">
        <v>1656</v>
      </c>
      <c r="N339" s="1" t="s">
        <v>1655</v>
      </c>
      <c r="O339" s="1" t="s">
        <v>1501</v>
      </c>
    </row>
    <row r="340" spans="1:15" ht="45" x14ac:dyDescent="0.25">
      <c r="A340" s="1" t="s">
        <v>1651</v>
      </c>
      <c r="B340" s="1" t="s">
        <v>1234</v>
      </c>
      <c r="C340" s="1" t="s">
        <v>123</v>
      </c>
      <c r="D340" s="1" t="s">
        <v>210</v>
      </c>
      <c r="E340" s="4" t="s">
        <v>1652</v>
      </c>
      <c r="F340" s="1" t="s">
        <v>6</v>
      </c>
      <c r="G340" s="1" t="s">
        <v>20</v>
      </c>
      <c r="I340" s="1">
        <f>111+4+146+2</f>
        <v>263</v>
      </c>
      <c r="K340" s="1" t="s">
        <v>1660</v>
      </c>
      <c r="M340" s="1" t="s">
        <v>1664</v>
      </c>
      <c r="O340" s="1" t="s">
        <v>1979</v>
      </c>
    </row>
    <row r="341" spans="1:15" ht="60" x14ac:dyDescent="0.25">
      <c r="A341" s="1" t="s">
        <v>1653</v>
      </c>
      <c r="B341" s="1" t="s">
        <v>1654</v>
      </c>
      <c r="C341" s="1" t="s">
        <v>17</v>
      </c>
      <c r="D341" s="1" t="s">
        <v>348</v>
      </c>
      <c r="E341" s="4" t="s">
        <v>3338</v>
      </c>
      <c r="F341" s="1" t="s">
        <v>186</v>
      </c>
      <c r="G341" s="1" t="s">
        <v>9</v>
      </c>
      <c r="H341" s="4">
        <v>26716</v>
      </c>
      <c r="I341" s="1">
        <f>184+2+3+2+8+2+16</f>
        <v>217</v>
      </c>
      <c r="K341" s="1" t="s">
        <v>1661</v>
      </c>
      <c r="M341" s="1" t="s">
        <v>1666</v>
      </c>
      <c r="N341" s="1" t="s">
        <v>1665</v>
      </c>
    </row>
    <row r="342" spans="1:15" x14ac:dyDescent="0.25">
      <c r="A342" s="1" t="s">
        <v>1653</v>
      </c>
      <c r="B342" s="1" t="s">
        <v>563</v>
      </c>
      <c r="C342" s="1" t="s">
        <v>32</v>
      </c>
      <c r="D342" s="1" t="s">
        <v>726</v>
      </c>
      <c r="E342" s="4" t="s">
        <v>1663</v>
      </c>
      <c r="F342" s="1" t="s">
        <v>6</v>
      </c>
      <c r="G342" s="1" t="s">
        <v>222</v>
      </c>
      <c r="H342" s="4">
        <v>25192</v>
      </c>
      <c r="I342" s="1">
        <f>21</f>
        <v>21</v>
      </c>
      <c r="K342" s="1" t="s">
        <v>1662</v>
      </c>
      <c r="M342" s="1" t="s">
        <v>1673</v>
      </c>
    </row>
    <row r="343" spans="1:15" ht="60" x14ac:dyDescent="0.25">
      <c r="A343" s="1" t="s">
        <v>1667</v>
      </c>
      <c r="B343" s="1" t="s">
        <v>626</v>
      </c>
      <c r="C343" s="1" t="s">
        <v>58</v>
      </c>
      <c r="D343" s="1" t="s">
        <v>1669</v>
      </c>
      <c r="E343" s="4" t="s">
        <v>1668</v>
      </c>
      <c r="F343" s="1" t="s">
        <v>6</v>
      </c>
      <c r="G343" s="1" t="s">
        <v>215</v>
      </c>
      <c r="I343" s="1">
        <f>111+29+4+55</f>
        <v>199</v>
      </c>
      <c r="K343" s="1" t="s">
        <v>1670</v>
      </c>
      <c r="M343" s="1" t="s">
        <v>1676</v>
      </c>
      <c r="N343" s="1" t="s">
        <v>1671</v>
      </c>
      <c r="O343" s="1" t="s">
        <v>1672</v>
      </c>
    </row>
    <row r="344" spans="1:15" ht="45" x14ac:dyDescent="0.25">
      <c r="A344" s="1" t="s">
        <v>1674</v>
      </c>
      <c r="B344" s="1" t="s">
        <v>116</v>
      </c>
      <c r="C344" s="1" t="s">
        <v>17</v>
      </c>
      <c r="D344" s="1" t="s">
        <v>101</v>
      </c>
      <c r="E344" s="4" t="s">
        <v>1675</v>
      </c>
      <c r="F344" s="1" t="s">
        <v>186</v>
      </c>
      <c r="G344" s="1" t="s">
        <v>9</v>
      </c>
      <c r="H344" s="4">
        <v>26752</v>
      </c>
      <c r="I344" s="1">
        <f>95+5+2+8+14+1</f>
        <v>125</v>
      </c>
      <c r="K344" s="1" t="s">
        <v>1677</v>
      </c>
      <c r="M344" s="1" t="s">
        <v>1678</v>
      </c>
      <c r="N344" s="1" t="s">
        <v>1920</v>
      </c>
      <c r="O344" s="1" t="s">
        <v>1503</v>
      </c>
    </row>
    <row r="345" spans="1:15" ht="90" x14ac:dyDescent="0.25">
      <c r="A345" s="1" t="s">
        <v>1682</v>
      </c>
      <c r="B345" s="1" t="s">
        <v>1680</v>
      </c>
      <c r="C345" s="1" t="s">
        <v>53</v>
      </c>
      <c r="D345" s="1" t="s">
        <v>990</v>
      </c>
      <c r="E345" s="4" t="s">
        <v>1681</v>
      </c>
      <c r="F345" s="1" t="s">
        <v>6</v>
      </c>
      <c r="G345" s="1" t="s">
        <v>222</v>
      </c>
      <c r="H345" s="4">
        <v>26743</v>
      </c>
      <c r="I345" s="1">
        <f>2+4+60+54+26+6+8+9+2+4+3+300</f>
        <v>478</v>
      </c>
      <c r="K345" s="1" t="s">
        <v>1683</v>
      </c>
      <c r="M345" s="1" t="s">
        <v>1685</v>
      </c>
    </row>
    <row r="346" spans="1:15" ht="75" x14ac:dyDescent="0.25">
      <c r="A346" s="1" t="s">
        <v>1679</v>
      </c>
      <c r="B346" s="1" t="s">
        <v>16</v>
      </c>
      <c r="C346" s="1" t="s">
        <v>53</v>
      </c>
      <c r="D346" s="1" t="s">
        <v>101</v>
      </c>
      <c r="E346" s="4" t="s">
        <v>1434</v>
      </c>
      <c r="F346" s="1" t="s">
        <v>186</v>
      </c>
      <c r="G346" s="1" t="s">
        <v>9</v>
      </c>
      <c r="H346" s="4">
        <v>26758</v>
      </c>
      <c r="I346" s="1">
        <f>122+4+3+8+4</f>
        <v>141</v>
      </c>
      <c r="K346" s="1" t="s">
        <v>1684</v>
      </c>
      <c r="M346" s="1" t="s">
        <v>1686</v>
      </c>
      <c r="N346" s="1" t="s">
        <v>1687</v>
      </c>
      <c r="O346" s="1" t="s">
        <v>1503</v>
      </c>
    </row>
    <row r="347" spans="1:15" ht="75" x14ac:dyDescent="0.25">
      <c r="A347" s="1" t="s">
        <v>1688</v>
      </c>
      <c r="B347" s="1" t="s">
        <v>116</v>
      </c>
      <c r="C347" s="1" t="s">
        <v>32</v>
      </c>
      <c r="D347" s="1" t="s">
        <v>588</v>
      </c>
      <c r="E347" s="4" t="s">
        <v>1690</v>
      </c>
      <c r="F347" s="1" t="s">
        <v>186</v>
      </c>
      <c r="G347" s="1" t="s">
        <v>9</v>
      </c>
      <c r="H347" s="4">
        <v>26711</v>
      </c>
      <c r="I347" s="1">
        <f>(268+640)+4+1+7+2+1+67+2+26</f>
        <v>1018</v>
      </c>
      <c r="K347" s="1" t="s">
        <v>1692</v>
      </c>
      <c r="M347" s="1" t="s">
        <v>1691</v>
      </c>
      <c r="O347" s="1" t="s">
        <v>1594</v>
      </c>
    </row>
    <row r="348" spans="1:15" ht="45" x14ac:dyDescent="0.25">
      <c r="A348" s="1" t="s">
        <v>1689</v>
      </c>
      <c r="B348" s="1" t="s">
        <v>16</v>
      </c>
      <c r="C348" s="1" t="s">
        <v>26</v>
      </c>
      <c r="D348" s="1" t="s">
        <v>348</v>
      </c>
      <c r="E348" s="4" t="s">
        <v>515</v>
      </c>
      <c r="F348" s="1" t="s">
        <v>186</v>
      </c>
      <c r="G348" s="1" t="s">
        <v>9</v>
      </c>
      <c r="H348" s="4">
        <v>26717</v>
      </c>
      <c r="I348" s="1">
        <f>115+3+28+18+1</f>
        <v>165</v>
      </c>
      <c r="K348" s="1" t="s">
        <v>1693</v>
      </c>
      <c r="M348" s="1" t="s">
        <v>1694</v>
      </c>
      <c r="N348" s="1" t="s">
        <v>1695</v>
      </c>
      <c r="O348" s="1" t="s">
        <v>1594</v>
      </c>
    </row>
    <row r="349" spans="1:15" ht="135" x14ac:dyDescent="0.25">
      <c r="A349" s="1" t="s">
        <v>1697</v>
      </c>
      <c r="B349" s="1" t="s">
        <v>1698</v>
      </c>
      <c r="C349" s="1" t="s">
        <v>67</v>
      </c>
      <c r="D349" s="1" t="s">
        <v>1623</v>
      </c>
      <c r="E349" s="4" t="s">
        <v>1445</v>
      </c>
      <c r="F349" s="1" t="s">
        <v>186</v>
      </c>
      <c r="G349" s="1" t="s">
        <v>9</v>
      </c>
      <c r="H349" s="4">
        <v>26731</v>
      </c>
      <c r="I349" s="1">
        <f>330+10+3+2+4+34+2+46+32+5+1+12+59+1+1+7+2</f>
        <v>551</v>
      </c>
      <c r="K349" s="1" t="s">
        <v>1699</v>
      </c>
      <c r="M349" s="1" t="s">
        <v>3339</v>
      </c>
      <c r="O349" s="1" t="s">
        <v>1610</v>
      </c>
    </row>
    <row r="350" spans="1:15" ht="60" x14ac:dyDescent="0.25">
      <c r="A350" s="1" t="s">
        <v>1700</v>
      </c>
      <c r="B350" s="1" t="s">
        <v>733</v>
      </c>
      <c r="C350" s="1" t="s">
        <v>63</v>
      </c>
      <c r="D350" s="1" t="s">
        <v>101</v>
      </c>
      <c r="E350" s="4" t="s">
        <v>1701</v>
      </c>
      <c r="F350" s="1" t="s">
        <v>186</v>
      </c>
      <c r="G350" s="1" t="s">
        <v>9</v>
      </c>
      <c r="H350" s="4">
        <v>26742</v>
      </c>
      <c r="I350" s="1">
        <f>280+6+6+2+15+2+17+2</f>
        <v>330</v>
      </c>
      <c r="K350" s="1" t="s">
        <v>1702</v>
      </c>
      <c r="M350" s="1" t="s">
        <v>1703</v>
      </c>
      <c r="O350" s="1" t="s">
        <v>1980</v>
      </c>
    </row>
    <row r="351" spans="1:15" ht="45" x14ac:dyDescent="0.25">
      <c r="A351" s="1" t="s">
        <v>1704</v>
      </c>
      <c r="B351" s="1" t="s">
        <v>777</v>
      </c>
      <c r="C351" s="1" t="s">
        <v>123</v>
      </c>
      <c r="D351" s="1" t="s">
        <v>348</v>
      </c>
      <c r="E351" s="4" t="s">
        <v>1705</v>
      </c>
      <c r="F351" s="1" t="s">
        <v>186</v>
      </c>
      <c r="G351" s="1" t="s">
        <v>9</v>
      </c>
      <c r="H351" s="4">
        <v>26757</v>
      </c>
      <c r="I351" s="1">
        <f>214+5+3+1+14+24</f>
        <v>261</v>
      </c>
      <c r="K351" s="1" t="s">
        <v>1706</v>
      </c>
      <c r="M351" s="1" t="s">
        <v>1711</v>
      </c>
      <c r="O351" s="1" t="s">
        <v>1594</v>
      </c>
    </row>
    <row r="352" spans="1:15" ht="88.5" customHeight="1" x14ac:dyDescent="0.25">
      <c r="A352" s="1" t="s">
        <v>1707</v>
      </c>
      <c r="B352" s="1" t="s">
        <v>140</v>
      </c>
      <c r="C352" s="1" t="s">
        <v>599</v>
      </c>
      <c r="D352" s="1" t="s">
        <v>314</v>
      </c>
      <c r="E352" s="4" t="s">
        <v>1708</v>
      </c>
      <c r="F352" s="1" t="s">
        <v>6</v>
      </c>
      <c r="G352" s="1" t="s">
        <v>20</v>
      </c>
      <c r="I352" s="1">
        <f>46+4+3+1+1+8+8+53+1</f>
        <v>125</v>
      </c>
      <c r="K352" s="1" t="s">
        <v>1712</v>
      </c>
      <c r="M352" s="1" t="s">
        <v>3340</v>
      </c>
      <c r="O352" s="1" t="s">
        <v>3341</v>
      </c>
    </row>
    <row r="353" spans="1:15" s="17" customFormat="1" ht="45" x14ac:dyDescent="0.25">
      <c r="A353" s="17" t="s">
        <v>1709</v>
      </c>
      <c r="B353" s="17" t="s">
        <v>116</v>
      </c>
      <c r="C353" s="17" t="s">
        <v>17</v>
      </c>
      <c r="D353" s="17" t="s">
        <v>101</v>
      </c>
      <c r="E353" s="18" t="s">
        <v>229</v>
      </c>
      <c r="F353" s="17" t="s">
        <v>186</v>
      </c>
      <c r="G353" s="17" t="s">
        <v>9</v>
      </c>
      <c r="H353" s="18">
        <v>26757</v>
      </c>
      <c r="I353" s="17">
        <f>126+6+2+3+4+4+1</f>
        <v>146</v>
      </c>
      <c r="K353" s="17" t="s">
        <v>1713</v>
      </c>
      <c r="M353" s="17" t="s">
        <v>3342</v>
      </c>
      <c r="N353" s="17" t="s">
        <v>1715</v>
      </c>
      <c r="O353" s="17" t="s">
        <v>1594</v>
      </c>
    </row>
    <row r="354" spans="1:15" ht="60" x14ac:dyDescent="0.25">
      <c r="A354" s="1" t="s">
        <v>150</v>
      </c>
      <c r="B354" s="1" t="s">
        <v>369</v>
      </c>
      <c r="C354" s="1" t="s">
        <v>412</v>
      </c>
      <c r="D354" s="1" t="s">
        <v>567</v>
      </c>
      <c r="E354" s="4" t="s">
        <v>1710</v>
      </c>
      <c r="F354" s="1" t="s">
        <v>781</v>
      </c>
      <c r="G354" s="1" t="s">
        <v>20</v>
      </c>
      <c r="H354" s="4">
        <v>26732</v>
      </c>
      <c r="I354" s="1">
        <f>54+4+28+3+117</f>
        <v>206</v>
      </c>
      <c r="K354" s="1" t="s">
        <v>1714</v>
      </c>
      <c r="M354" s="1" t="s">
        <v>3157</v>
      </c>
      <c r="N354" s="1" t="s">
        <v>1717</v>
      </c>
      <c r="O354" s="1" t="s">
        <v>1716</v>
      </c>
    </row>
    <row r="355" spans="1:15" ht="90" x14ac:dyDescent="0.25">
      <c r="A355" s="1" t="s">
        <v>1718</v>
      </c>
      <c r="B355" s="1" t="s">
        <v>541</v>
      </c>
      <c r="C355" s="1" t="s">
        <v>192</v>
      </c>
      <c r="D355" s="1" t="s">
        <v>348</v>
      </c>
      <c r="E355" s="4" t="s">
        <v>1721</v>
      </c>
      <c r="F355" s="1" t="s">
        <v>186</v>
      </c>
      <c r="G355" s="1" t="s">
        <v>9</v>
      </c>
      <c r="I355" s="1">
        <f>120+13+3+1+12+2+19</f>
        <v>170</v>
      </c>
      <c r="K355" s="1" t="s">
        <v>1722</v>
      </c>
      <c r="M355" s="1" t="s">
        <v>3158</v>
      </c>
      <c r="N355" s="1" t="s">
        <v>2878</v>
      </c>
      <c r="O355" s="1" t="s">
        <v>1981</v>
      </c>
    </row>
    <row r="356" spans="1:15" ht="30" x14ac:dyDescent="0.25">
      <c r="A356" s="1" t="s">
        <v>1719</v>
      </c>
      <c r="B356" s="1" t="s">
        <v>509</v>
      </c>
      <c r="C356" s="1" t="s">
        <v>72</v>
      </c>
      <c r="D356" s="1" t="s">
        <v>1720</v>
      </c>
      <c r="E356" s="4" t="s">
        <v>516</v>
      </c>
      <c r="F356" s="1" t="s">
        <v>186</v>
      </c>
      <c r="G356" s="1" t="s">
        <v>9</v>
      </c>
      <c r="H356" s="4">
        <v>26756</v>
      </c>
      <c r="I356" s="1">
        <f>105+4+4+3+11+2</f>
        <v>129</v>
      </c>
      <c r="K356" s="1" t="s">
        <v>1723</v>
      </c>
      <c r="M356" s="1" t="s">
        <v>1726</v>
      </c>
      <c r="N356" s="17"/>
      <c r="O356" s="1" t="s">
        <v>1594</v>
      </c>
    </row>
    <row r="357" spans="1:15" ht="30" x14ac:dyDescent="0.25">
      <c r="A357" s="1" t="s">
        <v>1724</v>
      </c>
      <c r="B357" s="1" t="s">
        <v>100</v>
      </c>
      <c r="C357" s="1" t="s">
        <v>58</v>
      </c>
      <c r="D357" s="1" t="s">
        <v>201</v>
      </c>
      <c r="E357" s="4" t="s">
        <v>1725</v>
      </c>
      <c r="F357" s="1" t="s">
        <v>6</v>
      </c>
      <c r="G357" s="1" t="s">
        <v>222</v>
      </c>
      <c r="H357" s="4">
        <v>25001</v>
      </c>
      <c r="I357" s="1">
        <f>14+3</f>
        <v>17</v>
      </c>
      <c r="K357" s="17" t="s">
        <v>1727</v>
      </c>
      <c r="M357" s="1" t="s">
        <v>1728</v>
      </c>
    </row>
    <row r="358" spans="1:15" ht="60" x14ac:dyDescent="0.25">
      <c r="A358" s="1" t="s">
        <v>1729</v>
      </c>
      <c r="B358" s="1" t="s">
        <v>1730</v>
      </c>
      <c r="C358" s="1" t="s">
        <v>113</v>
      </c>
      <c r="D358" s="1" t="s">
        <v>101</v>
      </c>
      <c r="E358" s="4" t="s">
        <v>1731</v>
      </c>
      <c r="F358" s="1" t="s">
        <v>186</v>
      </c>
      <c r="G358" s="1" t="s">
        <v>9</v>
      </c>
      <c r="H358" s="4">
        <v>26743</v>
      </c>
      <c r="I358" s="1">
        <f>410+6+2+1+25+2+20</f>
        <v>466</v>
      </c>
      <c r="K358" s="1" t="s">
        <v>1732</v>
      </c>
      <c r="M358" s="1" t="s">
        <v>1735</v>
      </c>
      <c r="N358" s="1" t="s">
        <v>1740</v>
      </c>
      <c r="O358" s="1" t="s">
        <v>1982</v>
      </c>
    </row>
    <row r="359" spans="1:15" ht="45" x14ac:dyDescent="0.25">
      <c r="A359" s="1" t="s">
        <v>1733</v>
      </c>
      <c r="B359" s="1" t="s">
        <v>16</v>
      </c>
      <c r="C359" s="1" t="s">
        <v>113</v>
      </c>
      <c r="D359" s="1" t="s">
        <v>227</v>
      </c>
      <c r="E359" s="4" t="s">
        <v>763</v>
      </c>
      <c r="F359" s="1" t="s">
        <v>6</v>
      </c>
      <c r="G359" s="1" t="s">
        <v>222</v>
      </c>
      <c r="H359" s="4">
        <v>26743</v>
      </c>
      <c r="I359" s="1">
        <f>57+4+30+1</f>
        <v>92</v>
      </c>
      <c r="K359" s="1" t="s">
        <v>1737</v>
      </c>
      <c r="M359" s="1" t="s">
        <v>1736</v>
      </c>
      <c r="O359" s="1" t="s">
        <v>1739</v>
      </c>
    </row>
    <row r="360" spans="1:15" ht="90" x14ac:dyDescent="0.25">
      <c r="A360" s="1" t="s">
        <v>643</v>
      </c>
      <c r="B360" s="1" t="s">
        <v>635</v>
      </c>
      <c r="C360" s="1" t="s">
        <v>63</v>
      </c>
      <c r="D360" s="1" t="s">
        <v>101</v>
      </c>
      <c r="E360" s="4" t="s">
        <v>1734</v>
      </c>
      <c r="F360" s="1" t="s">
        <v>186</v>
      </c>
      <c r="G360" s="1" t="s">
        <v>9</v>
      </c>
      <c r="H360" s="4">
        <v>26754</v>
      </c>
      <c r="I360" s="1">
        <f>386+21+6+1+1+2+12+1+4+4+1+22+1</f>
        <v>462</v>
      </c>
      <c r="K360" s="1" t="s">
        <v>1738</v>
      </c>
      <c r="M360" s="1" t="s">
        <v>3159</v>
      </c>
      <c r="O360" s="1" t="s">
        <v>1739</v>
      </c>
    </row>
    <row r="361" spans="1:15" ht="30" x14ac:dyDescent="0.25">
      <c r="A361" s="1" t="s">
        <v>1749</v>
      </c>
      <c r="B361" s="1" t="s">
        <v>1750</v>
      </c>
      <c r="C361" s="1" t="s">
        <v>113</v>
      </c>
      <c r="D361" s="1" t="s">
        <v>1751</v>
      </c>
      <c r="E361" s="4" t="s">
        <v>1752</v>
      </c>
      <c r="F361" s="1" t="s">
        <v>6</v>
      </c>
      <c r="G361" s="1" t="s">
        <v>222</v>
      </c>
      <c r="H361" s="4">
        <v>26732</v>
      </c>
      <c r="I361" s="1">
        <f>25+4+60</f>
        <v>89</v>
      </c>
      <c r="K361" s="1" t="s">
        <v>1753</v>
      </c>
      <c r="M361" s="1" t="s">
        <v>1765</v>
      </c>
      <c r="O361" s="1" t="s">
        <v>1739</v>
      </c>
    </row>
    <row r="362" spans="1:15" ht="90" x14ac:dyDescent="0.25">
      <c r="A362" s="1" t="s">
        <v>1754</v>
      </c>
      <c r="B362" s="1" t="s">
        <v>1127</v>
      </c>
      <c r="C362" s="1" t="s">
        <v>182</v>
      </c>
      <c r="D362" s="1" t="s">
        <v>314</v>
      </c>
      <c r="E362" s="4" t="s">
        <v>1755</v>
      </c>
      <c r="F362" s="1" t="s">
        <v>6</v>
      </c>
      <c r="G362" s="1" t="s">
        <v>20</v>
      </c>
      <c r="I362" s="1">
        <f>16+2+1+4+5+2+2+3+11+1+27</f>
        <v>74</v>
      </c>
      <c r="K362" s="1" t="s">
        <v>1759</v>
      </c>
      <c r="M362" s="1" t="s">
        <v>3160</v>
      </c>
      <c r="N362" s="1" t="s">
        <v>1767</v>
      </c>
      <c r="O362" s="1" t="s">
        <v>1766</v>
      </c>
    </row>
    <row r="363" spans="1:15" ht="90" customHeight="1" x14ac:dyDescent="0.25">
      <c r="A363" s="1" t="s">
        <v>1756</v>
      </c>
      <c r="B363" s="1" t="s">
        <v>354</v>
      </c>
      <c r="C363" s="1" t="s">
        <v>17</v>
      </c>
      <c r="D363" s="1" t="s">
        <v>210</v>
      </c>
      <c r="E363" s="4" t="s">
        <v>1757</v>
      </c>
      <c r="F363" s="1" t="s">
        <v>6</v>
      </c>
      <c r="G363" s="1" t="s">
        <v>20</v>
      </c>
      <c r="I363" s="1">
        <f>22+4+3+26+2+2+1+1+7+1</f>
        <v>69</v>
      </c>
      <c r="K363" s="1" t="s">
        <v>1760</v>
      </c>
      <c r="M363" s="1" t="s">
        <v>3161</v>
      </c>
      <c r="O363" s="1" t="s">
        <v>1766</v>
      </c>
    </row>
    <row r="364" spans="1:15" ht="45" x14ac:dyDescent="0.25">
      <c r="A364" s="1" t="s">
        <v>71</v>
      </c>
      <c r="B364" s="1" t="s">
        <v>1278</v>
      </c>
      <c r="C364" s="1" t="s">
        <v>182</v>
      </c>
      <c r="D364" s="1" t="s">
        <v>703</v>
      </c>
      <c r="E364" s="4" t="s">
        <v>1219</v>
      </c>
      <c r="F364" s="1" t="s">
        <v>6</v>
      </c>
      <c r="G364" s="1" t="s">
        <v>20</v>
      </c>
      <c r="I364" s="1">
        <f>66+4+74+1</f>
        <v>145</v>
      </c>
      <c r="K364" s="1" t="s">
        <v>1761</v>
      </c>
      <c r="M364" s="1" t="s">
        <v>1768</v>
      </c>
      <c r="N364" s="17" t="s">
        <v>1926</v>
      </c>
    </row>
    <row r="365" spans="1:15" ht="75" x14ac:dyDescent="0.25">
      <c r="A365" s="1" t="s">
        <v>71</v>
      </c>
      <c r="B365" s="1" t="s">
        <v>847</v>
      </c>
      <c r="C365" s="1" t="s">
        <v>17</v>
      </c>
      <c r="D365" s="1" t="s">
        <v>101</v>
      </c>
      <c r="E365" s="4" t="s">
        <v>211</v>
      </c>
      <c r="F365" s="1" t="s">
        <v>186</v>
      </c>
      <c r="G365" s="1" t="s">
        <v>9</v>
      </c>
      <c r="H365" s="4">
        <v>26756</v>
      </c>
      <c r="I365" s="1">
        <f>197+13+1+3+4+11</f>
        <v>229</v>
      </c>
      <c r="K365" s="1" t="s">
        <v>1762</v>
      </c>
      <c r="M365" s="1" t="s">
        <v>3162</v>
      </c>
      <c r="N365" s="1" t="s">
        <v>1769</v>
      </c>
      <c r="O365" s="1" t="s">
        <v>1503</v>
      </c>
    </row>
    <row r="366" spans="1:15" ht="45" x14ac:dyDescent="0.25">
      <c r="A366" s="1" t="s">
        <v>71</v>
      </c>
      <c r="B366" s="1" t="s">
        <v>200</v>
      </c>
      <c r="C366" s="1" t="s">
        <v>53</v>
      </c>
      <c r="D366" s="1" t="s">
        <v>101</v>
      </c>
      <c r="E366" s="4" t="s">
        <v>229</v>
      </c>
      <c r="F366" s="1" t="s">
        <v>186</v>
      </c>
      <c r="G366" s="1" t="s">
        <v>9</v>
      </c>
      <c r="H366" s="4">
        <v>26758</v>
      </c>
      <c r="I366" s="1">
        <f>127+11+6+7+1+3+4+4</f>
        <v>163</v>
      </c>
      <c r="K366" s="1" t="s">
        <v>1763</v>
      </c>
      <c r="M366" s="1" t="s">
        <v>1772</v>
      </c>
      <c r="N366" s="1" t="s">
        <v>1770</v>
      </c>
      <c r="O366" s="1" t="s">
        <v>1771</v>
      </c>
    </row>
    <row r="367" spans="1:15" ht="45" x14ac:dyDescent="0.25">
      <c r="A367" s="1" t="s">
        <v>71</v>
      </c>
      <c r="B367" s="1" t="s">
        <v>100</v>
      </c>
      <c r="D367" s="1" t="s">
        <v>201</v>
      </c>
      <c r="E367" s="4" t="s">
        <v>1758</v>
      </c>
      <c r="F367" s="1" t="s">
        <v>6</v>
      </c>
      <c r="G367" s="1" t="s">
        <v>222</v>
      </c>
      <c r="I367" s="1">
        <f>44+4+27+2</f>
        <v>77</v>
      </c>
      <c r="K367" s="1" t="s">
        <v>1764</v>
      </c>
      <c r="M367" s="1" t="s">
        <v>3163</v>
      </c>
      <c r="O367" s="1" t="s">
        <v>1501</v>
      </c>
    </row>
    <row r="368" spans="1:15" ht="75" x14ac:dyDescent="0.25">
      <c r="A368" s="1" t="s">
        <v>1773</v>
      </c>
      <c r="B368" s="1" t="s">
        <v>1774</v>
      </c>
      <c r="C368" s="1" t="s">
        <v>412</v>
      </c>
      <c r="D368" s="1" t="s">
        <v>1056</v>
      </c>
      <c r="E368" s="4" t="s">
        <v>859</v>
      </c>
      <c r="F368" s="1" t="s">
        <v>186</v>
      </c>
      <c r="G368" s="1" t="s">
        <v>9</v>
      </c>
      <c r="H368" s="4">
        <v>26744</v>
      </c>
      <c r="I368" s="1">
        <f>241+6+2+4+2+2+3+5+4+6</f>
        <v>275</v>
      </c>
      <c r="K368" s="1" t="s">
        <v>1775</v>
      </c>
      <c r="M368" s="1" t="s">
        <v>1776</v>
      </c>
      <c r="N368" s="1" t="s">
        <v>1777</v>
      </c>
      <c r="O368" s="1" t="s">
        <v>1594</v>
      </c>
    </row>
    <row r="369" spans="1:15" ht="44.25" customHeight="1" x14ac:dyDescent="0.25">
      <c r="A369" s="1" t="s">
        <v>1778</v>
      </c>
      <c r="B369" s="1" t="s">
        <v>1779</v>
      </c>
      <c r="C369" s="1" t="s">
        <v>72</v>
      </c>
      <c r="D369" s="1" t="s">
        <v>101</v>
      </c>
      <c r="E369" s="4" t="s">
        <v>544</v>
      </c>
      <c r="F369" s="1" t="s">
        <v>186</v>
      </c>
      <c r="G369" s="1" t="s">
        <v>9</v>
      </c>
      <c r="H369" s="4">
        <v>26714</v>
      </c>
      <c r="I369" s="1">
        <f>295+5+1+9+2+16</f>
        <v>328</v>
      </c>
      <c r="K369" s="1" t="s">
        <v>1783</v>
      </c>
      <c r="M369" s="1" t="s">
        <v>1785</v>
      </c>
      <c r="N369" s="1" t="s">
        <v>1786</v>
      </c>
      <c r="O369" s="1" t="s">
        <v>1978</v>
      </c>
    </row>
    <row r="370" spans="1:15" ht="90" x14ac:dyDescent="0.25">
      <c r="A370" s="1" t="s">
        <v>1780</v>
      </c>
      <c r="B370" s="1" t="s">
        <v>1781</v>
      </c>
      <c r="C370" s="1" t="s">
        <v>58</v>
      </c>
      <c r="D370" s="1" t="s">
        <v>101</v>
      </c>
      <c r="E370" s="4" t="s">
        <v>1782</v>
      </c>
      <c r="F370" s="1" t="s">
        <v>186</v>
      </c>
      <c r="G370" s="1" t="s">
        <v>9</v>
      </c>
      <c r="H370" s="4">
        <v>26712</v>
      </c>
      <c r="I370" s="1">
        <f>436+13+2+8+7+1+2+1+1+22+1</f>
        <v>494</v>
      </c>
      <c r="K370" s="1" t="s">
        <v>1784</v>
      </c>
      <c r="M370" s="1" t="s">
        <v>1787</v>
      </c>
      <c r="O370" s="1" t="s">
        <v>1983</v>
      </c>
    </row>
    <row r="371" spans="1:15" ht="45" x14ac:dyDescent="0.25">
      <c r="A371" s="1" t="s">
        <v>1788</v>
      </c>
      <c r="B371" s="1" t="s">
        <v>397</v>
      </c>
      <c r="C371" s="1" t="s">
        <v>103</v>
      </c>
      <c r="D371" s="1" t="s">
        <v>348</v>
      </c>
      <c r="E371" s="4" t="s">
        <v>1007</v>
      </c>
      <c r="F371" s="1" t="s">
        <v>186</v>
      </c>
      <c r="G371" s="1" t="s">
        <v>9</v>
      </c>
      <c r="H371" s="4">
        <v>26756</v>
      </c>
      <c r="I371" s="1">
        <f>160+6+2+3+7+16+4</f>
        <v>198</v>
      </c>
      <c r="K371" s="1" t="s">
        <v>1789</v>
      </c>
      <c r="M371" s="1" t="s">
        <v>1799</v>
      </c>
      <c r="N371" s="1" t="s">
        <v>1801</v>
      </c>
      <c r="O371" s="1" t="s">
        <v>1800</v>
      </c>
    </row>
    <row r="372" spans="1:15" ht="75" x14ac:dyDescent="0.25">
      <c r="A372" s="1" t="s">
        <v>1790</v>
      </c>
      <c r="B372" s="1" t="s">
        <v>116</v>
      </c>
      <c r="C372" s="1" t="s">
        <v>32</v>
      </c>
      <c r="D372" s="1" t="s">
        <v>529</v>
      </c>
      <c r="E372" s="4" t="s">
        <v>503</v>
      </c>
      <c r="F372" s="1" t="s">
        <v>186</v>
      </c>
      <c r="G372" s="1" t="s">
        <v>9</v>
      </c>
      <c r="H372" s="4">
        <v>26756</v>
      </c>
      <c r="I372" s="1">
        <f>40+4+2+1+1+4+4+4+49</f>
        <v>109</v>
      </c>
      <c r="K372" s="1" t="s">
        <v>1795</v>
      </c>
      <c r="M372" s="1" t="s">
        <v>3164</v>
      </c>
      <c r="N372" s="1" t="s">
        <v>1802</v>
      </c>
      <c r="O372" s="1" t="s">
        <v>1503</v>
      </c>
    </row>
    <row r="373" spans="1:15" ht="45" x14ac:dyDescent="0.25">
      <c r="A373" s="1" t="s">
        <v>1791</v>
      </c>
      <c r="B373" s="1" t="s">
        <v>1490</v>
      </c>
      <c r="C373" s="1" t="s">
        <v>63</v>
      </c>
      <c r="D373" s="1" t="s">
        <v>227</v>
      </c>
      <c r="E373" s="4" t="s">
        <v>1792</v>
      </c>
      <c r="F373" s="1" t="s">
        <v>6</v>
      </c>
      <c r="G373" s="1" t="s">
        <v>222</v>
      </c>
      <c r="H373" s="4">
        <v>26743</v>
      </c>
      <c r="I373" s="1">
        <f>32+47+2+4</f>
        <v>85</v>
      </c>
      <c r="K373" s="1" t="s">
        <v>1796</v>
      </c>
      <c r="M373" s="1" t="s">
        <v>3165</v>
      </c>
      <c r="O373" s="1" t="s">
        <v>1629</v>
      </c>
    </row>
    <row r="374" spans="1:15" ht="75" x14ac:dyDescent="0.25">
      <c r="A374" s="1" t="s">
        <v>1791</v>
      </c>
      <c r="B374" s="1" t="s">
        <v>1750</v>
      </c>
      <c r="C374" s="1" t="s">
        <v>182</v>
      </c>
      <c r="D374" s="1" t="s">
        <v>348</v>
      </c>
      <c r="E374" s="4" t="s">
        <v>1793</v>
      </c>
      <c r="F374" s="1" t="s">
        <v>186</v>
      </c>
      <c r="G374" s="1" t="s">
        <v>9</v>
      </c>
      <c r="H374" s="4">
        <v>26757</v>
      </c>
      <c r="I374" s="1">
        <f>420+35+1+2+1+4+1+11+3+7+1+47</f>
        <v>533</v>
      </c>
      <c r="K374" s="1" t="s">
        <v>1797</v>
      </c>
      <c r="M374" s="1" t="s">
        <v>1804</v>
      </c>
      <c r="N374" s="1" t="s">
        <v>1803</v>
      </c>
      <c r="O374" s="1" t="s">
        <v>1716</v>
      </c>
    </row>
    <row r="375" spans="1:15" ht="60" x14ac:dyDescent="0.25">
      <c r="A375" s="1" t="s">
        <v>1794</v>
      </c>
      <c r="B375" s="1" t="s">
        <v>116</v>
      </c>
      <c r="C375" s="1" t="s">
        <v>123</v>
      </c>
      <c r="D375" s="1" t="s">
        <v>553</v>
      </c>
      <c r="E375" s="4" t="s">
        <v>1805</v>
      </c>
      <c r="F375" s="1" t="s">
        <v>186</v>
      </c>
      <c r="G375" s="1" t="s">
        <v>9</v>
      </c>
      <c r="H375" s="4">
        <v>25056</v>
      </c>
      <c r="I375" s="1">
        <f>170+15+1+8+2+7</f>
        <v>203</v>
      </c>
      <c r="K375" s="1" t="s">
        <v>1798</v>
      </c>
      <c r="M375" s="1" t="s">
        <v>1806</v>
      </c>
    </row>
    <row r="376" spans="1:15" ht="60" x14ac:dyDescent="0.25">
      <c r="A376" s="10" t="s">
        <v>1794</v>
      </c>
      <c r="B376" s="1" t="s">
        <v>116</v>
      </c>
      <c r="C376" s="1" t="s">
        <v>123</v>
      </c>
      <c r="D376" s="1" t="s">
        <v>553</v>
      </c>
      <c r="E376" s="4" t="s">
        <v>1805</v>
      </c>
      <c r="F376" s="1" t="s">
        <v>186</v>
      </c>
      <c r="G376" s="1" t="s">
        <v>9</v>
      </c>
      <c r="H376" s="4">
        <v>25056</v>
      </c>
      <c r="I376" s="1">
        <f>79+110+134+39</f>
        <v>362</v>
      </c>
      <c r="K376" s="1" t="s">
        <v>1807</v>
      </c>
      <c r="M376" s="1" t="s">
        <v>1808</v>
      </c>
    </row>
    <row r="377" spans="1:15" ht="60" x14ac:dyDescent="0.25">
      <c r="A377" s="1" t="s">
        <v>1809</v>
      </c>
      <c r="B377" s="1" t="s">
        <v>275</v>
      </c>
      <c r="C377" s="1" t="s">
        <v>17</v>
      </c>
      <c r="D377" s="1" t="s">
        <v>101</v>
      </c>
      <c r="E377" s="4" t="s">
        <v>1045</v>
      </c>
      <c r="F377" s="1" t="s">
        <v>186</v>
      </c>
      <c r="G377" s="1" t="s">
        <v>9</v>
      </c>
      <c r="H377" s="4">
        <v>26737</v>
      </c>
      <c r="I377" s="1">
        <f>155+7+3+2+2+10+2+23</f>
        <v>204</v>
      </c>
      <c r="K377" s="1" t="s">
        <v>1810</v>
      </c>
      <c r="M377" s="1" t="s">
        <v>3166</v>
      </c>
      <c r="N377" s="1" t="s">
        <v>1818</v>
      </c>
    </row>
    <row r="378" spans="1:15" ht="60" x14ac:dyDescent="0.25">
      <c r="A378" s="1" t="s">
        <v>1811</v>
      </c>
      <c r="B378" s="1" t="s">
        <v>626</v>
      </c>
      <c r="C378" s="1" t="s">
        <v>412</v>
      </c>
      <c r="D378" s="1" t="s">
        <v>101</v>
      </c>
      <c r="E378" s="4" t="s">
        <v>1812</v>
      </c>
      <c r="F378" s="1" t="s">
        <v>186</v>
      </c>
      <c r="G378" s="1" t="s">
        <v>9</v>
      </c>
      <c r="H378" s="4">
        <v>26715</v>
      </c>
      <c r="I378" s="1">
        <f>210+6+2+5+14+2+18</f>
        <v>257</v>
      </c>
      <c r="K378" s="1" t="s">
        <v>1816</v>
      </c>
      <c r="M378" s="1" t="s">
        <v>3167</v>
      </c>
      <c r="N378" s="17" t="s">
        <v>1925</v>
      </c>
      <c r="O378" s="1" t="s">
        <v>1979</v>
      </c>
    </row>
    <row r="379" spans="1:15" ht="60" x14ac:dyDescent="0.25">
      <c r="A379" s="1" t="s">
        <v>1813</v>
      </c>
      <c r="B379" s="1" t="s">
        <v>1814</v>
      </c>
      <c r="C379" s="1" t="s">
        <v>67</v>
      </c>
      <c r="D379" s="1" t="s">
        <v>726</v>
      </c>
      <c r="E379" s="4" t="s">
        <v>1815</v>
      </c>
      <c r="F379" s="1" t="s">
        <v>6</v>
      </c>
      <c r="G379" s="1" t="s">
        <v>222</v>
      </c>
      <c r="H379" s="4">
        <v>26742</v>
      </c>
      <c r="I379" s="1">
        <f>37+4+37+63+6+1+4+4</f>
        <v>156</v>
      </c>
      <c r="K379" s="1" t="s">
        <v>1817</v>
      </c>
      <c r="M379" s="1" t="s">
        <v>1820</v>
      </c>
      <c r="O379" s="1" t="s">
        <v>1819</v>
      </c>
    </row>
    <row r="380" spans="1:15" ht="165" x14ac:dyDescent="0.25">
      <c r="A380" s="1" t="s">
        <v>1821</v>
      </c>
      <c r="B380" s="1" t="s">
        <v>1822</v>
      </c>
      <c r="D380" s="1" t="s">
        <v>529</v>
      </c>
      <c r="E380" s="4" t="s">
        <v>286</v>
      </c>
      <c r="F380" s="1" t="s">
        <v>186</v>
      </c>
      <c r="G380" s="1" t="s">
        <v>9</v>
      </c>
      <c r="H380" s="4" t="s">
        <v>1824</v>
      </c>
      <c r="I380" s="1">
        <f>118+8+1+5+22+4+2+11+2</f>
        <v>173</v>
      </c>
      <c r="K380" s="1" t="s">
        <v>1823</v>
      </c>
      <c r="M380" s="1" t="s">
        <v>1826</v>
      </c>
      <c r="N380" s="1" t="s">
        <v>1924</v>
      </c>
      <c r="O380" s="1" t="s">
        <v>1825</v>
      </c>
    </row>
    <row r="381" spans="1:15" ht="59.25" customHeight="1" x14ac:dyDescent="0.25">
      <c r="A381" s="1" t="s">
        <v>1827</v>
      </c>
      <c r="B381" s="1" t="s">
        <v>140</v>
      </c>
      <c r="C381" s="1" t="s">
        <v>192</v>
      </c>
      <c r="D381" s="1" t="s">
        <v>553</v>
      </c>
      <c r="E381" s="4" t="s">
        <v>1828</v>
      </c>
      <c r="F381" s="1" t="s">
        <v>186</v>
      </c>
      <c r="G381" s="1" t="s">
        <v>9</v>
      </c>
      <c r="H381" s="4">
        <v>26735</v>
      </c>
      <c r="I381" s="1">
        <f>201+4+2+5+2+23+2+15</f>
        <v>254</v>
      </c>
      <c r="K381" s="1" t="s">
        <v>1837</v>
      </c>
      <c r="M381" s="1" t="s">
        <v>1841</v>
      </c>
      <c r="N381" s="1" t="s">
        <v>1842</v>
      </c>
      <c r="O381" s="1" t="s">
        <v>1984</v>
      </c>
    </row>
    <row r="382" spans="1:15" ht="48" customHeight="1" x14ac:dyDescent="0.25">
      <c r="A382" s="1" t="s">
        <v>1829</v>
      </c>
      <c r="B382" s="1" t="s">
        <v>509</v>
      </c>
      <c r="C382" s="1" t="s">
        <v>123</v>
      </c>
      <c r="D382" s="1" t="s">
        <v>553</v>
      </c>
      <c r="E382" s="4" t="s">
        <v>1830</v>
      </c>
      <c r="F382" s="1" t="s">
        <v>186</v>
      </c>
      <c r="G382" s="1" t="s">
        <v>9</v>
      </c>
      <c r="H382" s="4">
        <v>26733</v>
      </c>
      <c r="I382" s="1">
        <f>164+4+2+5+2+6</f>
        <v>183</v>
      </c>
      <c r="K382" s="1" t="s">
        <v>1838</v>
      </c>
      <c r="M382" s="1" t="s">
        <v>1843</v>
      </c>
      <c r="N382" s="1" t="s">
        <v>1923</v>
      </c>
      <c r="O382" s="1" t="s">
        <v>1985</v>
      </c>
    </row>
    <row r="383" spans="1:15" ht="30" x14ac:dyDescent="0.25">
      <c r="A383" s="1" t="s">
        <v>1834</v>
      </c>
      <c r="B383" s="1" t="s">
        <v>1835</v>
      </c>
      <c r="C383" s="1" t="s">
        <v>123</v>
      </c>
      <c r="D383" s="1" t="s">
        <v>726</v>
      </c>
      <c r="E383" s="4" t="s">
        <v>1836</v>
      </c>
      <c r="F383" s="1" t="s">
        <v>6</v>
      </c>
      <c r="G383" s="1" t="s">
        <v>222</v>
      </c>
      <c r="H383" s="4">
        <v>26756</v>
      </c>
      <c r="I383" s="1">
        <f>49+4+9</f>
        <v>62</v>
      </c>
      <c r="K383" s="1" t="s">
        <v>1839</v>
      </c>
      <c r="M383" s="1" t="s">
        <v>3168</v>
      </c>
      <c r="O383" s="1" t="s">
        <v>1501</v>
      </c>
    </row>
    <row r="384" spans="1:15" ht="60" x14ac:dyDescent="0.25">
      <c r="A384" s="1" t="s">
        <v>1831</v>
      </c>
      <c r="B384" s="1" t="s">
        <v>1832</v>
      </c>
      <c r="C384" s="1" t="s">
        <v>67</v>
      </c>
      <c r="D384" s="1" t="s">
        <v>101</v>
      </c>
      <c r="E384" s="4" t="s">
        <v>1833</v>
      </c>
      <c r="F384" s="1" t="s">
        <v>186</v>
      </c>
      <c r="G384" s="1" t="s">
        <v>9</v>
      </c>
      <c r="H384" s="4">
        <v>26756</v>
      </c>
      <c r="I384" s="1">
        <f>256+7+1+3+6+36+12</f>
        <v>321</v>
      </c>
      <c r="K384" s="1" t="s">
        <v>1840</v>
      </c>
      <c r="M384" s="1" t="s">
        <v>1845</v>
      </c>
      <c r="N384" s="1" t="s">
        <v>1922</v>
      </c>
      <c r="O384" s="1" t="s">
        <v>1844</v>
      </c>
    </row>
    <row r="385" spans="1:15" x14ac:dyDescent="0.25">
      <c r="A385" s="1" t="s">
        <v>1150</v>
      </c>
      <c r="B385" s="1" t="s">
        <v>397</v>
      </c>
      <c r="C385" s="1" t="s">
        <v>72</v>
      </c>
      <c r="D385" s="1" t="s">
        <v>289</v>
      </c>
      <c r="E385" s="4" t="s">
        <v>1846</v>
      </c>
      <c r="F385" s="1" t="s">
        <v>6</v>
      </c>
      <c r="G385" s="1" t="s">
        <v>222</v>
      </c>
      <c r="H385" s="4">
        <v>26784</v>
      </c>
      <c r="I385" s="1">
        <f>22+34</f>
        <v>56</v>
      </c>
      <c r="K385" s="1" t="s">
        <v>1847</v>
      </c>
      <c r="M385" s="1" t="s">
        <v>879</v>
      </c>
    </row>
    <row r="386" spans="1:15" ht="45" x14ac:dyDescent="0.25">
      <c r="A386" s="1" t="s">
        <v>1150</v>
      </c>
      <c r="B386" s="1" t="s">
        <v>635</v>
      </c>
      <c r="C386" s="1" t="s">
        <v>53</v>
      </c>
      <c r="D386" s="1" t="s">
        <v>210</v>
      </c>
      <c r="E386" s="4" t="s">
        <v>1848</v>
      </c>
      <c r="F386" s="1" t="s">
        <v>6</v>
      </c>
      <c r="G386" s="1" t="s">
        <v>20</v>
      </c>
      <c r="I386" s="1">
        <f>62+4+90+1</f>
        <v>157</v>
      </c>
      <c r="K386" s="1" t="s">
        <v>1855</v>
      </c>
      <c r="M386" s="1" t="s">
        <v>1862</v>
      </c>
      <c r="O386" s="1" t="s">
        <v>1861</v>
      </c>
    </row>
    <row r="387" spans="1:15" ht="165" x14ac:dyDescent="0.25">
      <c r="A387" s="1" t="s">
        <v>1849</v>
      </c>
      <c r="B387" s="1" t="s">
        <v>16</v>
      </c>
      <c r="C387" s="1" t="s">
        <v>113</v>
      </c>
      <c r="D387" s="1" t="s">
        <v>348</v>
      </c>
      <c r="E387" s="4" t="s">
        <v>1248</v>
      </c>
      <c r="F387" s="1" t="s">
        <v>186</v>
      </c>
      <c r="G387" s="1" t="s">
        <v>9</v>
      </c>
      <c r="H387" s="4">
        <v>26757</v>
      </c>
      <c r="I387" s="1">
        <f>193+5+2+3+7+5+9+4</f>
        <v>228</v>
      </c>
      <c r="K387" s="1" t="s">
        <v>1856</v>
      </c>
      <c r="M387" s="1" t="s">
        <v>1865</v>
      </c>
      <c r="N387" s="1" t="s">
        <v>1863</v>
      </c>
      <c r="O387" s="1" t="s">
        <v>1864</v>
      </c>
    </row>
    <row r="388" spans="1:15" ht="30" x14ac:dyDescent="0.25">
      <c r="A388" s="1" t="s">
        <v>1850</v>
      </c>
      <c r="B388" s="1" t="s">
        <v>981</v>
      </c>
      <c r="C388" s="1" t="s">
        <v>63</v>
      </c>
      <c r="D388" s="1" t="s">
        <v>993</v>
      </c>
      <c r="E388" s="4" t="s">
        <v>1163</v>
      </c>
      <c r="F388" s="1" t="s">
        <v>1866</v>
      </c>
      <c r="G388" s="1" t="s">
        <v>215</v>
      </c>
      <c r="H388" s="4">
        <v>26742</v>
      </c>
      <c r="I388" s="1">
        <f>87+11+4</f>
        <v>102</v>
      </c>
      <c r="K388" s="1" t="s">
        <v>1857</v>
      </c>
      <c r="M388" s="1" t="s">
        <v>1867</v>
      </c>
      <c r="O388" s="1" t="s">
        <v>1986</v>
      </c>
    </row>
    <row r="389" spans="1:15" ht="30" x14ac:dyDescent="0.25">
      <c r="A389" s="1" t="s">
        <v>1851</v>
      </c>
      <c r="B389" s="1" t="s">
        <v>968</v>
      </c>
      <c r="C389" s="1" t="s">
        <v>123</v>
      </c>
      <c r="D389" s="1" t="s">
        <v>1852</v>
      </c>
      <c r="E389" s="4" t="s">
        <v>871</v>
      </c>
      <c r="F389" s="1" t="s">
        <v>6</v>
      </c>
      <c r="G389" s="1" t="s">
        <v>222</v>
      </c>
      <c r="H389" s="4">
        <v>26714</v>
      </c>
      <c r="I389" s="1">
        <f>53+4+20</f>
        <v>77</v>
      </c>
      <c r="K389" s="1" t="s">
        <v>1858</v>
      </c>
      <c r="M389" s="1" t="s">
        <v>1868</v>
      </c>
    </row>
    <row r="390" spans="1:15" ht="105" x14ac:dyDescent="0.25">
      <c r="A390" s="1" t="s">
        <v>1853</v>
      </c>
      <c r="B390" s="1" t="s">
        <v>333</v>
      </c>
      <c r="C390" s="1" t="s">
        <v>58</v>
      </c>
      <c r="D390" s="1" t="s">
        <v>314</v>
      </c>
      <c r="E390" s="4" t="s">
        <v>1757</v>
      </c>
      <c r="F390" s="1" t="s">
        <v>6</v>
      </c>
      <c r="G390" s="1" t="s">
        <v>20</v>
      </c>
      <c r="I390" s="1">
        <f>4+19+13+2+20+7</f>
        <v>65</v>
      </c>
      <c r="K390" s="1" t="s">
        <v>1859</v>
      </c>
      <c r="M390" s="1" t="s">
        <v>3169</v>
      </c>
      <c r="N390" s="1" t="s">
        <v>1869</v>
      </c>
      <c r="O390" s="1" t="s">
        <v>1800</v>
      </c>
    </row>
    <row r="391" spans="1:15" ht="45" x14ac:dyDescent="0.25">
      <c r="A391" s="1" t="s">
        <v>1854</v>
      </c>
      <c r="B391" s="1" t="s">
        <v>541</v>
      </c>
      <c r="C391" s="1" t="s">
        <v>32</v>
      </c>
      <c r="D391" s="1" t="s">
        <v>348</v>
      </c>
      <c r="E391" s="4" t="s">
        <v>1604</v>
      </c>
      <c r="F391" s="1" t="s">
        <v>186</v>
      </c>
      <c r="G391" s="1" t="s">
        <v>9</v>
      </c>
      <c r="H391" s="4">
        <v>26734</v>
      </c>
      <c r="I391" s="1">
        <f>146+2+8+2</f>
        <v>158</v>
      </c>
      <c r="K391" s="1" t="s">
        <v>1860</v>
      </c>
      <c r="M391" s="1" t="s">
        <v>1870</v>
      </c>
      <c r="N391" s="1" t="s">
        <v>1871</v>
      </c>
      <c r="O391" s="1" t="s">
        <v>1987</v>
      </c>
    </row>
    <row r="392" spans="1:15" ht="180" x14ac:dyDescent="0.25">
      <c r="A392" s="1" t="s">
        <v>1872</v>
      </c>
      <c r="B392" s="1" t="s">
        <v>226</v>
      </c>
      <c r="C392" s="1" t="s">
        <v>412</v>
      </c>
      <c r="D392" s="1" t="s">
        <v>703</v>
      </c>
      <c r="E392" s="4" t="s">
        <v>1873</v>
      </c>
      <c r="F392" s="1" t="s">
        <v>186</v>
      </c>
      <c r="G392" s="1" t="s">
        <v>20</v>
      </c>
      <c r="H392" s="4">
        <v>26713</v>
      </c>
      <c r="I392" s="1">
        <f>552+36+58+14+6+4+18+17+11+17+9+2+2+3+5+2+9</f>
        <v>765</v>
      </c>
      <c r="K392" s="1" t="s">
        <v>1874</v>
      </c>
      <c r="M392" s="1" t="s">
        <v>3170</v>
      </c>
      <c r="O392" s="1" t="s">
        <v>1716</v>
      </c>
    </row>
    <row r="393" spans="1:15" ht="45" x14ac:dyDescent="0.25">
      <c r="A393" s="1" t="s">
        <v>1919</v>
      </c>
      <c r="B393" s="1" t="s">
        <v>1875</v>
      </c>
      <c r="C393" s="1" t="s">
        <v>103</v>
      </c>
      <c r="D393" s="1" t="s">
        <v>101</v>
      </c>
      <c r="E393" s="4" t="s">
        <v>1675</v>
      </c>
      <c r="F393" s="1" t="s">
        <v>186</v>
      </c>
      <c r="G393" s="1" t="s">
        <v>9</v>
      </c>
      <c r="H393" s="4">
        <v>26392</v>
      </c>
      <c r="I393" s="1">
        <f>186+12+4+4+3+3+13</f>
        <v>225</v>
      </c>
      <c r="K393" s="1" t="s">
        <v>1876</v>
      </c>
      <c r="M393" s="1" t="s">
        <v>3171</v>
      </c>
      <c r="N393" s="17" t="s">
        <v>1921</v>
      </c>
      <c r="O393" s="1" t="s">
        <v>1594</v>
      </c>
    </row>
    <row r="394" spans="1:15" ht="75" x14ac:dyDescent="0.25">
      <c r="A394" s="1" t="s">
        <v>1877</v>
      </c>
      <c r="B394" s="1" t="s">
        <v>369</v>
      </c>
      <c r="C394" s="1" t="s">
        <v>244</v>
      </c>
      <c r="D394" s="1" t="s">
        <v>348</v>
      </c>
      <c r="E394" s="4" t="s">
        <v>516</v>
      </c>
      <c r="F394" s="1" t="s">
        <v>186</v>
      </c>
      <c r="G394" s="1" t="s">
        <v>9</v>
      </c>
      <c r="H394" s="4">
        <v>26753</v>
      </c>
      <c r="I394" s="1">
        <f>164+4+2+1+2+8</f>
        <v>181</v>
      </c>
      <c r="K394" s="1" t="s">
        <v>1880</v>
      </c>
      <c r="M394" s="1" t="s">
        <v>1885</v>
      </c>
      <c r="N394" s="1" t="s">
        <v>1886</v>
      </c>
      <c r="O394" s="1" t="s">
        <v>1594</v>
      </c>
    </row>
    <row r="395" spans="1:15" ht="45" x14ac:dyDescent="0.25">
      <c r="A395" s="1" t="s">
        <v>1878</v>
      </c>
      <c r="B395" s="1" t="s">
        <v>369</v>
      </c>
      <c r="C395" s="1" t="s">
        <v>58</v>
      </c>
      <c r="D395" s="1" t="s">
        <v>314</v>
      </c>
      <c r="E395" s="4" t="s">
        <v>1879</v>
      </c>
      <c r="F395" s="1" t="s">
        <v>781</v>
      </c>
      <c r="G395" s="1" t="s">
        <v>20</v>
      </c>
      <c r="H395" s="4">
        <v>26742</v>
      </c>
      <c r="I395" s="1">
        <f>41+4+47+20+126</f>
        <v>238</v>
      </c>
      <c r="K395" s="1" t="s">
        <v>1883</v>
      </c>
      <c r="M395" s="1" t="s">
        <v>1889</v>
      </c>
      <c r="N395" s="1" t="s">
        <v>1888</v>
      </c>
      <c r="O395" s="1" t="s">
        <v>1887</v>
      </c>
    </row>
    <row r="396" spans="1:15" ht="90" x14ac:dyDescent="0.25">
      <c r="A396" s="1" t="s">
        <v>1881</v>
      </c>
      <c r="B396" s="1" t="s">
        <v>840</v>
      </c>
      <c r="C396" s="1" t="s">
        <v>17</v>
      </c>
      <c r="D396" s="1" t="s">
        <v>227</v>
      </c>
      <c r="E396" s="4" t="s">
        <v>1882</v>
      </c>
      <c r="F396" s="1" t="s">
        <v>6</v>
      </c>
      <c r="G396" s="1" t="s">
        <v>222</v>
      </c>
      <c r="I396" s="1">
        <f>127</f>
        <v>127</v>
      </c>
      <c r="K396" s="1" t="s">
        <v>1884</v>
      </c>
      <c r="M396" s="1" t="s">
        <v>1890</v>
      </c>
      <c r="N396" s="1" t="s">
        <v>1917</v>
      </c>
    </row>
    <row r="397" spans="1:15" ht="120" x14ac:dyDescent="0.25">
      <c r="A397" s="17" t="s">
        <v>1891</v>
      </c>
      <c r="B397" s="17" t="s">
        <v>77</v>
      </c>
      <c r="C397" s="17" t="s">
        <v>953</v>
      </c>
      <c r="D397" s="17" t="s">
        <v>210</v>
      </c>
      <c r="E397" s="18" t="s">
        <v>890</v>
      </c>
      <c r="F397" s="17" t="s">
        <v>186</v>
      </c>
      <c r="G397" s="17" t="s">
        <v>20</v>
      </c>
      <c r="H397" s="18">
        <v>26744</v>
      </c>
      <c r="I397" s="17">
        <f>32+85+202+133+141+13+143+52</f>
        <v>801</v>
      </c>
      <c r="J397" s="17"/>
      <c r="K397" s="17" t="s">
        <v>3146</v>
      </c>
      <c r="M397" s="1" t="s">
        <v>3145</v>
      </c>
      <c r="O397" s="1" t="s">
        <v>1610</v>
      </c>
    </row>
    <row r="398" spans="1:15" ht="75" x14ac:dyDescent="0.25">
      <c r="A398" s="1" t="s">
        <v>3144</v>
      </c>
      <c r="B398" s="1" t="s">
        <v>16</v>
      </c>
      <c r="C398" s="1" t="s">
        <v>103</v>
      </c>
      <c r="D398" s="1" t="s">
        <v>101</v>
      </c>
      <c r="E398" s="4" t="s">
        <v>1892</v>
      </c>
      <c r="F398" s="1" t="s">
        <v>186</v>
      </c>
      <c r="G398" s="1" t="s">
        <v>9</v>
      </c>
      <c r="H398" s="4">
        <v>26733</v>
      </c>
      <c r="I398" s="1">
        <f>92+7+2+3+16+2+1+9</f>
        <v>132</v>
      </c>
      <c r="K398" s="1" t="s">
        <v>1893</v>
      </c>
      <c r="M398" s="1" t="s">
        <v>3172</v>
      </c>
      <c r="O398" s="1" t="s">
        <v>1988</v>
      </c>
    </row>
    <row r="399" spans="1:15" x14ac:dyDescent="0.25">
      <c r="A399" s="1" t="s">
        <v>1894</v>
      </c>
      <c r="B399" s="1" t="s">
        <v>616</v>
      </c>
      <c r="C399" s="1" t="s">
        <v>63</v>
      </c>
      <c r="D399" s="1" t="s">
        <v>270</v>
      </c>
      <c r="E399" s="4" t="s">
        <v>724</v>
      </c>
      <c r="F399" s="1" t="s">
        <v>6</v>
      </c>
      <c r="G399" s="1" t="s">
        <v>222</v>
      </c>
      <c r="H399" s="4">
        <v>25193</v>
      </c>
      <c r="I399" s="1">
        <f>68+40+10</f>
        <v>118</v>
      </c>
      <c r="K399" s="1" t="s">
        <v>1898</v>
      </c>
      <c r="M399" s="1" t="s">
        <v>1902</v>
      </c>
    </row>
    <row r="400" spans="1:15" ht="120" x14ac:dyDescent="0.25">
      <c r="A400" s="1" t="s">
        <v>1895</v>
      </c>
      <c r="B400" s="1" t="s">
        <v>159</v>
      </c>
      <c r="C400" s="1" t="s">
        <v>599</v>
      </c>
      <c r="D400" s="1" t="s">
        <v>210</v>
      </c>
      <c r="E400" s="4" t="s">
        <v>242</v>
      </c>
      <c r="F400" s="1" t="s">
        <v>186</v>
      </c>
      <c r="G400" s="1" t="s">
        <v>20</v>
      </c>
      <c r="H400" s="4">
        <v>26739</v>
      </c>
      <c r="I400" s="1">
        <f>213+8+2+4+1+2+1+18+33+21+122+41</f>
        <v>466</v>
      </c>
      <c r="K400" s="1" t="s">
        <v>1899</v>
      </c>
      <c r="M400" s="1" t="s">
        <v>3173</v>
      </c>
      <c r="N400" s="1" t="s">
        <v>1903</v>
      </c>
      <c r="O400" s="1" t="s">
        <v>1989</v>
      </c>
    </row>
    <row r="401" spans="1:15" ht="75" x14ac:dyDescent="0.25">
      <c r="A401" s="1" t="s">
        <v>1895</v>
      </c>
      <c r="B401" s="1" t="s">
        <v>457</v>
      </c>
      <c r="C401" s="1" t="s">
        <v>67</v>
      </c>
      <c r="D401" s="1" t="s">
        <v>101</v>
      </c>
      <c r="E401" s="4" t="s">
        <v>1896</v>
      </c>
      <c r="F401" s="1" t="s">
        <v>186</v>
      </c>
      <c r="G401" s="1" t="s">
        <v>9</v>
      </c>
      <c r="H401" s="4">
        <v>26715</v>
      </c>
      <c r="I401" s="1">
        <f>103+2+18+10+7+8+3</f>
        <v>151</v>
      </c>
      <c r="K401" s="1" t="s">
        <v>1900</v>
      </c>
      <c r="M401" s="1" t="s">
        <v>1905</v>
      </c>
      <c r="N401" s="1" t="s">
        <v>1906</v>
      </c>
      <c r="O401" s="1" t="s">
        <v>1904</v>
      </c>
    </row>
    <row r="402" spans="1:15" ht="45" x14ac:dyDescent="0.25">
      <c r="A402" s="1" t="s">
        <v>1897</v>
      </c>
      <c r="B402" s="1" t="s">
        <v>148</v>
      </c>
      <c r="C402" s="1" t="s">
        <v>53</v>
      </c>
      <c r="D402" s="1" t="s">
        <v>348</v>
      </c>
      <c r="E402" s="4" t="s">
        <v>729</v>
      </c>
      <c r="F402" s="1" t="s">
        <v>186</v>
      </c>
      <c r="G402" s="1" t="s">
        <v>9</v>
      </c>
      <c r="H402" s="4">
        <v>26756</v>
      </c>
      <c r="I402" s="1">
        <f>141+7+2+11+8+4</f>
        <v>173</v>
      </c>
      <c r="K402" s="1" t="s">
        <v>1901</v>
      </c>
      <c r="M402" s="1" t="s">
        <v>1908</v>
      </c>
      <c r="O402" s="1" t="s">
        <v>1594</v>
      </c>
    </row>
    <row r="403" spans="1:15" s="17" customFormat="1" ht="45" x14ac:dyDescent="0.25">
      <c r="A403" s="17" t="s">
        <v>1909</v>
      </c>
      <c r="B403" s="17" t="s">
        <v>77</v>
      </c>
      <c r="C403" s="17" t="s">
        <v>192</v>
      </c>
      <c r="D403" s="17" t="s">
        <v>314</v>
      </c>
      <c r="E403" s="18" t="s">
        <v>1910</v>
      </c>
      <c r="F403" s="17" t="s">
        <v>6</v>
      </c>
      <c r="G403" s="17" t="s">
        <v>20</v>
      </c>
      <c r="H403" s="18"/>
      <c r="I403" s="17">
        <f>44+4+44</f>
        <v>92</v>
      </c>
      <c r="K403" s="17" t="s">
        <v>1911</v>
      </c>
      <c r="M403" s="17" t="s">
        <v>1927</v>
      </c>
      <c r="O403" s="17" t="s">
        <v>1990</v>
      </c>
    </row>
    <row r="404" spans="1:15" ht="60" x14ac:dyDescent="0.25">
      <c r="A404" s="1" t="s">
        <v>1912</v>
      </c>
      <c r="B404" s="1" t="s">
        <v>77</v>
      </c>
      <c r="C404" s="1" t="s">
        <v>599</v>
      </c>
      <c r="D404" s="1" t="s">
        <v>314</v>
      </c>
      <c r="E404" s="4" t="s">
        <v>1913</v>
      </c>
      <c r="F404" s="1" t="s">
        <v>186</v>
      </c>
      <c r="G404" s="1" t="s">
        <v>20</v>
      </c>
      <c r="I404" s="1">
        <f>77+23+6+35</f>
        <v>141</v>
      </c>
      <c r="K404" s="1" t="s">
        <v>1915</v>
      </c>
      <c r="M404" s="1" t="s">
        <v>1928</v>
      </c>
      <c r="O404" s="1" t="s">
        <v>1991</v>
      </c>
    </row>
    <row r="405" spans="1:15" ht="60" x14ac:dyDescent="0.25">
      <c r="A405" s="1" t="s">
        <v>1914</v>
      </c>
      <c r="B405" s="1" t="s">
        <v>777</v>
      </c>
      <c r="C405" s="1" t="s">
        <v>182</v>
      </c>
      <c r="D405" s="1" t="s">
        <v>101</v>
      </c>
      <c r="E405" s="4" t="s">
        <v>544</v>
      </c>
      <c r="F405" s="1" t="s">
        <v>186</v>
      </c>
      <c r="G405" s="1" t="s">
        <v>9</v>
      </c>
      <c r="H405" s="4">
        <v>26697</v>
      </c>
      <c r="I405" s="1">
        <f>385+15+2+15+2+21</f>
        <v>440</v>
      </c>
      <c r="K405" s="1" t="s">
        <v>1916</v>
      </c>
      <c r="M405" s="1" t="s">
        <v>1930</v>
      </c>
      <c r="O405" s="1" t="s">
        <v>1929</v>
      </c>
    </row>
    <row r="406" spans="1:15" ht="75" x14ac:dyDescent="0.25">
      <c r="A406" s="1" t="s">
        <v>1931</v>
      </c>
      <c r="B406" s="1" t="s">
        <v>760</v>
      </c>
      <c r="C406" s="1" t="s">
        <v>58</v>
      </c>
      <c r="D406" s="1" t="s">
        <v>348</v>
      </c>
      <c r="E406" s="4" t="s">
        <v>1932</v>
      </c>
      <c r="F406" s="1" t="s">
        <v>186</v>
      </c>
      <c r="G406" s="1" t="s">
        <v>9</v>
      </c>
      <c r="H406" s="4">
        <v>26718</v>
      </c>
      <c r="I406" s="1">
        <f>363+8+2+2+1+32+2+29</f>
        <v>439</v>
      </c>
      <c r="K406" s="1" t="s">
        <v>1933</v>
      </c>
      <c r="M406" s="1" t="s">
        <v>1943</v>
      </c>
      <c r="N406" s="1" t="s">
        <v>1944</v>
      </c>
      <c r="O406" s="1" t="s">
        <v>1992</v>
      </c>
    </row>
    <row r="407" spans="1:15" ht="45" x14ac:dyDescent="0.25">
      <c r="A407" s="1" t="s">
        <v>1934</v>
      </c>
      <c r="B407" s="1" t="s">
        <v>1935</v>
      </c>
      <c r="D407" s="1" t="s">
        <v>227</v>
      </c>
      <c r="E407" s="4" t="s">
        <v>1936</v>
      </c>
      <c r="F407" s="1" t="s">
        <v>6</v>
      </c>
      <c r="G407" s="1" t="s">
        <v>222</v>
      </c>
      <c r="H407" s="4">
        <v>26744</v>
      </c>
      <c r="I407" s="1">
        <f>57+2+43+4+2</f>
        <v>108</v>
      </c>
      <c r="K407" s="1" t="s">
        <v>1940</v>
      </c>
      <c r="M407" s="1" t="s">
        <v>1945</v>
      </c>
      <c r="O407" s="1" t="s">
        <v>1501</v>
      </c>
    </row>
    <row r="408" spans="1:15" ht="30" x14ac:dyDescent="0.25">
      <c r="A408" s="1" t="s">
        <v>1937</v>
      </c>
      <c r="B408" s="1" t="s">
        <v>1938</v>
      </c>
      <c r="D408" s="1" t="s">
        <v>245</v>
      </c>
      <c r="E408" s="4" t="s">
        <v>1151</v>
      </c>
      <c r="F408" s="1" t="s">
        <v>6</v>
      </c>
      <c r="G408" s="1" t="s">
        <v>222</v>
      </c>
      <c r="H408" s="4">
        <v>26733</v>
      </c>
      <c r="I408" s="1">
        <f>36+4+27</f>
        <v>67</v>
      </c>
      <c r="K408" s="1" t="s">
        <v>1941</v>
      </c>
      <c r="M408" s="1" t="s">
        <v>1946</v>
      </c>
      <c r="O408" s="1" t="s">
        <v>1501</v>
      </c>
    </row>
    <row r="409" spans="1:15" ht="60" x14ac:dyDescent="0.25">
      <c r="A409" s="1" t="s">
        <v>1937</v>
      </c>
      <c r="B409" s="1" t="s">
        <v>333</v>
      </c>
      <c r="C409" s="1" t="s">
        <v>26</v>
      </c>
      <c r="D409" s="1" t="s">
        <v>101</v>
      </c>
      <c r="E409" s="4" t="s">
        <v>1939</v>
      </c>
      <c r="F409" s="1" t="s">
        <v>186</v>
      </c>
      <c r="G409" s="1" t="s">
        <v>9</v>
      </c>
      <c r="H409" s="4">
        <v>26757</v>
      </c>
      <c r="I409" s="1">
        <f>247+22+5+10+8+1+4</f>
        <v>297</v>
      </c>
      <c r="K409" s="1" t="s">
        <v>1942</v>
      </c>
      <c r="M409" s="1" t="s">
        <v>1947</v>
      </c>
      <c r="N409" s="1" t="s">
        <v>1948</v>
      </c>
      <c r="O409" s="1" t="s">
        <v>1800</v>
      </c>
    </row>
    <row r="410" spans="1:15" ht="45" x14ac:dyDescent="0.25">
      <c r="A410" s="1" t="s">
        <v>1949</v>
      </c>
      <c r="B410" s="1" t="s">
        <v>369</v>
      </c>
      <c r="C410" s="1" t="s">
        <v>182</v>
      </c>
      <c r="D410" s="1" t="s">
        <v>227</v>
      </c>
      <c r="E410" s="4" t="s">
        <v>582</v>
      </c>
      <c r="F410" s="1" t="s">
        <v>6</v>
      </c>
      <c r="G410" s="1" t="s">
        <v>222</v>
      </c>
      <c r="H410" s="4">
        <v>26743</v>
      </c>
      <c r="I410" s="1">
        <f>59+4+14+1</f>
        <v>78</v>
      </c>
      <c r="K410" s="1" t="s">
        <v>1950</v>
      </c>
      <c r="M410" s="1" t="s">
        <v>1958</v>
      </c>
      <c r="O410" s="1" t="s">
        <v>1501</v>
      </c>
    </row>
    <row r="411" spans="1:15" ht="75" x14ac:dyDescent="0.25">
      <c r="A411" s="1" t="s">
        <v>1951</v>
      </c>
      <c r="B411" s="1" t="s">
        <v>140</v>
      </c>
      <c r="C411" s="1" t="s">
        <v>192</v>
      </c>
      <c r="D411" s="1" t="s">
        <v>348</v>
      </c>
      <c r="E411" s="4" t="s">
        <v>542</v>
      </c>
      <c r="F411" s="1" t="s">
        <v>186</v>
      </c>
      <c r="G411" s="1" t="s">
        <v>9</v>
      </c>
      <c r="H411" s="4">
        <v>26732</v>
      </c>
      <c r="I411" s="1">
        <f>268+10+1+5+4+24+2+15</f>
        <v>329</v>
      </c>
      <c r="K411" s="1" t="s">
        <v>1955</v>
      </c>
      <c r="M411" s="1" t="s">
        <v>3174</v>
      </c>
      <c r="O411" s="1" t="s">
        <v>1972</v>
      </c>
    </row>
    <row r="412" spans="1:15" ht="45" x14ac:dyDescent="0.25">
      <c r="A412" s="1" t="s">
        <v>1952</v>
      </c>
      <c r="B412" s="1" t="s">
        <v>777</v>
      </c>
      <c r="C412" s="1" t="s">
        <v>412</v>
      </c>
      <c r="D412" s="1" t="s">
        <v>314</v>
      </c>
      <c r="E412" s="4" t="s">
        <v>1953</v>
      </c>
      <c r="F412" s="1" t="s">
        <v>6</v>
      </c>
      <c r="G412" s="1" t="s">
        <v>20</v>
      </c>
      <c r="I412" s="1">
        <f>28+4+89</f>
        <v>121</v>
      </c>
      <c r="K412" s="1" t="s">
        <v>1956</v>
      </c>
      <c r="M412" s="1" t="s">
        <v>1927</v>
      </c>
      <c r="O412" s="1" t="s">
        <v>1971</v>
      </c>
    </row>
    <row r="413" spans="1:15" ht="73.5" customHeight="1" x14ac:dyDescent="0.25">
      <c r="A413" s="1" t="s">
        <v>1954</v>
      </c>
      <c r="B413" s="1" t="s">
        <v>369</v>
      </c>
      <c r="C413" s="1" t="s">
        <v>53</v>
      </c>
      <c r="D413" s="1" t="s">
        <v>101</v>
      </c>
      <c r="E413" s="4" t="s">
        <v>1896</v>
      </c>
      <c r="F413" s="1" t="s">
        <v>186</v>
      </c>
      <c r="G413" s="1" t="s">
        <v>9</v>
      </c>
      <c r="H413" s="4">
        <v>26714</v>
      </c>
      <c r="I413" s="1">
        <f>396+6+5+2+3+1+10</f>
        <v>423</v>
      </c>
      <c r="K413" s="1" t="s">
        <v>1957</v>
      </c>
      <c r="M413" s="1" t="s">
        <v>1960</v>
      </c>
      <c r="N413" s="1" t="s">
        <v>1961</v>
      </c>
      <c r="O413" s="1" t="s">
        <v>1959</v>
      </c>
    </row>
    <row r="414" spans="1:15" ht="75" x14ac:dyDescent="0.25">
      <c r="A414" s="1" t="s">
        <v>1962</v>
      </c>
      <c r="B414" s="1" t="s">
        <v>635</v>
      </c>
      <c r="C414" s="1" t="s">
        <v>58</v>
      </c>
      <c r="D414" s="1" t="s">
        <v>348</v>
      </c>
      <c r="E414" s="4" t="s">
        <v>1932</v>
      </c>
      <c r="F414" s="1" t="s">
        <v>186</v>
      </c>
      <c r="G414" s="1" t="s">
        <v>9</v>
      </c>
      <c r="H414" s="4">
        <v>26717</v>
      </c>
      <c r="I414" s="1">
        <f>244+3+2+15+2+6+1+18</f>
        <v>291</v>
      </c>
      <c r="K414" s="1" t="s">
        <v>1963</v>
      </c>
      <c r="M414" s="1" t="s">
        <v>1969</v>
      </c>
      <c r="N414" s="1" t="s">
        <v>1968</v>
      </c>
      <c r="O414" s="1" t="s">
        <v>1970</v>
      </c>
    </row>
    <row r="415" spans="1:15" ht="135" x14ac:dyDescent="0.25">
      <c r="A415" s="1" t="s">
        <v>1964</v>
      </c>
      <c r="B415" s="1" t="s">
        <v>1965</v>
      </c>
      <c r="C415" s="1" t="s">
        <v>599</v>
      </c>
      <c r="D415" s="1" t="s">
        <v>703</v>
      </c>
      <c r="E415" s="4" t="s">
        <v>1966</v>
      </c>
      <c r="F415" s="1" t="s">
        <v>781</v>
      </c>
      <c r="G415" s="1" t="s">
        <v>20</v>
      </c>
      <c r="H415" s="4">
        <v>26733</v>
      </c>
      <c r="I415" s="1">
        <f>96+3+1+1+1+13+28+40+110+32+81</f>
        <v>406</v>
      </c>
      <c r="K415" s="1" t="s">
        <v>1967</v>
      </c>
      <c r="M415" s="1" t="s">
        <v>3175</v>
      </c>
      <c r="O415" s="1" t="s">
        <v>1993</v>
      </c>
    </row>
    <row r="416" spans="1:15" ht="118.5" customHeight="1" x14ac:dyDescent="0.25">
      <c r="A416" s="1" t="s">
        <v>1994</v>
      </c>
      <c r="B416" s="1" t="s">
        <v>116</v>
      </c>
      <c r="C416" s="1" t="s">
        <v>412</v>
      </c>
      <c r="D416" s="1" t="s">
        <v>567</v>
      </c>
      <c r="E416" s="4" t="s">
        <v>1995</v>
      </c>
      <c r="F416" s="1" t="s">
        <v>781</v>
      </c>
      <c r="G416" s="1" t="s">
        <v>20</v>
      </c>
      <c r="H416" s="4">
        <v>26733</v>
      </c>
      <c r="I416" s="1">
        <f>147+42+4+19+3+1+1+24+128+7+118</f>
        <v>494</v>
      </c>
      <c r="K416" s="1" t="s">
        <v>1996</v>
      </c>
      <c r="M416" s="1" t="s">
        <v>3176</v>
      </c>
      <c r="O416" s="1" t="s">
        <v>1594</v>
      </c>
    </row>
    <row r="417" spans="1:15" ht="45" x14ac:dyDescent="0.25">
      <c r="A417" s="1" t="s">
        <v>1997</v>
      </c>
      <c r="B417" s="1" t="s">
        <v>174</v>
      </c>
      <c r="C417" s="1" t="s">
        <v>67</v>
      </c>
      <c r="D417" s="1" t="s">
        <v>849</v>
      </c>
      <c r="E417" s="4" t="s">
        <v>1998</v>
      </c>
      <c r="F417" s="1" t="s">
        <v>6</v>
      </c>
      <c r="G417" s="1" t="s">
        <v>222</v>
      </c>
      <c r="H417" s="4">
        <v>26743</v>
      </c>
      <c r="I417" s="1">
        <f>94+1+1+4+49+2</f>
        <v>151</v>
      </c>
      <c r="K417" s="1" t="s">
        <v>1999</v>
      </c>
      <c r="M417" s="1" t="s">
        <v>2005</v>
      </c>
      <c r="O417" s="1" t="s">
        <v>1501</v>
      </c>
    </row>
    <row r="418" spans="1:15" ht="90" x14ac:dyDescent="0.25">
      <c r="A418" s="1" t="s">
        <v>2000</v>
      </c>
      <c r="B418" s="1" t="s">
        <v>1459</v>
      </c>
      <c r="C418" s="1" t="s">
        <v>58</v>
      </c>
      <c r="D418" s="1" t="s">
        <v>553</v>
      </c>
      <c r="E418" s="4" t="s">
        <v>2001</v>
      </c>
      <c r="F418" s="1" t="s">
        <v>186</v>
      </c>
      <c r="G418" s="1" t="s">
        <v>9</v>
      </c>
      <c r="H418" s="4">
        <v>26715</v>
      </c>
      <c r="I418" s="1">
        <f>192+4+2+1+13+4+13+2+25+5+6</f>
        <v>267</v>
      </c>
      <c r="K418" s="1" t="s">
        <v>2007</v>
      </c>
      <c r="M418" s="1" t="s">
        <v>2006</v>
      </c>
      <c r="O418" s="1" t="s">
        <v>1974</v>
      </c>
    </row>
    <row r="419" spans="1:15" ht="60" x14ac:dyDescent="0.25">
      <c r="A419" s="1" t="s">
        <v>2002</v>
      </c>
      <c r="B419" s="1" t="s">
        <v>369</v>
      </c>
      <c r="C419" s="1" t="s">
        <v>58</v>
      </c>
      <c r="D419" s="1" t="s">
        <v>703</v>
      </c>
      <c r="E419" s="4" t="s">
        <v>242</v>
      </c>
      <c r="F419" s="1" t="s">
        <v>781</v>
      </c>
      <c r="G419" s="1" t="s">
        <v>20</v>
      </c>
      <c r="H419" s="4">
        <v>26731</v>
      </c>
      <c r="I419" s="1">
        <f>69+4+75+19+168</f>
        <v>335</v>
      </c>
      <c r="K419" s="1" t="s">
        <v>2008</v>
      </c>
      <c r="M419" s="1" t="s">
        <v>3177</v>
      </c>
      <c r="O419" s="1" t="s">
        <v>1560</v>
      </c>
    </row>
    <row r="420" spans="1:15" ht="75" x14ac:dyDescent="0.25">
      <c r="A420" s="1" t="s">
        <v>237</v>
      </c>
      <c r="B420" s="1" t="s">
        <v>2003</v>
      </c>
      <c r="C420" s="1" t="s">
        <v>599</v>
      </c>
      <c r="D420" s="1" t="s">
        <v>101</v>
      </c>
      <c r="E420" s="4" t="s">
        <v>2004</v>
      </c>
      <c r="F420" s="1" t="s">
        <v>186</v>
      </c>
      <c r="G420" s="1" t="s">
        <v>9</v>
      </c>
      <c r="H420" s="4">
        <v>26732</v>
      </c>
      <c r="I420" s="1">
        <f>112+3+2+1+19+2+1+12</f>
        <v>152</v>
      </c>
      <c r="K420" s="1" t="s">
        <v>2009</v>
      </c>
      <c r="M420" s="1" t="s">
        <v>3178</v>
      </c>
      <c r="O420" s="1" t="s">
        <v>1974</v>
      </c>
    </row>
    <row r="421" spans="1:15" s="17" customFormat="1" ht="105" x14ac:dyDescent="0.25">
      <c r="A421" s="17" t="s">
        <v>410</v>
      </c>
      <c r="B421" s="17" t="s">
        <v>2010</v>
      </c>
      <c r="C421" s="17" t="s">
        <v>63</v>
      </c>
      <c r="D421" s="17" t="s">
        <v>2011</v>
      </c>
      <c r="E421" s="18" t="s">
        <v>2012</v>
      </c>
      <c r="F421" s="17" t="s">
        <v>186</v>
      </c>
      <c r="G421" s="17" t="s">
        <v>215</v>
      </c>
      <c r="H421" s="18">
        <v>26723</v>
      </c>
      <c r="I421" s="17">
        <f>405+50+14+2+19+25+6+1+22+49</f>
        <v>593</v>
      </c>
      <c r="K421" s="17" t="s">
        <v>2013</v>
      </c>
      <c r="M421" s="17" t="s">
        <v>2018</v>
      </c>
      <c r="N421" s="17" t="s">
        <v>2016</v>
      </c>
      <c r="O421" s="17" t="s">
        <v>1594</v>
      </c>
    </row>
    <row r="422" spans="1:15" ht="150" x14ac:dyDescent="0.25">
      <c r="A422" s="1" t="s">
        <v>410</v>
      </c>
      <c r="B422" s="1" t="s">
        <v>447</v>
      </c>
      <c r="C422" s="1" t="s">
        <v>123</v>
      </c>
      <c r="D422" s="1" t="s">
        <v>703</v>
      </c>
      <c r="E422" s="4" t="s">
        <v>2014</v>
      </c>
      <c r="F422" s="1" t="s">
        <v>781</v>
      </c>
      <c r="G422" s="1" t="s">
        <v>20</v>
      </c>
      <c r="H422" s="4">
        <v>26742</v>
      </c>
      <c r="I422" s="1">
        <f>54+4+2+1+1+3+98+11+3+7+51+169+2</f>
        <v>406</v>
      </c>
      <c r="K422" s="1" t="s">
        <v>2015</v>
      </c>
      <c r="M422" s="1" t="s">
        <v>2019</v>
      </c>
      <c r="O422" s="1" t="s">
        <v>2017</v>
      </c>
    </row>
    <row r="423" spans="1:15" ht="30" x14ac:dyDescent="0.25">
      <c r="A423" s="1" t="s">
        <v>410</v>
      </c>
      <c r="B423" s="1" t="s">
        <v>1127</v>
      </c>
      <c r="C423" s="1" t="s">
        <v>67</v>
      </c>
      <c r="D423" s="1" t="s">
        <v>1852</v>
      </c>
      <c r="E423" s="4" t="s">
        <v>2020</v>
      </c>
      <c r="F423" s="1" t="s">
        <v>6</v>
      </c>
      <c r="G423" s="1" t="s">
        <v>222</v>
      </c>
      <c r="H423" s="4">
        <v>26732</v>
      </c>
      <c r="I423" s="1">
        <f>39+4+78</f>
        <v>121</v>
      </c>
      <c r="K423" s="1" t="s">
        <v>2021</v>
      </c>
      <c r="M423" s="1" t="s">
        <v>2025</v>
      </c>
      <c r="O423" s="1" t="s">
        <v>1501</v>
      </c>
    </row>
    <row r="424" spans="1:15" ht="75" x14ac:dyDescent="0.25">
      <c r="A424" s="1" t="s">
        <v>2023</v>
      </c>
      <c r="B424" s="1" t="s">
        <v>96</v>
      </c>
      <c r="C424" s="1" t="s">
        <v>72</v>
      </c>
      <c r="D424" s="1" t="s">
        <v>348</v>
      </c>
      <c r="E424" s="4" t="s">
        <v>2024</v>
      </c>
      <c r="F424" s="1" t="s">
        <v>186</v>
      </c>
      <c r="G424" s="1" t="s">
        <v>9</v>
      </c>
      <c r="H424" s="4">
        <v>26718</v>
      </c>
      <c r="I424" s="1">
        <f>291+4+2+67+2+24+11</f>
        <v>401</v>
      </c>
      <c r="K424" s="1" t="s">
        <v>2022</v>
      </c>
      <c r="M424" s="1" t="s">
        <v>3179</v>
      </c>
      <c r="N424" s="1" t="s">
        <v>2835</v>
      </c>
      <c r="O424" s="1" t="s">
        <v>1993</v>
      </c>
    </row>
    <row r="425" spans="1:15" ht="75" x14ac:dyDescent="0.25">
      <c r="A425" s="1" t="s">
        <v>2030</v>
      </c>
      <c r="B425" s="1" t="s">
        <v>96</v>
      </c>
      <c r="C425" s="1" t="s">
        <v>953</v>
      </c>
      <c r="D425" s="1" t="s">
        <v>703</v>
      </c>
      <c r="E425" s="4" t="s">
        <v>2031</v>
      </c>
      <c r="F425" s="1" t="s">
        <v>6</v>
      </c>
      <c r="G425" s="1" t="s">
        <v>20</v>
      </c>
      <c r="I425" s="1">
        <f>29+4+1+11+29+1+27+3</f>
        <v>105</v>
      </c>
      <c r="K425" s="1" t="s">
        <v>2032</v>
      </c>
      <c r="M425" s="1" t="s">
        <v>2041</v>
      </c>
      <c r="N425" s="1" t="s">
        <v>2042</v>
      </c>
      <c r="O425" s="1" t="s">
        <v>2017</v>
      </c>
    </row>
    <row r="426" spans="1:15" ht="60" x14ac:dyDescent="0.25">
      <c r="A426" s="1" t="s">
        <v>2033</v>
      </c>
      <c r="B426" s="1" t="s">
        <v>140</v>
      </c>
      <c r="C426" s="1" t="s">
        <v>463</v>
      </c>
      <c r="D426" s="1" t="s">
        <v>348</v>
      </c>
      <c r="E426" s="4" t="s">
        <v>2034</v>
      </c>
      <c r="F426" s="1" t="s">
        <v>186</v>
      </c>
      <c r="G426" s="1" t="s">
        <v>9</v>
      </c>
      <c r="H426" s="4">
        <v>26744</v>
      </c>
      <c r="I426" s="1">
        <f>211+3+2+10+2+8</f>
        <v>236</v>
      </c>
      <c r="K426" s="1" t="s">
        <v>2035</v>
      </c>
      <c r="M426" s="1" t="s">
        <v>2043</v>
      </c>
      <c r="N426" s="1" t="s">
        <v>2045</v>
      </c>
      <c r="O426" s="1" t="s">
        <v>2044</v>
      </c>
    </row>
    <row r="427" spans="1:15" ht="105" x14ac:dyDescent="0.25">
      <c r="A427" s="1" t="s">
        <v>2036</v>
      </c>
      <c r="B427" s="1" t="s">
        <v>199</v>
      </c>
      <c r="C427" s="1" t="s">
        <v>113</v>
      </c>
      <c r="D427" s="1" t="s">
        <v>314</v>
      </c>
      <c r="E427" s="4" t="s">
        <v>2037</v>
      </c>
      <c r="F427" s="1" t="s">
        <v>6</v>
      </c>
      <c r="G427" s="1" t="s">
        <v>20</v>
      </c>
      <c r="I427" s="1">
        <f>29+4+5+2+28+8+6+15+28</f>
        <v>125</v>
      </c>
      <c r="K427" s="1" t="s">
        <v>2039</v>
      </c>
      <c r="M427" s="1" t="s">
        <v>3349</v>
      </c>
      <c r="N427" s="1" t="s">
        <v>2046</v>
      </c>
      <c r="O427" s="1" t="s">
        <v>1594</v>
      </c>
    </row>
    <row r="428" spans="1:15" ht="45" x14ac:dyDescent="0.25">
      <c r="A428" s="1" t="s">
        <v>2038</v>
      </c>
      <c r="B428" s="1" t="s">
        <v>1557</v>
      </c>
      <c r="C428" s="1" t="s">
        <v>17</v>
      </c>
      <c r="D428" s="1" t="s">
        <v>348</v>
      </c>
      <c r="E428" s="4" t="s">
        <v>525</v>
      </c>
      <c r="F428" s="1" t="s">
        <v>186</v>
      </c>
      <c r="G428" s="1" t="s">
        <v>9</v>
      </c>
      <c r="H428" s="4">
        <v>26734</v>
      </c>
      <c r="I428" s="1">
        <f>356+2+2+6+14+2+9</f>
        <v>391</v>
      </c>
      <c r="K428" s="1" t="s">
        <v>2040</v>
      </c>
      <c r="M428" s="1" t="s">
        <v>2047</v>
      </c>
      <c r="N428" s="1" t="s">
        <v>2048</v>
      </c>
      <c r="O428" s="1" t="s">
        <v>1560</v>
      </c>
    </row>
    <row r="429" spans="1:15" ht="30" x14ac:dyDescent="0.25">
      <c r="A429" s="1" t="s">
        <v>2050</v>
      </c>
      <c r="B429" s="1" t="s">
        <v>469</v>
      </c>
      <c r="C429" s="1" t="s">
        <v>58</v>
      </c>
      <c r="D429" s="1" t="s">
        <v>945</v>
      </c>
      <c r="E429" s="4" t="s">
        <v>281</v>
      </c>
      <c r="F429" s="1" t="s">
        <v>6</v>
      </c>
      <c r="G429" s="1" t="s">
        <v>215</v>
      </c>
      <c r="H429" s="4">
        <v>26742</v>
      </c>
      <c r="I429" s="1">
        <f>88+3+4</f>
        <v>95</v>
      </c>
      <c r="K429" s="1" t="s">
        <v>2051</v>
      </c>
      <c r="M429" s="1" t="s">
        <v>2056</v>
      </c>
      <c r="N429" s="1" t="s">
        <v>2057</v>
      </c>
      <c r="O429" s="1" t="s">
        <v>1501</v>
      </c>
    </row>
    <row r="430" spans="1:15" ht="45" x14ac:dyDescent="0.25">
      <c r="A430" s="1" t="s">
        <v>2052</v>
      </c>
      <c r="B430" s="1" t="s">
        <v>2053</v>
      </c>
      <c r="C430" s="1" t="s">
        <v>67</v>
      </c>
      <c r="D430" s="1" t="s">
        <v>314</v>
      </c>
      <c r="E430" s="4" t="s">
        <v>2054</v>
      </c>
      <c r="F430" s="1" t="s">
        <v>6</v>
      </c>
      <c r="G430" s="1" t="s">
        <v>20</v>
      </c>
      <c r="I430" s="1">
        <f>29+4+51</f>
        <v>84</v>
      </c>
      <c r="K430" s="1" t="s">
        <v>2065</v>
      </c>
      <c r="M430" s="1" t="s">
        <v>2060</v>
      </c>
      <c r="O430" s="1" t="s">
        <v>2059</v>
      </c>
    </row>
    <row r="431" spans="1:15" ht="60" x14ac:dyDescent="0.25">
      <c r="A431" s="1" t="s">
        <v>2052</v>
      </c>
      <c r="B431" s="1" t="s">
        <v>25</v>
      </c>
      <c r="C431" s="1" t="s">
        <v>192</v>
      </c>
      <c r="D431" s="1" t="s">
        <v>567</v>
      </c>
      <c r="E431" s="4" t="s">
        <v>1257</v>
      </c>
      <c r="F431" s="1" t="s">
        <v>6</v>
      </c>
      <c r="G431" s="1" t="s">
        <v>20</v>
      </c>
      <c r="I431" s="1">
        <f>23+32+2+2+13+12</f>
        <v>84</v>
      </c>
      <c r="K431" s="1" t="s">
        <v>2066</v>
      </c>
      <c r="M431" s="1" t="s">
        <v>3180</v>
      </c>
      <c r="O431" s="1" t="s">
        <v>1825</v>
      </c>
    </row>
    <row r="432" spans="1:15" ht="30" x14ac:dyDescent="0.25">
      <c r="A432" s="1" t="s">
        <v>2055</v>
      </c>
      <c r="B432" s="1" t="s">
        <v>31</v>
      </c>
      <c r="C432" s="1" t="s">
        <v>32</v>
      </c>
      <c r="D432" s="1" t="s">
        <v>529</v>
      </c>
      <c r="E432" s="4" t="s">
        <v>516</v>
      </c>
      <c r="F432" s="1" t="s">
        <v>186</v>
      </c>
      <c r="G432" s="1" t="s">
        <v>9</v>
      </c>
      <c r="H432" s="4">
        <v>26757</v>
      </c>
      <c r="I432" s="1">
        <f>63+3+3+4+3</f>
        <v>76</v>
      </c>
      <c r="K432" s="1" t="s">
        <v>2067</v>
      </c>
      <c r="M432" s="1" t="s">
        <v>2061</v>
      </c>
      <c r="O432" s="1" t="s">
        <v>1800</v>
      </c>
    </row>
    <row r="433" spans="1:15" ht="60" x14ac:dyDescent="0.25">
      <c r="A433" s="1" t="s">
        <v>2055</v>
      </c>
      <c r="B433" s="1" t="s">
        <v>2062</v>
      </c>
      <c r="C433" s="1" t="s">
        <v>953</v>
      </c>
      <c r="D433" s="1" t="s">
        <v>101</v>
      </c>
      <c r="E433" s="4" t="s">
        <v>2063</v>
      </c>
      <c r="F433" s="1" t="s">
        <v>186</v>
      </c>
      <c r="G433" s="1" t="s">
        <v>9</v>
      </c>
      <c r="H433" s="4">
        <v>26714</v>
      </c>
      <c r="I433" s="1">
        <f>393+12+2+18+1+15</f>
        <v>441</v>
      </c>
      <c r="K433" s="1" t="s">
        <v>2068</v>
      </c>
      <c r="M433" s="1" t="s">
        <v>2064</v>
      </c>
      <c r="O433" s="1" t="s">
        <v>1991</v>
      </c>
    </row>
    <row r="434" spans="1:15" ht="45" x14ac:dyDescent="0.25">
      <c r="A434" s="1" t="s">
        <v>2070</v>
      </c>
      <c r="B434" s="1" t="s">
        <v>226</v>
      </c>
      <c r="C434" s="1" t="s">
        <v>412</v>
      </c>
      <c r="D434" s="1" t="s">
        <v>101</v>
      </c>
      <c r="E434" s="4" t="s">
        <v>2071</v>
      </c>
      <c r="F434" s="1" t="s">
        <v>186</v>
      </c>
      <c r="G434" s="1" t="s">
        <v>9</v>
      </c>
      <c r="H434" s="4">
        <v>26750</v>
      </c>
      <c r="I434" s="1">
        <f>140+2+1+2+6</f>
        <v>151</v>
      </c>
      <c r="K434" s="1" t="s">
        <v>2069</v>
      </c>
      <c r="M434" s="1" t="s">
        <v>3181</v>
      </c>
      <c r="N434" s="1" t="s">
        <v>2072</v>
      </c>
      <c r="O434" s="1" t="s">
        <v>1501</v>
      </c>
    </row>
    <row r="435" spans="1:15" ht="75" x14ac:dyDescent="0.25">
      <c r="A435" s="1" t="s">
        <v>2073</v>
      </c>
      <c r="B435" s="1" t="s">
        <v>148</v>
      </c>
      <c r="C435" s="1" t="s">
        <v>17</v>
      </c>
      <c r="D435" s="1" t="s">
        <v>210</v>
      </c>
      <c r="E435" s="4" t="s">
        <v>2074</v>
      </c>
      <c r="F435" s="1" t="s">
        <v>6</v>
      </c>
      <c r="G435" s="1" t="s">
        <v>20</v>
      </c>
      <c r="I435" s="1">
        <f>40+4+6+2+3+19+110</f>
        <v>184</v>
      </c>
      <c r="K435" s="1" t="s">
        <v>2075</v>
      </c>
      <c r="M435" s="1" t="s">
        <v>2227</v>
      </c>
      <c r="O435" s="1" t="s">
        <v>2080</v>
      </c>
    </row>
    <row r="436" spans="1:15" ht="75" x14ac:dyDescent="0.25">
      <c r="A436" s="1" t="s">
        <v>2076</v>
      </c>
      <c r="B436" s="1" t="s">
        <v>116</v>
      </c>
      <c r="C436" s="1" t="s">
        <v>67</v>
      </c>
      <c r="D436" s="1" t="s">
        <v>567</v>
      </c>
      <c r="E436" s="4" t="s">
        <v>2077</v>
      </c>
      <c r="F436" s="1" t="s">
        <v>186</v>
      </c>
      <c r="G436" s="1" t="s">
        <v>20</v>
      </c>
      <c r="H436" s="4">
        <v>26711</v>
      </c>
      <c r="I436" s="1">
        <f>215+35+4+27+24+2+19+13+5+32+198</f>
        <v>574</v>
      </c>
      <c r="K436" s="1" t="s">
        <v>2079</v>
      </c>
      <c r="M436" s="1" t="s">
        <v>3182</v>
      </c>
      <c r="O436" s="1" t="s">
        <v>1800</v>
      </c>
    </row>
    <row r="437" spans="1:15" ht="60" x14ac:dyDescent="0.25">
      <c r="A437" s="1" t="s">
        <v>1579</v>
      </c>
      <c r="B437" s="1" t="s">
        <v>77</v>
      </c>
      <c r="C437" s="1" t="s">
        <v>953</v>
      </c>
      <c r="D437" s="1" t="s">
        <v>101</v>
      </c>
      <c r="E437" s="4" t="s">
        <v>2078</v>
      </c>
      <c r="F437" s="1" t="s">
        <v>186</v>
      </c>
      <c r="G437" s="1" t="s">
        <v>9</v>
      </c>
      <c r="H437" s="4">
        <v>26756</v>
      </c>
      <c r="I437" s="1">
        <f>124+5+3+4+3+4+104+13</f>
        <v>260</v>
      </c>
      <c r="K437" s="1" t="s">
        <v>2081</v>
      </c>
      <c r="M437" s="1" t="s">
        <v>2085</v>
      </c>
      <c r="N437" s="17"/>
      <c r="O437" s="1" t="s">
        <v>1501</v>
      </c>
    </row>
    <row r="438" spans="1:15" ht="60" x14ac:dyDescent="0.25">
      <c r="A438" s="1" t="s">
        <v>2082</v>
      </c>
      <c r="B438" s="1" t="s">
        <v>2083</v>
      </c>
      <c r="C438" s="1" t="s">
        <v>58</v>
      </c>
      <c r="D438" s="1" t="s">
        <v>101</v>
      </c>
      <c r="E438" s="4" t="s">
        <v>556</v>
      </c>
      <c r="F438" s="1" t="s">
        <v>186</v>
      </c>
      <c r="G438" s="1" t="s">
        <v>9</v>
      </c>
      <c r="H438" s="4">
        <v>26713</v>
      </c>
      <c r="I438" s="1">
        <f>209+2+2+20+2+12</f>
        <v>247</v>
      </c>
      <c r="K438" s="1" t="s">
        <v>2084</v>
      </c>
      <c r="M438" s="1" t="s">
        <v>2086</v>
      </c>
      <c r="O438" s="1" t="s">
        <v>1979</v>
      </c>
    </row>
    <row r="439" spans="1:15" ht="60" x14ac:dyDescent="0.25">
      <c r="A439" s="1" t="s">
        <v>2082</v>
      </c>
      <c r="B439" s="1" t="s">
        <v>885</v>
      </c>
      <c r="C439" s="1" t="s">
        <v>32</v>
      </c>
      <c r="D439" s="1" t="s">
        <v>348</v>
      </c>
      <c r="E439" s="4" t="s">
        <v>2087</v>
      </c>
      <c r="F439" s="1" t="s">
        <v>186</v>
      </c>
      <c r="G439" s="1" t="s">
        <v>9</v>
      </c>
      <c r="H439" s="4">
        <v>26744</v>
      </c>
      <c r="I439" s="1">
        <f>277+3+2+2+12+3+6</f>
        <v>305</v>
      </c>
      <c r="K439" s="1" t="s">
        <v>2088</v>
      </c>
      <c r="M439" s="1" t="s">
        <v>1735</v>
      </c>
      <c r="N439" s="1" t="s">
        <v>2097</v>
      </c>
      <c r="O439" s="1" t="s">
        <v>2096</v>
      </c>
    </row>
    <row r="440" spans="1:15" ht="90" x14ac:dyDescent="0.25">
      <c r="A440" s="1" t="s">
        <v>2089</v>
      </c>
      <c r="B440" s="1" t="s">
        <v>116</v>
      </c>
      <c r="C440" s="1" t="s">
        <v>285</v>
      </c>
      <c r="D440" s="1" t="s">
        <v>1056</v>
      </c>
      <c r="E440" s="4" t="s">
        <v>503</v>
      </c>
      <c r="F440" s="1" t="s">
        <v>186</v>
      </c>
      <c r="G440" s="1" t="s">
        <v>9</v>
      </c>
      <c r="H440" s="4">
        <v>26757</v>
      </c>
      <c r="I440" s="1">
        <f>83+7+2+1+1+7+4+2+107</f>
        <v>214</v>
      </c>
      <c r="K440" s="1" t="s">
        <v>2093</v>
      </c>
      <c r="M440" s="1" t="s">
        <v>2098</v>
      </c>
      <c r="N440" s="1" t="s">
        <v>2099</v>
      </c>
      <c r="O440" s="1" t="s">
        <v>1800</v>
      </c>
    </row>
    <row r="441" spans="1:15" ht="90" x14ac:dyDescent="0.25">
      <c r="A441" s="1" t="s">
        <v>2090</v>
      </c>
      <c r="B441" s="1" t="s">
        <v>1698</v>
      </c>
      <c r="C441" s="1" t="s">
        <v>113</v>
      </c>
      <c r="D441" s="1" t="s">
        <v>567</v>
      </c>
      <c r="E441" s="4" t="s">
        <v>503</v>
      </c>
      <c r="F441" s="1" t="s">
        <v>6</v>
      </c>
      <c r="G441" s="1" t="s">
        <v>20</v>
      </c>
      <c r="I441" s="1">
        <f>20+3+2+16+22+29+16</f>
        <v>108</v>
      </c>
      <c r="K441" s="1" t="s">
        <v>2094</v>
      </c>
      <c r="M441" s="1" t="s">
        <v>2101</v>
      </c>
      <c r="N441" s="1" t="s">
        <v>2100</v>
      </c>
      <c r="O441" s="1" t="s">
        <v>1800</v>
      </c>
    </row>
    <row r="442" spans="1:15" ht="75" x14ac:dyDescent="0.25">
      <c r="A442" s="1" t="s">
        <v>2091</v>
      </c>
      <c r="B442" s="1" t="s">
        <v>77</v>
      </c>
      <c r="C442" s="1" t="s">
        <v>53</v>
      </c>
      <c r="D442" s="1" t="s">
        <v>348</v>
      </c>
      <c r="E442" s="4" t="s">
        <v>2092</v>
      </c>
      <c r="F442" s="1" t="s">
        <v>186</v>
      </c>
      <c r="G442" s="1" t="s">
        <v>9</v>
      </c>
      <c r="H442" s="4">
        <v>26719</v>
      </c>
      <c r="I442" s="1">
        <f>170+8+4+2+12+2+10+2+16</f>
        <v>226</v>
      </c>
      <c r="K442" s="1" t="s">
        <v>2095</v>
      </c>
      <c r="M442" s="1" t="s">
        <v>2104</v>
      </c>
      <c r="N442" s="1" t="s">
        <v>2103</v>
      </c>
      <c r="O442" s="1" t="s">
        <v>2102</v>
      </c>
    </row>
    <row r="443" spans="1:15" ht="59.25" customHeight="1" x14ac:dyDescent="0.25">
      <c r="A443" s="1" t="s">
        <v>2105</v>
      </c>
      <c r="B443" s="1" t="s">
        <v>100</v>
      </c>
      <c r="C443" s="1" t="s">
        <v>58</v>
      </c>
      <c r="D443" s="1" t="s">
        <v>314</v>
      </c>
      <c r="E443" s="4" t="s">
        <v>2106</v>
      </c>
      <c r="F443" s="1" t="s">
        <v>781</v>
      </c>
      <c r="G443" s="1" t="s">
        <v>20</v>
      </c>
      <c r="I443" s="1">
        <f>76+12+4+17+52+194</f>
        <v>355</v>
      </c>
      <c r="K443" s="1" t="s">
        <v>2107</v>
      </c>
      <c r="M443" s="1" t="s">
        <v>2121</v>
      </c>
      <c r="O443" s="1" t="s">
        <v>2120</v>
      </c>
    </row>
    <row r="444" spans="1:15" x14ac:dyDescent="0.25">
      <c r="A444" s="1" t="s">
        <v>107</v>
      </c>
      <c r="B444" s="1" t="s">
        <v>2108</v>
      </c>
      <c r="C444" s="1" t="s">
        <v>17</v>
      </c>
      <c r="D444" s="1" t="s">
        <v>1004</v>
      </c>
      <c r="E444" s="4" t="s">
        <v>2109</v>
      </c>
      <c r="F444" s="1" t="s">
        <v>6</v>
      </c>
      <c r="G444" s="1" t="s">
        <v>215</v>
      </c>
      <c r="H444" s="4">
        <v>24859</v>
      </c>
      <c r="I444" s="1">
        <f>18</f>
        <v>18</v>
      </c>
      <c r="K444" s="1" t="s">
        <v>2116</v>
      </c>
      <c r="M444" s="1" t="s">
        <v>2122</v>
      </c>
    </row>
    <row r="445" spans="1:15" ht="30" x14ac:dyDescent="0.25">
      <c r="A445" s="1" t="s">
        <v>2110</v>
      </c>
      <c r="B445" s="1" t="s">
        <v>2111</v>
      </c>
      <c r="C445" s="1" t="s">
        <v>716</v>
      </c>
      <c r="D445" s="1" t="s">
        <v>227</v>
      </c>
      <c r="E445" s="4" t="s">
        <v>2112</v>
      </c>
      <c r="F445" s="1" t="s">
        <v>6</v>
      </c>
      <c r="G445" s="1" t="s">
        <v>222</v>
      </c>
      <c r="H445" s="4">
        <v>26716</v>
      </c>
      <c r="I445" s="1">
        <f>34+22</f>
        <v>56</v>
      </c>
      <c r="K445" s="1" t="s">
        <v>2117</v>
      </c>
      <c r="M445" s="1" t="s">
        <v>2123</v>
      </c>
    </row>
    <row r="446" spans="1:15" ht="30" x14ac:dyDescent="0.25">
      <c r="A446" s="1" t="s">
        <v>2113</v>
      </c>
      <c r="B446" s="1" t="s">
        <v>2114</v>
      </c>
      <c r="C446" s="1" t="s">
        <v>67</v>
      </c>
      <c r="D446" s="1" t="s">
        <v>227</v>
      </c>
      <c r="E446" s="4" t="s">
        <v>1151</v>
      </c>
      <c r="F446" s="1" t="s">
        <v>6</v>
      </c>
      <c r="G446" s="1" t="s">
        <v>222</v>
      </c>
      <c r="H446" s="4">
        <v>26732</v>
      </c>
      <c r="I446" s="1">
        <f>57+4+39</f>
        <v>100</v>
      </c>
      <c r="K446" s="1" t="s">
        <v>2118</v>
      </c>
      <c r="M446" s="1" t="s">
        <v>2025</v>
      </c>
      <c r="O446" s="1" t="s">
        <v>1739</v>
      </c>
    </row>
    <row r="447" spans="1:15" ht="60" x14ac:dyDescent="0.25">
      <c r="A447" s="1" t="s">
        <v>2124</v>
      </c>
      <c r="B447" s="1" t="s">
        <v>1150</v>
      </c>
      <c r="C447" s="1" t="s">
        <v>58</v>
      </c>
      <c r="D447" s="1" t="s">
        <v>348</v>
      </c>
      <c r="E447" s="4" t="s">
        <v>2115</v>
      </c>
      <c r="F447" s="1" t="s">
        <v>186</v>
      </c>
      <c r="G447" s="1" t="s">
        <v>9</v>
      </c>
      <c r="H447" s="4">
        <v>26735</v>
      </c>
      <c r="I447" s="1">
        <f>266+4+2+17+2+5+4</f>
        <v>300</v>
      </c>
      <c r="K447" s="1" t="s">
        <v>2119</v>
      </c>
      <c r="M447" s="1" t="s">
        <v>3183</v>
      </c>
      <c r="O447" s="1" t="s">
        <v>2125</v>
      </c>
    </row>
    <row r="448" spans="1:15" ht="58.5" customHeight="1" x14ac:dyDescent="0.25">
      <c r="A448" s="1" t="s">
        <v>2126</v>
      </c>
      <c r="B448" s="1" t="s">
        <v>2127</v>
      </c>
      <c r="C448" s="1" t="s">
        <v>182</v>
      </c>
      <c r="D448" s="1" t="s">
        <v>101</v>
      </c>
      <c r="E448" s="4" t="s">
        <v>2128</v>
      </c>
      <c r="F448" s="1" t="s">
        <v>186</v>
      </c>
      <c r="G448" s="1" t="s">
        <v>9</v>
      </c>
      <c r="H448" s="4">
        <v>26742</v>
      </c>
      <c r="I448" s="1">
        <f>418+8+3+3+1+1+30+3+26</f>
        <v>493</v>
      </c>
      <c r="K448" s="1" t="s">
        <v>2129</v>
      </c>
      <c r="M448" s="1" t="s">
        <v>2131</v>
      </c>
      <c r="O448" s="1" t="s">
        <v>2130</v>
      </c>
    </row>
    <row r="449" spans="1:15" ht="90" x14ac:dyDescent="0.25">
      <c r="A449" s="1" t="s">
        <v>2132</v>
      </c>
      <c r="B449" s="1" t="s">
        <v>2133</v>
      </c>
      <c r="C449" s="1" t="s">
        <v>67</v>
      </c>
      <c r="D449" s="1" t="s">
        <v>314</v>
      </c>
      <c r="E449" s="4" t="s">
        <v>2134</v>
      </c>
      <c r="F449" s="1" t="s">
        <v>6</v>
      </c>
      <c r="G449" s="1" t="s">
        <v>20</v>
      </c>
      <c r="I449" s="1">
        <f>40+2+5+1+2+36+16+11</f>
        <v>113</v>
      </c>
      <c r="K449" s="1" t="s">
        <v>2135</v>
      </c>
      <c r="M449" s="1" t="s">
        <v>3184</v>
      </c>
      <c r="O449" s="1" t="s">
        <v>1594</v>
      </c>
    </row>
    <row r="450" spans="1:15" ht="60" x14ac:dyDescent="0.25">
      <c r="A450" s="1" t="s">
        <v>2136</v>
      </c>
      <c r="B450" s="1" t="s">
        <v>2137</v>
      </c>
      <c r="C450" s="1" t="s">
        <v>182</v>
      </c>
      <c r="D450" s="1" t="s">
        <v>101</v>
      </c>
      <c r="E450" s="4" t="s">
        <v>2138</v>
      </c>
      <c r="F450" s="1" t="s">
        <v>186</v>
      </c>
      <c r="G450" s="1" t="s">
        <v>9</v>
      </c>
      <c r="H450" s="4">
        <v>26736</v>
      </c>
      <c r="I450" s="1">
        <f>299+10+2+4+12+2+8</f>
        <v>337</v>
      </c>
      <c r="K450" s="1" t="s">
        <v>2142</v>
      </c>
      <c r="M450" s="1" t="s">
        <v>2144</v>
      </c>
      <c r="O450" s="1" t="s">
        <v>1974</v>
      </c>
    </row>
    <row r="451" spans="1:15" ht="60" x14ac:dyDescent="0.25">
      <c r="A451" s="1" t="s">
        <v>2139</v>
      </c>
      <c r="B451" s="1" t="s">
        <v>2140</v>
      </c>
      <c r="C451" s="1" t="s">
        <v>113</v>
      </c>
      <c r="D451" s="1" t="s">
        <v>314</v>
      </c>
      <c r="E451" s="4" t="s">
        <v>2141</v>
      </c>
      <c r="F451" s="1" t="s">
        <v>781</v>
      </c>
      <c r="G451" s="1" t="s">
        <v>20</v>
      </c>
      <c r="I451" s="1">
        <f>85+4+114+5+173</f>
        <v>381</v>
      </c>
      <c r="K451" s="1" t="s">
        <v>2143</v>
      </c>
      <c r="M451" s="1" t="s">
        <v>3177</v>
      </c>
      <c r="N451" s="1" t="s">
        <v>2145</v>
      </c>
      <c r="O451" s="1" t="s">
        <v>1610</v>
      </c>
    </row>
    <row r="452" spans="1:15" ht="75" x14ac:dyDescent="0.25">
      <c r="A452" s="1" t="s">
        <v>749</v>
      </c>
      <c r="B452" s="1" t="s">
        <v>140</v>
      </c>
      <c r="C452" s="1" t="s">
        <v>72</v>
      </c>
      <c r="D452" s="1" t="s">
        <v>101</v>
      </c>
      <c r="E452" s="4" t="s">
        <v>2146</v>
      </c>
      <c r="F452" s="1" t="s">
        <v>186</v>
      </c>
      <c r="G452" s="1" t="s">
        <v>9</v>
      </c>
      <c r="H452" s="4">
        <v>26743</v>
      </c>
      <c r="I452" s="1">
        <f>370+5+3+1+1+4+26+3+8+1</f>
        <v>422</v>
      </c>
      <c r="K452" s="1" t="s">
        <v>2147</v>
      </c>
      <c r="M452" s="1" t="s">
        <v>2148</v>
      </c>
      <c r="O452" s="1" t="s">
        <v>1990</v>
      </c>
    </row>
    <row r="453" spans="1:15" ht="75" x14ac:dyDescent="0.25">
      <c r="A453" s="1" t="s">
        <v>2149</v>
      </c>
      <c r="B453" s="1" t="s">
        <v>808</v>
      </c>
      <c r="C453" s="1" t="s">
        <v>63</v>
      </c>
      <c r="D453" s="1" t="s">
        <v>101</v>
      </c>
      <c r="E453" s="4" t="s">
        <v>2150</v>
      </c>
      <c r="F453" s="1" t="s">
        <v>186</v>
      </c>
      <c r="G453" s="1" t="s">
        <v>9</v>
      </c>
      <c r="H453" s="4">
        <v>26732</v>
      </c>
      <c r="I453" s="1">
        <f>378+2+48+2+43+8+1+1</f>
        <v>483</v>
      </c>
      <c r="K453" s="1" t="s">
        <v>2151</v>
      </c>
      <c r="M453" s="1" t="s">
        <v>3185</v>
      </c>
      <c r="O453" s="1" t="s">
        <v>1979</v>
      </c>
    </row>
    <row r="454" spans="1:15" ht="45" x14ac:dyDescent="0.25">
      <c r="A454" s="1" t="s">
        <v>2152</v>
      </c>
      <c r="B454" s="1" t="s">
        <v>116</v>
      </c>
      <c r="C454" s="1" t="s">
        <v>72</v>
      </c>
      <c r="D454" s="1" t="s">
        <v>270</v>
      </c>
      <c r="E454" s="4" t="s">
        <v>2153</v>
      </c>
      <c r="F454" s="1" t="s">
        <v>6</v>
      </c>
      <c r="G454" s="1" t="s">
        <v>222</v>
      </c>
      <c r="H454" s="4">
        <v>26757</v>
      </c>
      <c r="I454" s="1">
        <f>35+4+12+1</f>
        <v>52</v>
      </c>
      <c r="K454" s="1" t="s">
        <v>2157</v>
      </c>
      <c r="M454" s="1" t="s">
        <v>2160</v>
      </c>
      <c r="O454" s="1" t="s">
        <v>1739</v>
      </c>
    </row>
    <row r="455" spans="1:15" ht="30" x14ac:dyDescent="0.25">
      <c r="A455" s="1" t="s">
        <v>2154</v>
      </c>
      <c r="B455" s="1" t="s">
        <v>16</v>
      </c>
      <c r="C455" s="1" t="s">
        <v>123</v>
      </c>
      <c r="D455" s="1" t="s">
        <v>270</v>
      </c>
      <c r="E455" s="4" t="s">
        <v>2155</v>
      </c>
      <c r="F455" s="1" t="s">
        <v>6</v>
      </c>
      <c r="G455" s="1" t="s">
        <v>222</v>
      </c>
      <c r="H455" s="4">
        <v>26733</v>
      </c>
      <c r="I455" s="1">
        <f>54+4+36</f>
        <v>94</v>
      </c>
      <c r="K455" s="1" t="s">
        <v>2158</v>
      </c>
      <c r="M455" s="1" t="s">
        <v>2025</v>
      </c>
      <c r="N455" s="1" t="s">
        <v>2161</v>
      </c>
      <c r="O455" s="1" t="s">
        <v>1739</v>
      </c>
    </row>
    <row r="456" spans="1:15" ht="105" x14ac:dyDescent="0.25">
      <c r="A456" s="1" t="s">
        <v>2156</v>
      </c>
      <c r="B456" s="1" t="s">
        <v>397</v>
      </c>
      <c r="C456" s="1" t="s">
        <v>72</v>
      </c>
      <c r="D456" s="1" t="s">
        <v>553</v>
      </c>
      <c r="E456" s="4" t="s">
        <v>254</v>
      </c>
      <c r="F456" s="1" t="s">
        <v>186</v>
      </c>
      <c r="G456" s="1" t="s">
        <v>9</v>
      </c>
      <c r="H456" s="4">
        <v>26747</v>
      </c>
      <c r="I456" s="1">
        <f>185+4+2+4+1+10+4+6</f>
        <v>216</v>
      </c>
      <c r="K456" s="1" t="s">
        <v>2159</v>
      </c>
      <c r="M456" s="1" t="s">
        <v>2162</v>
      </c>
      <c r="O456" s="1" t="s">
        <v>1560</v>
      </c>
    </row>
    <row r="457" spans="1:15" ht="60" x14ac:dyDescent="0.25">
      <c r="A457" s="1" t="s">
        <v>2163</v>
      </c>
      <c r="B457" s="1" t="s">
        <v>116</v>
      </c>
      <c r="C457" s="1" t="s">
        <v>63</v>
      </c>
      <c r="D457" s="1" t="s">
        <v>1056</v>
      </c>
      <c r="E457" s="4" t="s">
        <v>2164</v>
      </c>
      <c r="F457" s="1" t="s">
        <v>186</v>
      </c>
      <c r="G457" s="1" t="s">
        <v>9</v>
      </c>
      <c r="H457" s="4">
        <v>26757</v>
      </c>
      <c r="I457" s="1">
        <f>152+10+2+8+3+23+1+10</f>
        <v>209</v>
      </c>
      <c r="K457" s="1" t="s">
        <v>2165</v>
      </c>
      <c r="M457" s="1" t="s">
        <v>2176</v>
      </c>
      <c r="N457" s="1" t="s">
        <v>2175</v>
      </c>
      <c r="O457" s="1" t="s">
        <v>1594</v>
      </c>
    </row>
    <row r="458" spans="1:15" ht="47.25" customHeight="1" x14ac:dyDescent="0.25">
      <c r="A458" s="1" t="s">
        <v>2166</v>
      </c>
      <c r="B458" s="1" t="s">
        <v>844</v>
      </c>
      <c r="C458" s="1" t="s">
        <v>67</v>
      </c>
      <c r="D458" s="1" t="s">
        <v>201</v>
      </c>
      <c r="E458" s="4" t="s">
        <v>2167</v>
      </c>
      <c r="F458" s="1" t="s">
        <v>6</v>
      </c>
      <c r="G458" s="1" t="s">
        <v>222</v>
      </c>
      <c r="H458" s="4">
        <v>24861</v>
      </c>
      <c r="I458" s="1">
        <f>215+1+1+1+8+70</f>
        <v>296</v>
      </c>
      <c r="K458" s="1" t="s">
        <v>2172</v>
      </c>
      <c r="M458" s="1" t="s">
        <v>3186</v>
      </c>
    </row>
    <row r="459" spans="1:15" ht="75" x14ac:dyDescent="0.25">
      <c r="A459" s="1" t="s">
        <v>2168</v>
      </c>
      <c r="B459" s="1" t="s">
        <v>965</v>
      </c>
      <c r="C459" s="1" t="s">
        <v>53</v>
      </c>
      <c r="D459" s="1" t="s">
        <v>210</v>
      </c>
      <c r="E459" s="4" t="s">
        <v>2169</v>
      </c>
      <c r="F459" s="1" t="s">
        <v>6</v>
      </c>
      <c r="G459" s="1" t="s">
        <v>20</v>
      </c>
      <c r="I459" s="1">
        <f>72+2+17+17+1+4+3</f>
        <v>116</v>
      </c>
      <c r="K459" s="1" t="s">
        <v>2173</v>
      </c>
      <c r="M459" s="1" t="s">
        <v>2178</v>
      </c>
      <c r="O459" s="1" t="s">
        <v>2177</v>
      </c>
    </row>
    <row r="460" spans="1:15" ht="45" x14ac:dyDescent="0.25">
      <c r="A460" s="1" t="s">
        <v>2170</v>
      </c>
      <c r="B460" s="1" t="s">
        <v>1281</v>
      </c>
      <c r="C460" s="1" t="s">
        <v>412</v>
      </c>
      <c r="D460" s="1" t="s">
        <v>270</v>
      </c>
      <c r="E460" s="4" t="s">
        <v>2171</v>
      </c>
      <c r="F460" s="1" t="s">
        <v>6</v>
      </c>
      <c r="G460" s="1" t="s">
        <v>222</v>
      </c>
      <c r="H460" s="4">
        <v>25290</v>
      </c>
      <c r="I460" s="1">
        <f>16+4</f>
        <v>20</v>
      </c>
      <c r="K460" s="1" t="s">
        <v>2174</v>
      </c>
      <c r="M460" s="1" t="s">
        <v>2180</v>
      </c>
      <c r="N460" s="1" t="s">
        <v>2179</v>
      </c>
    </row>
    <row r="461" spans="1:15" ht="150" x14ac:dyDescent="0.25">
      <c r="A461" s="1" t="s">
        <v>2181</v>
      </c>
      <c r="B461" s="1" t="s">
        <v>749</v>
      </c>
      <c r="C461" s="1" t="s">
        <v>192</v>
      </c>
      <c r="D461" s="1" t="s">
        <v>553</v>
      </c>
      <c r="E461" s="4" t="s">
        <v>2182</v>
      </c>
      <c r="F461" s="1" t="s">
        <v>6</v>
      </c>
      <c r="G461" s="1" t="s">
        <v>20</v>
      </c>
      <c r="H461" s="4">
        <v>24888</v>
      </c>
      <c r="I461" s="1">
        <f>96+2+2+5+4+3+3+1+4+4+2+12+14+2+78+24+6+15+2+10+48+2</f>
        <v>339</v>
      </c>
      <c r="K461" s="1" t="s">
        <v>2183</v>
      </c>
      <c r="M461" s="1" t="s">
        <v>3187</v>
      </c>
    </row>
    <row r="462" spans="1:15" ht="30" x14ac:dyDescent="0.25">
      <c r="A462" s="10" t="s">
        <v>2181</v>
      </c>
      <c r="B462" s="1" t="s">
        <v>749</v>
      </c>
      <c r="C462" s="1" t="s">
        <v>192</v>
      </c>
      <c r="D462" s="1" t="s">
        <v>553</v>
      </c>
      <c r="E462" s="4" t="s">
        <v>2182</v>
      </c>
      <c r="F462" s="1" t="s">
        <v>186</v>
      </c>
      <c r="G462" s="1" t="s">
        <v>20</v>
      </c>
      <c r="H462" s="4">
        <v>24888</v>
      </c>
      <c r="I462" s="1">
        <f>240+330</f>
        <v>570</v>
      </c>
      <c r="K462" s="1" t="s">
        <v>2184</v>
      </c>
      <c r="M462" s="1" t="s">
        <v>2185</v>
      </c>
    </row>
    <row r="463" spans="1:15" ht="60" x14ac:dyDescent="0.25">
      <c r="A463" s="1" t="s">
        <v>2186</v>
      </c>
      <c r="B463" s="1" t="s">
        <v>116</v>
      </c>
      <c r="C463" s="1" t="s">
        <v>412</v>
      </c>
      <c r="D463" s="1" t="s">
        <v>553</v>
      </c>
      <c r="E463" s="4" t="s">
        <v>1633</v>
      </c>
      <c r="F463" s="1" t="s">
        <v>186</v>
      </c>
      <c r="G463" s="1" t="s">
        <v>9</v>
      </c>
      <c r="H463" s="4">
        <v>26757</v>
      </c>
      <c r="I463" s="1">
        <f>104+2+3+1+4+11+14</f>
        <v>139</v>
      </c>
      <c r="K463" s="1" t="s">
        <v>2187</v>
      </c>
      <c r="M463" s="1" t="s">
        <v>2188</v>
      </c>
      <c r="N463" s="1" t="s">
        <v>3188</v>
      </c>
      <c r="O463" s="1" t="s">
        <v>1800</v>
      </c>
    </row>
    <row r="464" spans="1:15" ht="30" x14ac:dyDescent="0.25">
      <c r="A464" s="1" t="s">
        <v>129</v>
      </c>
      <c r="B464" s="1" t="s">
        <v>2189</v>
      </c>
      <c r="C464" s="1" t="s">
        <v>463</v>
      </c>
      <c r="D464" s="1" t="s">
        <v>2190</v>
      </c>
      <c r="E464" s="4" t="s">
        <v>2191</v>
      </c>
      <c r="F464" s="1" t="s">
        <v>6</v>
      </c>
      <c r="G464" s="1" t="s">
        <v>9</v>
      </c>
      <c r="H464" s="4">
        <v>24055</v>
      </c>
      <c r="I464" s="1">
        <f>4+4+2</f>
        <v>10</v>
      </c>
      <c r="K464" s="1" t="s">
        <v>2192</v>
      </c>
      <c r="M464" s="1" t="s">
        <v>2206</v>
      </c>
    </row>
    <row r="465" spans="1:15" ht="60" x14ac:dyDescent="0.25">
      <c r="A465" s="1" t="s">
        <v>2193</v>
      </c>
      <c r="B465" s="1" t="s">
        <v>1698</v>
      </c>
      <c r="C465" s="1" t="s">
        <v>26</v>
      </c>
      <c r="D465" s="1" t="s">
        <v>210</v>
      </c>
      <c r="E465" s="4" t="s">
        <v>2194</v>
      </c>
      <c r="F465" s="1" t="s">
        <v>781</v>
      </c>
      <c r="G465" s="1" t="s">
        <v>20</v>
      </c>
      <c r="H465" s="4">
        <v>26756</v>
      </c>
      <c r="I465" s="1">
        <f>60+3+28+142+1+2</f>
        <v>236</v>
      </c>
      <c r="K465" s="1" t="s">
        <v>2202</v>
      </c>
      <c r="M465" s="1" t="s">
        <v>2212</v>
      </c>
      <c r="O465" s="1" t="s">
        <v>1800</v>
      </c>
    </row>
    <row r="466" spans="1:15" ht="75" x14ac:dyDescent="0.25">
      <c r="A466" s="1" t="s">
        <v>2195</v>
      </c>
      <c r="B466" s="1" t="s">
        <v>140</v>
      </c>
      <c r="C466" s="1" t="s">
        <v>716</v>
      </c>
      <c r="D466" s="1" t="s">
        <v>101</v>
      </c>
      <c r="E466" s="4" t="s">
        <v>2196</v>
      </c>
      <c r="F466" s="1" t="s">
        <v>186</v>
      </c>
      <c r="G466" s="1" t="s">
        <v>9</v>
      </c>
      <c r="H466" s="4">
        <v>26742</v>
      </c>
      <c r="I466" s="1">
        <f>260+7+1+2+17+1+2+12+3+8</f>
        <v>313</v>
      </c>
      <c r="K466" s="1" t="s">
        <v>2203</v>
      </c>
      <c r="M466" s="1" t="s">
        <v>3189</v>
      </c>
      <c r="N466" s="1" t="s">
        <v>3031</v>
      </c>
      <c r="O466" s="1" t="s">
        <v>2207</v>
      </c>
    </row>
    <row r="467" spans="1:15" ht="45" x14ac:dyDescent="0.25">
      <c r="A467" s="1" t="s">
        <v>2197</v>
      </c>
      <c r="B467" s="1" t="s">
        <v>77</v>
      </c>
      <c r="C467" s="1" t="s">
        <v>63</v>
      </c>
      <c r="D467" s="1" t="s">
        <v>1751</v>
      </c>
      <c r="E467" s="4" t="s">
        <v>1646</v>
      </c>
      <c r="F467" s="1" t="s">
        <v>6</v>
      </c>
      <c r="G467" s="1" t="s">
        <v>222</v>
      </c>
      <c r="H467" s="4">
        <v>26757</v>
      </c>
      <c r="I467" s="1">
        <f>46+10+4</f>
        <v>60</v>
      </c>
      <c r="K467" s="1" t="s">
        <v>2204</v>
      </c>
      <c r="M467" s="1" t="s">
        <v>2209</v>
      </c>
      <c r="N467" s="1" t="s">
        <v>2208</v>
      </c>
      <c r="O467" s="1" t="s">
        <v>1739</v>
      </c>
    </row>
    <row r="468" spans="1:15" ht="75" x14ac:dyDescent="0.25">
      <c r="A468" s="1" t="s">
        <v>2198</v>
      </c>
      <c r="B468" s="1" t="s">
        <v>100</v>
      </c>
      <c r="C468" s="1" t="s">
        <v>17</v>
      </c>
      <c r="D468" s="1" t="s">
        <v>101</v>
      </c>
      <c r="E468" s="4" t="s">
        <v>2199</v>
      </c>
      <c r="F468" s="1" t="s">
        <v>186</v>
      </c>
      <c r="G468" s="1" t="s">
        <v>9</v>
      </c>
      <c r="H468" s="4">
        <v>26716</v>
      </c>
      <c r="I468" s="1">
        <f>265+3+1+16+30+2+9+8</f>
        <v>334</v>
      </c>
      <c r="K468" s="1" t="s">
        <v>2205</v>
      </c>
      <c r="M468" s="1" t="s">
        <v>2210</v>
      </c>
      <c r="O468" s="1" t="s">
        <v>2211</v>
      </c>
    </row>
    <row r="469" spans="1:15" ht="105" x14ac:dyDescent="0.25">
      <c r="A469" s="1" t="s">
        <v>2200</v>
      </c>
      <c r="B469" s="1" t="s">
        <v>16</v>
      </c>
      <c r="C469" s="1" t="s">
        <v>17</v>
      </c>
      <c r="D469" s="1" t="s">
        <v>703</v>
      </c>
      <c r="E469" s="4" t="s">
        <v>2201</v>
      </c>
      <c r="F469" s="1" t="s">
        <v>6</v>
      </c>
      <c r="G469" s="1" t="s">
        <v>20</v>
      </c>
      <c r="I469" s="1">
        <f>31+4+2+7+4+30+1+6+8+7</f>
        <v>100</v>
      </c>
      <c r="K469" s="1" t="s">
        <v>2216</v>
      </c>
      <c r="M469" s="1" t="s">
        <v>3190</v>
      </c>
      <c r="O469" s="1" t="s">
        <v>1800</v>
      </c>
    </row>
    <row r="470" spans="1:15" s="17" customFormat="1" ht="90" x14ac:dyDescent="0.25">
      <c r="A470" s="17" t="s">
        <v>2213</v>
      </c>
      <c r="B470" s="17" t="s">
        <v>2214</v>
      </c>
      <c r="C470" s="17" t="s">
        <v>63</v>
      </c>
      <c r="D470" s="17" t="s">
        <v>101</v>
      </c>
      <c r="E470" s="18" t="s">
        <v>1896</v>
      </c>
      <c r="F470" s="17" t="s">
        <v>186</v>
      </c>
      <c r="G470" s="17" t="s">
        <v>9</v>
      </c>
      <c r="H470" s="18">
        <v>26707</v>
      </c>
      <c r="I470" s="17">
        <f>253+4+2+3+1+20+2+15+6</f>
        <v>306</v>
      </c>
      <c r="K470" s="17" t="s">
        <v>2215</v>
      </c>
      <c r="M470" s="17" t="s">
        <v>2229</v>
      </c>
      <c r="N470" s="17" t="s">
        <v>2230</v>
      </c>
      <c r="O470" s="17" t="s">
        <v>2228</v>
      </c>
    </row>
    <row r="471" spans="1:15" ht="60" x14ac:dyDescent="0.25">
      <c r="A471" s="1" t="s">
        <v>2217</v>
      </c>
      <c r="B471" s="1" t="s">
        <v>148</v>
      </c>
      <c r="C471" s="1" t="s">
        <v>113</v>
      </c>
      <c r="D471" s="1" t="s">
        <v>227</v>
      </c>
      <c r="E471" s="4" t="s">
        <v>1151</v>
      </c>
      <c r="F471" s="1" t="s">
        <v>6</v>
      </c>
      <c r="G471" s="1" t="s">
        <v>222</v>
      </c>
      <c r="H471" s="4">
        <v>26732</v>
      </c>
      <c r="I471" s="1">
        <f>30+13+4+50+2</f>
        <v>99</v>
      </c>
      <c r="K471" s="1" t="s">
        <v>2222</v>
      </c>
      <c r="M471" s="1" t="s">
        <v>2231</v>
      </c>
      <c r="O471" s="1" t="s">
        <v>1672</v>
      </c>
    </row>
    <row r="472" spans="1:15" ht="60" x14ac:dyDescent="0.25">
      <c r="A472" s="1" t="s">
        <v>2218</v>
      </c>
      <c r="B472" s="1" t="s">
        <v>134</v>
      </c>
      <c r="C472" s="1" t="s">
        <v>599</v>
      </c>
      <c r="D472" s="1" t="s">
        <v>101</v>
      </c>
      <c r="E472" s="4" t="s">
        <v>2219</v>
      </c>
      <c r="F472" s="1" t="s">
        <v>186</v>
      </c>
      <c r="G472" s="1" t="s">
        <v>9</v>
      </c>
      <c r="H472" s="4">
        <v>26729</v>
      </c>
      <c r="I472" s="1">
        <f>600+8+16+2+1+2+1+34+77+2+4</f>
        <v>747</v>
      </c>
      <c r="K472" s="1" t="s">
        <v>2223</v>
      </c>
      <c r="M472" s="1" t="s">
        <v>2232</v>
      </c>
      <c r="N472" s="1" t="s">
        <v>2743</v>
      </c>
      <c r="O472" s="1" t="s">
        <v>1974</v>
      </c>
    </row>
    <row r="473" spans="1:15" ht="30" x14ac:dyDescent="0.25">
      <c r="A473" s="1" t="s">
        <v>2218</v>
      </c>
      <c r="B473" s="1" t="s">
        <v>16</v>
      </c>
      <c r="C473" s="1" t="s">
        <v>244</v>
      </c>
      <c r="D473" s="1" t="s">
        <v>1852</v>
      </c>
      <c r="E473" s="4" t="s">
        <v>2220</v>
      </c>
      <c r="F473" s="1" t="s">
        <v>186</v>
      </c>
      <c r="G473" s="1" t="s">
        <v>222</v>
      </c>
      <c r="H473" s="4">
        <v>25548</v>
      </c>
      <c r="I473" s="1">
        <f>17+55+6+3</f>
        <v>81</v>
      </c>
      <c r="K473" s="1" t="s">
        <v>2224</v>
      </c>
      <c r="M473" s="1" t="s">
        <v>3191</v>
      </c>
      <c r="N473" s="1" t="s">
        <v>2233</v>
      </c>
    </row>
    <row r="474" spans="1:15" ht="45" x14ac:dyDescent="0.25">
      <c r="A474" s="1" t="s">
        <v>2221</v>
      </c>
      <c r="B474" s="1" t="s">
        <v>116</v>
      </c>
      <c r="C474" s="1" t="s">
        <v>123</v>
      </c>
      <c r="D474" s="1" t="s">
        <v>227</v>
      </c>
      <c r="E474" s="4" t="s">
        <v>1758</v>
      </c>
      <c r="F474" s="1" t="s">
        <v>6</v>
      </c>
      <c r="G474" s="1" t="s">
        <v>222</v>
      </c>
      <c r="H474" s="4">
        <v>26733</v>
      </c>
      <c r="I474" s="1">
        <f>44+4+50+4</f>
        <v>102</v>
      </c>
      <c r="K474" s="1" t="s">
        <v>2235</v>
      </c>
      <c r="M474" s="1" t="s">
        <v>2236</v>
      </c>
      <c r="N474" s="1" t="s">
        <v>2234</v>
      </c>
      <c r="O474" s="1" t="s">
        <v>1739</v>
      </c>
    </row>
    <row r="475" spans="1:15" ht="45" x14ac:dyDescent="0.25">
      <c r="A475" s="1" t="s">
        <v>2237</v>
      </c>
      <c r="B475" s="1" t="s">
        <v>116</v>
      </c>
      <c r="C475" s="1" t="s">
        <v>182</v>
      </c>
      <c r="D475" s="1" t="s">
        <v>210</v>
      </c>
      <c r="E475" s="4" t="s">
        <v>2238</v>
      </c>
      <c r="F475" s="1" t="s">
        <v>6</v>
      </c>
      <c r="G475" s="1" t="s">
        <v>20</v>
      </c>
      <c r="I475" s="1">
        <f>68+5+52</f>
        <v>125</v>
      </c>
      <c r="K475" s="1" t="s">
        <v>2240</v>
      </c>
      <c r="M475" s="1" t="s">
        <v>1927</v>
      </c>
      <c r="O475" s="1" t="s">
        <v>2248</v>
      </c>
    </row>
    <row r="476" spans="1:15" ht="60" x14ac:dyDescent="0.25">
      <c r="A476" s="1" t="s">
        <v>2241</v>
      </c>
      <c r="B476" s="1" t="s">
        <v>77</v>
      </c>
      <c r="C476" s="1" t="s">
        <v>58</v>
      </c>
      <c r="D476" s="1" t="s">
        <v>101</v>
      </c>
      <c r="E476" s="4" t="s">
        <v>1493</v>
      </c>
      <c r="F476" s="1" t="s">
        <v>186</v>
      </c>
      <c r="G476" s="1" t="s">
        <v>9</v>
      </c>
      <c r="H476" s="4">
        <v>26715</v>
      </c>
      <c r="I476" s="1">
        <f>231+3+2+9+2+13</f>
        <v>260</v>
      </c>
      <c r="K476" s="1" t="s">
        <v>2239</v>
      </c>
      <c r="M476" s="1" t="s">
        <v>2249</v>
      </c>
      <c r="N476" s="1" t="s">
        <v>2250</v>
      </c>
      <c r="O476" s="1" t="s">
        <v>1979</v>
      </c>
    </row>
    <row r="477" spans="1:15" x14ac:dyDescent="0.25">
      <c r="A477" s="1" t="s">
        <v>2242</v>
      </c>
      <c r="B477" s="1" t="s">
        <v>968</v>
      </c>
      <c r="C477" s="1" t="s">
        <v>32</v>
      </c>
      <c r="D477" s="1" t="s">
        <v>2243</v>
      </c>
      <c r="E477" s="4" t="s">
        <v>2252</v>
      </c>
      <c r="F477" s="1" t="s">
        <v>186</v>
      </c>
      <c r="G477" s="1" t="s">
        <v>222</v>
      </c>
      <c r="H477" s="4">
        <v>24803</v>
      </c>
      <c r="I477" s="1">
        <f>64+192</f>
        <v>256</v>
      </c>
      <c r="K477" s="1" t="s">
        <v>2246</v>
      </c>
      <c r="M477" s="1" t="s">
        <v>2251</v>
      </c>
    </row>
    <row r="478" spans="1:15" ht="75" x14ac:dyDescent="0.25">
      <c r="A478" s="1" t="s">
        <v>2244</v>
      </c>
      <c r="B478" s="1" t="s">
        <v>96</v>
      </c>
      <c r="C478" s="1" t="s">
        <v>26</v>
      </c>
      <c r="D478" s="1" t="s">
        <v>703</v>
      </c>
      <c r="E478" s="4" t="s">
        <v>2245</v>
      </c>
      <c r="F478" s="1" t="s">
        <v>781</v>
      </c>
      <c r="G478" s="1" t="s">
        <v>20</v>
      </c>
      <c r="I478" s="1">
        <f>46+29+4+112+24+31+10+16+3</f>
        <v>275</v>
      </c>
      <c r="K478" s="1" t="s">
        <v>2247</v>
      </c>
      <c r="M478" s="1" t="s">
        <v>2255</v>
      </c>
      <c r="N478" s="1" t="s">
        <v>2254</v>
      </c>
      <c r="O478" s="1" t="s">
        <v>2253</v>
      </c>
    </row>
    <row r="479" spans="1:15" ht="105" customHeight="1" x14ac:dyDescent="0.25">
      <c r="A479" s="1" t="s">
        <v>2256</v>
      </c>
      <c r="B479" s="1" t="s">
        <v>2257</v>
      </c>
      <c r="C479" s="1" t="s">
        <v>113</v>
      </c>
      <c r="D479" s="1" t="s">
        <v>567</v>
      </c>
      <c r="E479" s="4" t="s">
        <v>1598</v>
      </c>
      <c r="F479" s="1" t="s">
        <v>781</v>
      </c>
      <c r="G479" s="1" t="s">
        <v>20</v>
      </c>
      <c r="I479" s="1">
        <f>76+4+1+16+1+1+78+2</f>
        <v>179</v>
      </c>
      <c r="K479" s="1" t="s">
        <v>2258</v>
      </c>
      <c r="M479" s="1" t="s">
        <v>3192</v>
      </c>
      <c r="N479" s="1" t="s">
        <v>2259</v>
      </c>
      <c r="O479" s="1" t="s">
        <v>1825</v>
      </c>
    </row>
    <row r="480" spans="1:15" ht="75" x14ac:dyDescent="0.25">
      <c r="A480" s="1" t="s">
        <v>2260</v>
      </c>
      <c r="B480" s="1" t="s">
        <v>1875</v>
      </c>
      <c r="D480" s="1" t="s">
        <v>348</v>
      </c>
      <c r="E480" s="4" t="s">
        <v>1448</v>
      </c>
      <c r="F480" s="1" t="s">
        <v>186</v>
      </c>
      <c r="G480" s="1" t="s">
        <v>9</v>
      </c>
      <c r="H480" s="4">
        <v>26731</v>
      </c>
      <c r="I480" s="1">
        <f>250+6+2+10+36+2+18</f>
        <v>324</v>
      </c>
      <c r="K480" s="1" t="s">
        <v>2261</v>
      </c>
      <c r="M480" s="1" t="s">
        <v>2275</v>
      </c>
      <c r="N480" s="1" t="s">
        <v>2274</v>
      </c>
      <c r="O480" s="1" t="s">
        <v>2207</v>
      </c>
    </row>
    <row r="481" spans="1:15" ht="45" x14ac:dyDescent="0.25">
      <c r="A481" s="1" t="s">
        <v>2262</v>
      </c>
      <c r="B481" s="1" t="s">
        <v>2263</v>
      </c>
      <c r="C481" s="1" t="s">
        <v>192</v>
      </c>
      <c r="D481" s="1" t="s">
        <v>101</v>
      </c>
      <c r="E481" s="4" t="s">
        <v>2264</v>
      </c>
      <c r="F481" s="1" t="s">
        <v>186</v>
      </c>
      <c r="G481" s="1" t="s">
        <v>9</v>
      </c>
      <c r="H481" s="4">
        <v>26733</v>
      </c>
      <c r="I481" s="1">
        <f>148+2+2+9+2+7</f>
        <v>170</v>
      </c>
      <c r="K481" s="1" t="s">
        <v>2270</v>
      </c>
      <c r="M481" s="1" t="s">
        <v>3193</v>
      </c>
    </row>
    <row r="482" spans="1:15" s="17" customFormat="1" ht="30" x14ac:dyDescent="0.25">
      <c r="A482" s="17" t="s">
        <v>2298</v>
      </c>
      <c r="B482" s="17" t="s">
        <v>199</v>
      </c>
      <c r="C482" s="17" t="s">
        <v>58</v>
      </c>
      <c r="E482" s="18" t="s">
        <v>1549</v>
      </c>
      <c r="F482" s="17" t="s">
        <v>386</v>
      </c>
      <c r="G482" s="17" t="s">
        <v>215</v>
      </c>
      <c r="H482" s="18"/>
      <c r="M482" s="17" t="s">
        <v>3154</v>
      </c>
    </row>
    <row r="483" spans="1:15" ht="30" x14ac:dyDescent="0.25">
      <c r="A483" s="1" t="s">
        <v>2265</v>
      </c>
      <c r="B483" s="1" t="s">
        <v>62</v>
      </c>
      <c r="C483" s="1" t="s">
        <v>17</v>
      </c>
      <c r="D483" s="1" t="s">
        <v>270</v>
      </c>
      <c r="E483" s="4" t="s">
        <v>2266</v>
      </c>
      <c r="F483" s="1" t="s">
        <v>6</v>
      </c>
      <c r="G483" s="1" t="s">
        <v>222</v>
      </c>
      <c r="H483" s="4">
        <v>26754</v>
      </c>
      <c r="I483" s="1">
        <f>35+4+16</f>
        <v>55</v>
      </c>
      <c r="K483" s="1" t="s">
        <v>2271</v>
      </c>
      <c r="M483" s="1" t="s">
        <v>2276</v>
      </c>
      <c r="O483" s="1" t="s">
        <v>1739</v>
      </c>
    </row>
    <row r="484" spans="1:15" ht="45" x14ac:dyDescent="0.25">
      <c r="A484" s="1" t="s">
        <v>2268</v>
      </c>
      <c r="B484" s="1" t="s">
        <v>847</v>
      </c>
      <c r="C484" s="1" t="s">
        <v>953</v>
      </c>
      <c r="D484" s="1" t="s">
        <v>703</v>
      </c>
      <c r="E484" s="4" t="s">
        <v>2269</v>
      </c>
      <c r="F484" s="1" t="s">
        <v>186</v>
      </c>
      <c r="G484" s="1" t="s">
        <v>20</v>
      </c>
      <c r="H484" s="4">
        <v>24575</v>
      </c>
      <c r="I484" s="1">
        <f>145+3+3+5+1+50</f>
        <v>207</v>
      </c>
      <c r="K484" s="1" t="s">
        <v>2272</v>
      </c>
      <c r="M484" s="1" t="s">
        <v>2277</v>
      </c>
    </row>
    <row r="485" spans="1:15" x14ac:dyDescent="0.25">
      <c r="A485" s="1" t="s">
        <v>2267</v>
      </c>
      <c r="B485" s="1" t="s">
        <v>397</v>
      </c>
      <c r="C485" s="1" t="s">
        <v>72</v>
      </c>
      <c r="D485" s="1" t="s">
        <v>201</v>
      </c>
      <c r="E485" s="4" t="s">
        <v>724</v>
      </c>
      <c r="F485" s="1" t="s">
        <v>6</v>
      </c>
      <c r="G485" s="1" t="s">
        <v>222</v>
      </c>
      <c r="H485" s="4">
        <v>25213</v>
      </c>
      <c r="I485" s="1">
        <f>29+21</f>
        <v>50</v>
      </c>
      <c r="K485" s="1" t="s">
        <v>2273</v>
      </c>
      <c r="M485" s="1" t="s">
        <v>1337</v>
      </c>
    </row>
    <row r="486" spans="1:15" ht="45" x14ac:dyDescent="0.25">
      <c r="A486" s="1" t="s">
        <v>2267</v>
      </c>
      <c r="B486" s="1" t="s">
        <v>720</v>
      </c>
      <c r="C486" s="1" t="s">
        <v>17</v>
      </c>
      <c r="D486" s="1" t="s">
        <v>348</v>
      </c>
      <c r="E486" s="4" t="s">
        <v>2278</v>
      </c>
      <c r="F486" s="1" t="s">
        <v>186</v>
      </c>
      <c r="G486" s="1" t="s">
        <v>9</v>
      </c>
      <c r="H486" s="4">
        <v>26756</v>
      </c>
      <c r="I486" s="1">
        <f>167+4+1+7+3+11</f>
        <v>193</v>
      </c>
      <c r="K486" s="1" t="s">
        <v>2279</v>
      </c>
      <c r="M486" s="1" t="s">
        <v>2290</v>
      </c>
    </row>
    <row r="487" spans="1:15" ht="30" x14ac:dyDescent="0.25">
      <c r="A487" s="1" t="s">
        <v>2280</v>
      </c>
      <c r="B487" s="1" t="s">
        <v>1456</v>
      </c>
      <c r="C487" s="1" t="s">
        <v>244</v>
      </c>
      <c r="D487" s="1" t="s">
        <v>567</v>
      </c>
      <c r="E487" s="4" t="s">
        <v>1310</v>
      </c>
      <c r="F487" s="17"/>
      <c r="G487" s="1" t="s">
        <v>20</v>
      </c>
      <c r="I487" s="1">
        <f>57+4</f>
        <v>61</v>
      </c>
      <c r="K487" s="1" t="s">
        <v>2286</v>
      </c>
      <c r="M487" s="1" t="s">
        <v>2291</v>
      </c>
      <c r="O487" s="1" t="s">
        <v>1571</v>
      </c>
    </row>
    <row r="488" spans="1:15" x14ac:dyDescent="0.25">
      <c r="A488" s="1" t="s">
        <v>2281</v>
      </c>
      <c r="B488" s="1" t="s">
        <v>100</v>
      </c>
      <c r="C488" s="1" t="s">
        <v>58</v>
      </c>
      <c r="D488" s="1" t="s">
        <v>289</v>
      </c>
      <c r="E488" s="4" t="s">
        <v>1059</v>
      </c>
      <c r="F488" s="1" t="s">
        <v>6</v>
      </c>
      <c r="G488" s="1" t="s">
        <v>222</v>
      </c>
      <c r="H488" s="4">
        <v>25292</v>
      </c>
      <c r="I488" s="1">
        <f>29+77</f>
        <v>106</v>
      </c>
      <c r="K488" s="1" t="s">
        <v>2287</v>
      </c>
      <c r="M488" s="1" t="s">
        <v>1337</v>
      </c>
    </row>
    <row r="489" spans="1:15" ht="75" x14ac:dyDescent="0.25">
      <c r="A489" s="1" t="s">
        <v>2282</v>
      </c>
      <c r="B489" s="1" t="s">
        <v>2283</v>
      </c>
      <c r="C489" s="1" t="s">
        <v>53</v>
      </c>
      <c r="D489" s="1" t="s">
        <v>2284</v>
      </c>
      <c r="E489" s="4" t="s">
        <v>2285</v>
      </c>
      <c r="F489" s="1" t="s">
        <v>6</v>
      </c>
      <c r="G489" s="1" t="s">
        <v>222</v>
      </c>
      <c r="H489" s="4">
        <v>26756</v>
      </c>
      <c r="I489" s="1">
        <f>97+1+4+3+22+1</f>
        <v>128</v>
      </c>
      <c r="K489" s="1" t="s">
        <v>2288</v>
      </c>
      <c r="M489" s="1" t="s">
        <v>2292</v>
      </c>
      <c r="O489" s="1" t="s">
        <v>1825</v>
      </c>
    </row>
    <row r="490" spans="1:15" ht="60" x14ac:dyDescent="0.25">
      <c r="A490" s="1" t="s">
        <v>2282</v>
      </c>
      <c r="B490" s="1" t="s">
        <v>100</v>
      </c>
      <c r="C490" s="1" t="s">
        <v>599</v>
      </c>
      <c r="D490" s="1" t="s">
        <v>101</v>
      </c>
      <c r="E490" s="4" t="s">
        <v>514</v>
      </c>
      <c r="F490" s="1" t="s">
        <v>186</v>
      </c>
      <c r="G490" s="1" t="s">
        <v>9</v>
      </c>
      <c r="H490" s="4">
        <v>26717</v>
      </c>
      <c r="I490" s="1">
        <f>86+6+3+3+10+9+2+5</f>
        <v>124</v>
      </c>
      <c r="K490" s="1" t="s">
        <v>2289</v>
      </c>
      <c r="M490" s="1" t="s">
        <v>2293</v>
      </c>
      <c r="O490" s="1" t="s">
        <v>1976</v>
      </c>
    </row>
    <row r="491" spans="1:15" ht="105" x14ac:dyDescent="0.25">
      <c r="A491" s="1" t="s">
        <v>2294</v>
      </c>
      <c r="B491" s="1" t="s">
        <v>333</v>
      </c>
      <c r="C491" s="1" t="s">
        <v>113</v>
      </c>
      <c r="D491" s="1" t="s">
        <v>703</v>
      </c>
      <c r="E491" s="4" t="s">
        <v>2295</v>
      </c>
      <c r="F491" s="1" t="s">
        <v>781</v>
      </c>
      <c r="G491" s="1" t="s">
        <v>20</v>
      </c>
      <c r="I491" s="1">
        <f>31+4+1+1+2+62+13+96+25+125</f>
        <v>360</v>
      </c>
      <c r="K491" s="1" t="s">
        <v>2296</v>
      </c>
      <c r="M491" s="1" t="s">
        <v>3194</v>
      </c>
      <c r="O491" s="1" t="s">
        <v>2297</v>
      </c>
    </row>
    <row r="492" spans="1:15" ht="75" x14ac:dyDescent="0.25">
      <c r="A492" s="1" t="s">
        <v>2299</v>
      </c>
      <c r="B492" s="1" t="s">
        <v>2301</v>
      </c>
      <c r="C492" s="1" t="s">
        <v>17</v>
      </c>
      <c r="D492" s="1" t="s">
        <v>348</v>
      </c>
      <c r="E492" s="4" t="s">
        <v>1812</v>
      </c>
      <c r="F492" s="1" t="s">
        <v>186</v>
      </c>
      <c r="G492" s="1" t="s">
        <v>9</v>
      </c>
      <c r="H492" s="4">
        <v>26712</v>
      </c>
      <c r="I492" s="1">
        <f>464+5+1+2+3+17+16+6</f>
        <v>514</v>
      </c>
      <c r="K492" s="1" t="s">
        <v>2302</v>
      </c>
      <c r="M492" s="1" t="s">
        <v>2304</v>
      </c>
      <c r="O492" s="1" t="s">
        <v>1972</v>
      </c>
    </row>
    <row r="493" spans="1:15" ht="60" x14ac:dyDescent="0.25">
      <c r="A493" s="1" t="s">
        <v>2299</v>
      </c>
      <c r="B493" s="1" t="s">
        <v>140</v>
      </c>
      <c r="C493" s="1" t="s">
        <v>953</v>
      </c>
      <c r="D493" s="1" t="s">
        <v>101</v>
      </c>
      <c r="E493" s="4" t="s">
        <v>586</v>
      </c>
      <c r="F493" s="1" t="s">
        <v>186</v>
      </c>
      <c r="G493" s="1" t="s">
        <v>9</v>
      </c>
      <c r="H493" s="4">
        <v>26730</v>
      </c>
      <c r="I493" s="1">
        <f>296+12+1+2+6+4+18+2+6</f>
        <v>347</v>
      </c>
      <c r="K493" s="1" t="s">
        <v>2303</v>
      </c>
      <c r="M493" s="1" t="s">
        <v>2306</v>
      </c>
      <c r="N493" s="1" t="s">
        <v>2305</v>
      </c>
    </row>
    <row r="494" spans="1:15" s="17" customFormat="1" x14ac:dyDescent="0.25">
      <c r="A494" s="17" t="s">
        <v>2300</v>
      </c>
      <c r="B494" s="17" t="s">
        <v>269</v>
      </c>
      <c r="D494" s="17" t="s">
        <v>222</v>
      </c>
      <c r="E494" s="18" t="s">
        <v>1528</v>
      </c>
      <c r="F494" s="17" t="s">
        <v>386</v>
      </c>
      <c r="G494" s="17" t="s">
        <v>222</v>
      </c>
      <c r="H494" s="18"/>
    </row>
    <row r="495" spans="1:15" ht="90" x14ac:dyDescent="0.25">
      <c r="A495" s="1" t="s">
        <v>2307</v>
      </c>
      <c r="B495" s="1" t="s">
        <v>965</v>
      </c>
      <c r="C495" s="1" t="s">
        <v>716</v>
      </c>
      <c r="D495" s="1" t="s">
        <v>210</v>
      </c>
      <c r="E495" s="4" t="s">
        <v>2308</v>
      </c>
      <c r="F495" s="1" t="s">
        <v>781</v>
      </c>
      <c r="G495" s="1" t="s">
        <v>20</v>
      </c>
      <c r="I495" s="1">
        <f>48+3+49+6+2+4+130</f>
        <v>242</v>
      </c>
      <c r="K495" s="1" t="s">
        <v>2309</v>
      </c>
      <c r="M495" s="1" t="s">
        <v>2315</v>
      </c>
      <c r="O495" s="1" t="s">
        <v>1800</v>
      </c>
    </row>
    <row r="496" spans="1:15" ht="120" x14ac:dyDescent="0.25">
      <c r="A496" s="1" t="s">
        <v>2310</v>
      </c>
      <c r="B496" s="1" t="s">
        <v>100</v>
      </c>
      <c r="C496" s="1" t="s">
        <v>524</v>
      </c>
      <c r="D496" s="1" t="s">
        <v>314</v>
      </c>
      <c r="E496" s="4" t="s">
        <v>2311</v>
      </c>
      <c r="F496" s="1" t="s">
        <v>186</v>
      </c>
      <c r="G496" s="1" t="s">
        <v>20</v>
      </c>
      <c r="H496" s="4">
        <v>26757</v>
      </c>
      <c r="I496" s="1">
        <f>121+18+4+11+16+4+1+3+18+1+103</f>
        <v>300</v>
      </c>
      <c r="K496" s="1" t="s">
        <v>2313</v>
      </c>
      <c r="M496" s="1" t="s">
        <v>2316</v>
      </c>
      <c r="N496" s="1" t="s">
        <v>2325</v>
      </c>
      <c r="O496" s="1" t="s">
        <v>1800</v>
      </c>
    </row>
    <row r="497" spans="1:15" ht="60" x14ac:dyDescent="0.25">
      <c r="A497" s="1" t="s">
        <v>2312</v>
      </c>
      <c r="B497" s="1" t="s">
        <v>397</v>
      </c>
      <c r="C497" s="1" t="s">
        <v>58</v>
      </c>
      <c r="D497" s="1" t="s">
        <v>245</v>
      </c>
      <c r="E497" s="4" t="s">
        <v>74</v>
      </c>
      <c r="F497" s="1" t="s">
        <v>6</v>
      </c>
      <c r="G497" s="1" t="s">
        <v>222</v>
      </c>
      <c r="H497" s="4">
        <v>26756</v>
      </c>
      <c r="I497" s="1">
        <f>34+6+4+23+9+3+1</f>
        <v>80</v>
      </c>
      <c r="K497" s="1" t="s">
        <v>2314</v>
      </c>
      <c r="M497" s="1" t="s">
        <v>2317</v>
      </c>
      <c r="O497" s="1" t="s">
        <v>1825</v>
      </c>
    </row>
    <row r="498" spans="1:15" ht="45" x14ac:dyDescent="0.25">
      <c r="A498" s="1" t="s">
        <v>2318</v>
      </c>
      <c r="B498" s="1" t="s">
        <v>2319</v>
      </c>
      <c r="C498" s="1" t="s">
        <v>192</v>
      </c>
      <c r="D498" s="1" t="s">
        <v>101</v>
      </c>
      <c r="E498" s="4" t="s">
        <v>1333</v>
      </c>
      <c r="F498" s="1" t="s">
        <v>186</v>
      </c>
      <c r="G498" s="1" t="s">
        <v>9</v>
      </c>
      <c r="H498" s="4">
        <v>26757</v>
      </c>
      <c r="I498" s="1">
        <f>181+4+1+3+4+7</f>
        <v>200</v>
      </c>
      <c r="K498" s="1" t="s">
        <v>2320</v>
      </c>
      <c r="M498" s="1" t="s">
        <v>2322</v>
      </c>
      <c r="N498" s="1" t="s">
        <v>2328</v>
      </c>
    </row>
    <row r="499" spans="1:15" ht="75" x14ac:dyDescent="0.25">
      <c r="A499" s="1" t="s">
        <v>2318</v>
      </c>
      <c r="B499" s="1" t="s">
        <v>148</v>
      </c>
      <c r="C499" s="1" t="s">
        <v>113</v>
      </c>
      <c r="D499" s="1" t="s">
        <v>314</v>
      </c>
      <c r="E499" s="4" t="s">
        <v>2077</v>
      </c>
      <c r="F499" s="1" t="s">
        <v>781</v>
      </c>
      <c r="G499" s="1" t="s">
        <v>20</v>
      </c>
      <c r="I499" s="1">
        <f>27+3+18+15+4+175+83+116</f>
        <v>441</v>
      </c>
      <c r="K499" s="1" t="s">
        <v>2321</v>
      </c>
      <c r="M499" s="1" t="s">
        <v>3195</v>
      </c>
      <c r="N499" s="1" t="s">
        <v>2323</v>
      </c>
      <c r="O499" s="1" t="s">
        <v>2324</v>
      </c>
    </row>
    <row r="500" spans="1:15" ht="90" x14ac:dyDescent="0.25">
      <c r="A500" s="1" t="s">
        <v>2326</v>
      </c>
      <c r="B500" s="1" t="s">
        <v>116</v>
      </c>
      <c r="C500" s="1" t="s">
        <v>72</v>
      </c>
      <c r="D500" s="1" t="s">
        <v>348</v>
      </c>
      <c r="E500" s="4" t="s">
        <v>2327</v>
      </c>
      <c r="F500" s="1" t="s">
        <v>186</v>
      </c>
      <c r="G500" s="1" t="s">
        <v>9</v>
      </c>
      <c r="H500" s="4">
        <v>26711</v>
      </c>
      <c r="I500" s="1">
        <f>2+1+1+1+5+35+1+2+13+16</f>
        <v>77</v>
      </c>
      <c r="K500" s="1" t="s">
        <v>2337</v>
      </c>
      <c r="M500" s="1" t="s">
        <v>2342</v>
      </c>
      <c r="O500" s="1" t="s">
        <v>2343</v>
      </c>
    </row>
    <row r="501" spans="1:15" ht="30" x14ac:dyDescent="0.25">
      <c r="A501" s="1" t="s">
        <v>2326</v>
      </c>
      <c r="B501" s="1" t="s">
        <v>2329</v>
      </c>
      <c r="C501" s="1" t="s">
        <v>32</v>
      </c>
      <c r="D501" s="1" t="s">
        <v>1751</v>
      </c>
      <c r="E501" s="4" t="s">
        <v>707</v>
      </c>
      <c r="F501" s="1" t="s">
        <v>6</v>
      </c>
      <c r="G501" s="1" t="s">
        <v>222</v>
      </c>
      <c r="H501" s="4">
        <v>26712</v>
      </c>
      <c r="I501" s="1">
        <f>19+4+6</f>
        <v>29</v>
      </c>
      <c r="K501" s="1" t="s">
        <v>2338</v>
      </c>
      <c r="M501" s="1" t="s">
        <v>2276</v>
      </c>
    </row>
    <row r="502" spans="1:15" ht="45" x14ac:dyDescent="0.25">
      <c r="A502" s="1" t="s">
        <v>2330</v>
      </c>
      <c r="B502" s="1" t="s">
        <v>2331</v>
      </c>
      <c r="C502" s="1" t="s">
        <v>17</v>
      </c>
      <c r="D502" s="1" t="s">
        <v>227</v>
      </c>
      <c r="E502" s="4" t="s">
        <v>2332</v>
      </c>
      <c r="F502" s="1" t="s">
        <v>6</v>
      </c>
      <c r="G502" s="1" t="s">
        <v>222</v>
      </c>
      <c r="H502" s="4">
        <v>26742</v>
      </c>
      <c r="I502" s="1">
        <f>47+19+24+4+2+1+5</f>
        <v>102</v>
      </c>
      <c r="K502" s="1" t="s">
        <v>2339</v>
      </c>
      <c r="M502" s="1" t="s">
        <v>2344</v>
      </c>
      <c r="O502" s="1" t="s">
        <v>1739</v>
      </c>
    </row>
    <row r="503" spans="1:15" ht="30" x14ac:dyDescent="0.25">
      <c r="A503" s="1" t="s">
        <v>2333</v>
      </c>
      <c r="B503" s="1" t="s">
        <v>369</v>
      </c>
      <c r="C503" s="1" t="s">
        <v>953</v>
      </c>
      <c r="D503" s="1" t="s">
        <v>1751</v>
      </c>
      <c r="E503" s="4" t="s">
        <v>2334</v>
      </c>
      <c r="F503" s="1" t="s">
        <v>6</v>
      </c>
      <c r="G503" s="1" t="s">
        <v>222</v>
      </c>
      <c r="H503" s="4">
        <v>26754</v>
      </c>
      <c r="I503" s="1">
        <f>36+31+4</f>
        <v>71</v>
      </c>
      <c r="K503" s="1" t="s">
        <v>2340</v>
      </c>
      <c r="M503" s="1" t="s">
        <v>2346</v>
      </c>
      <c r="O503" s="1" t="s">
        <v>2345</v>
      </c>
    </row>
    <row r="504" spans="1:15" ht="60" x14ac:dyDescent="0.25">
      <c r="A504" s="1" t="s">
        <v>2335</v>
      </c>
      <c r="B504" s="1" t="s">
        <v>226</v>
      </c>
      <c r="C504" s="1" t="s">
        <v>182</v>
      </c>
      <c r="D504" s="1" t="s">
        <v>314</v>
      </c>
      <c r="E504" s="4" t="s">
        <v>2336</v>
      </c>
      <c r="F504" s="1" t="s">
        <v>6</v>
      </c>
      <c r="G504" s="1" t="s">
        <v>20</v>
      </c>
      <c r="I504" s="1">
        <f>52+1+4+5+1+1+112+11+13</f>
        <v>200</v>
      </c>
      <c r="K504" s="1" t="s">
        <v>2341</v>
      </c>
      <c r="M504" s="1" t="s">
        <v>2349</v>
      </c>
      <c r="N504" s="1" t="s">
        <v>2348</v>
      </c>
      <c r="O504" s="1" t="s">
        <v>2347</v>
      </c>
    </row>
    <row r="505" spans="1:15" ht="45" x14ac:dyDescent="0.25">
      <c r="A505" s="1" t="s">
        <v>2350</v>
      </c>
      <c r="B505" s="1" t="s">
        <v>369</v>
      </c>
      <c r="C505" s="1" t="s">
        <v>58</v>
      </c>
      <c r="D505" s="1" t="s">
        <v>348</v>
      </c>
      <c r="E505" s="4" t="s">
        <v>1633</v>
      </c>
      <c r="F505" s="1" t="s">
        <v>186</v>
      </c>
      <c r="G505" s="1" t="s">
        <v>9</v>
      </c>
      <c r="H505" s="4">
        <v>26759</v>
      </c>
      <c r="I505" s="1">
        <f>67+2+2+2+1+2</f>
        <v>76</v>
      </c>
      <c r="K505" s="1" t="s">
        <v>2356</v>
      </c>
      <c r="M505" s="1" t="s">
        <v>2352</v>
      </c>
      <c r="N505" s="1" t="s">
        <v>2351</v>
      </c>
      <c r="O505" s="1" t="s">
        <v>1825</v>
      </c>
    </row>
    <row r="506" spans="1:15" ht="45" x14ac:dyDescent="0.25">
      <c r="A506" s="1" t="s">
        <v>2353</v>
      </c>
      <c r="B506" s="1" t="s">
        <v>2354</v>
      </c>
      <c r="C506" s="1" t="s">
        <v>67</v>
      </c>
      <c r="D506" s="1" t="s">
        <v>101</v>
      </c>
      <c r="E506" s="4" t="s">
        <v>2355</v>
      </c>
      <c r="F506" s="1" t="s">
        <v>186</v>
      </c>
      <c r="G506" s="1" t="s">
        <v>9</v>
      </c>
      <c r="H506" s="4">
        <v>26712</v>
      </c>
      <c r="I506" s="1">
        <f>154+1+2+18+2+22</f>
        <v>199</v>
      </c>
      <c r="K506" s="1" t="s">
        <v>2357</v>
      </c>
      <c r="M506" s="1" t="s">
        <v>2359</v>
      </c>
      <c r="O506" s="1" t="s">
        <v>2358</v>
      </c>
    </row>
    <row r="507" spans="1:15" ht="30" x14ac:dyDescent="0.25">
      <c r="A507" s="1" t="s">
        <v>2360</v>
      </c>
      <c r="B507" s="1" t="s">
        <v>2361</v>
      </c>
      <c r="C507" s="1" t="s">
        <v>113</v>
      </c>
      <c r="D507" s="1" t="s">
        <v>2362</v>
      </c>
      <c r="E507" s="4" t="s">
        <v>2363</v>
      </c>
      <c r="F507" s="1" t="s">
        <v>386</v>
      </c>
      <c r="G507" s="1" t="s">
        <v>215</v>
      </c>
      <c r="I507" s="1">
        <f>125</f>
        <v>125</v>
      </c>
      <c r="K507" s="1" t="s">
        <v>2364</v>
      </c>
      <c r="M507" s="1" t="s">
        <v>2365</v>
      </c>
    </row>
    <row r="508" spans="1:15" ht="105" x14ac:dyDescent="0.25">
      <c r="A508" s="1" t="s">
        <v>2366</v>
      </c>
      <c r="B508" s="1" t="s">
        <v>163</v>
      </c>
      <c r="C508" s="1" t="s">
        <v>17</v>
      </c>
      <c r="D508" s="1" t="s">
        <v>703</v>
      </c>
      <c r="E508" s="4" t="s">
        <v>890</v>
      </c>
      <c r="F508" s="1" t="s">
        <v>781</v>
      </c>
      <c r="G508" s="1" t="s">
        <v>20</v>
      </c>
      <c r="H508" s="4">
        <v>26742</v>
      </c>
      <c r="I508" s="1">
        <f>128+4+7+3+1+1+9+3+37+10+202</f>
        <v>405</v>
      </c>
      <c r="K508" s="1" t="s">
        <v>2371</v>
      </c>
      <c r="M508" s="1" t="s">
        <v>3196</v>
      </c>
      <c r="O508" s="1" t="s">
        <v>1990</v>
      </c>
    </row>
    <row r="509" spans="1:15" ht="45" x14ac:dyDescent="0.25">
      <c r="A509" s="1" t="s">
        <v>2367</v>
      </c>
      <c r="B509" s="1" t="s">
        <v>541</v>
      </c>
      <c r="C509" s="1" t="s">
        <v>32</v>
      </c>
      <c r="D509" s="1" t="s">
        <v>276</v>
      </c>
      <c r="E509" s="4" t="s">
        <v>2368</v>
      </c>
      <c r="F509" s="1" t="s">
        <v>186</v>
      </c>
      <c r="G509" s="1" t="s">
        <v>215</v>
      </c>
      <c r="H509" s="4">
        <v>26751</v>
      </c>
      <c r="I509" s="1">
        <f>121+4+2+5</f>
        <v>132</v>
      </c>
      <c r="K509" s="1" t="s">
        <v>2372</v>
      </c>
      <c r="M509" s="1" t="s">
        <v>2382</v>
      </c>
      <c r="O509" s="1" t="s">
        <v>1739</v>
      </c>
    </row>
    <row r="510" spans="1:15" ht="45" x14ac:dyDescent="0.25">
      <c r="A510" s="1" t="s">
        <v>2369</v>
      </c>
      <c r="B510" s="1" t="s">
        <v>163</v>
      </c>
      <c r="C510" s="1" t="s">
        <v>123</v>
      </c>
      <c r="D510" s="1" t="s">
        <v>101</v>
      </c>
      <c r="E510" s="4" t="s">
        <v>2370</v>
      </c>
      <c r="F510" s="1" t="s">
        <v>186</v>
      </c>
      <c r="G510" s="1" t="s">
        <v>9</v>
      </c>
      <c r="H510" s="4">
        <v>26755</v>
      </c>
      <c r="I510" s="1">
        <f>140+5+3+3+13+5</f>
        <v>169</v>
      </c>
      <c r="K510" s="1" t="s">
        <v>2373</v>
      </c>
      <c r="M510" s="1" t="s">
        <v>3197</v>
      </c>
      <c r="O510" s="1" t="s">
        <v>2378</v>
      </c>
    </row>
    <row r="511" spans="1:15" ht="75" x14ac:dyDescent="0.25">
      <c r="A511" s="1" t="s">
        <v>2375</v>
      </c>
      <c r="B511" s="1" t="s">
        <v>2376</v>
      </c>
      <c r="C511" s="1" t="s">
        <v>599</v>
      </c>
      <c r="D511" s="1" t="s">
        <v>348</v>
      </c>
      <c r="E511" s="4" t="s">
        <v>2377</v>
      </c>
      <c r="F511" s="1" t="s">
        <v>186</v>
      </c>
      <c r="G511" s="1" t="s">
        <v>9</v>
      </c>
      <c r="H511" s="4">
        <v>26717</v>
      </c>
      <c r="I511" s="1">
        <f>244+7+1+41+25+16+2+14</f>
        <v>350</v>
      </c>
      <c r="K511" s="1" t="s">
        <v>2374</v>
      </c>
      <c r="M511" s="1" t="s">
        <v>2381</v>
      </c>
      <c r="N511" s="1" t="s">
        <v>2380</v>
      </c>
      <c r="O511" s="1" t="s">
        <v>2379</v>
      </c>
    </row>
    <row r="512" spans="1:15" x14ac:dyDescent="0.25">
      <c r="A512" s="1" t="s">
        <v>2383</v>
      </c>
      <c r="B512" s="1" t="s">
        <v>148</v>
      </c>
      <c r="C512" s="1" t="s">
        <v>123</v>
      </c>
      <c r="D512" s="1" t="s">
        <v>2384</v>
      </c>
      <c r="E512" s="4" t="s">
        <v>2385</v>
      </c>
      <c r="F512" s="1" t="s">
        <v>6</v>
      </c>
      <c r="G512" s="1" t="s">
        <v>215</v>
      </c>
      <c r="H512" s="4">
        <v>25088</v>
      </c>
      <c r="I512" s="1">
        <f>14</f>
        <v>14</v>
      </c>
      <c r="K512" s="1" t="s">
        <v>2386</v>
      </c>
      <c r="M512" s="1" t="s">
        <v>2392</v>
      </c>
    </row>
    <row r="513" spans="1:15" ht="165" x14ac:dyDescent="0.25">
      <c r="A513" s="1" t="s">
        <v>2383</v>
      </c>
      <c r="B513" s="1" t="s">
        <v>2387</v>
      </c>
      <c r="D513" s="1" t="s">
        <v>1056</v>
      </c>
      <c r="E513" s="4" t="s">
        <v>2001</v>
      </c>
      <c r="F513" s="1" t="s">
        <v>186</v>
      </c>
      <c r="G513" s="1" t="s">
        <v>9</v>
      </c>
      <c r="H513" s="4">
        <v>26718</v>
      </c>
      <c r="I513" s="1">
        <f>152+5+6+3+4+19+31+2+6+133+9+11+2+23+9+12+55+35</f>
        <v>517</v>
      </c>
      <c r="K513" s="1" t="s">
        <v>2390</v>
      </c>
      <c r="M513" s="1" t="s">
        <v>3198</v>
      </c>
      <c r="O513" s="1" t="s">
        <v>1594</v>
      </c>
    </row>
    <row r="514" spans="1:15" ht="90" x14ac:dyDescent="0.25">
      <c r="A514" s="1" t="s">
        <v>2388</v>
      </c>
      <c r="B514" s="1" t="s">
        <v>204</v>
      </c>
      <c r="C514" s="1" t="s">
        <v>599</v>
      </c>
      <c r="D514" s="1" t="s">
        <v>567</v>
      </c>
      <c r="E514" s="4" t="s">
        <v>2389</v>
      </c>
      <c r="F514" s="1" t="s">
        <v>781</v>
      </c>
      <c r="G514" s="1" t="s">
        <v>20</v>
      </c>
      <c r="H514" s="4">
        <v>26710</v>
      </c>
      <c r="I514" s="1">
        <f>86+2+20+19+14+14+107+14+20+146</f>
        <v>442</v>
      </c>
      <c r="K514" s="1" t="s">
        <v>2391</v>
      </c>
      <c r="M514" s="1" t="s">
        <v>3199</v>
      </c>
      <c r="O514" s="1" t="s">
        <v>1594</v>
      </c>
    </row>
    <row r="515" spans="1:15" ht="45" x14ac:dyDescent="0.25">
      <c r="A515" s="1" t="s">
        <v>2387</v>
      </c>
      <c r="B515" s="1" t="s">
        <v>469</v>
      </c>
      <c r="C515" s="1" t="s">
        <v>103</v>
      </c>
      <c r="D515" s="1" t="s">
        <v>553</v>
      </c>
      <c r="E515" s="4" t="s">
        <v>761</v>
      </c>
      <c r="F515" s="1" t="s">
        <v>186</v>
      </c>
      <c r="G515" s="1" t="s">
        <v>9</v>
      </c>
      <c r="H515" s="4">
        <v>26756</v>
      </c>
      <c r="I515" s="1">
        <f>106+3+2+3+1+3+1</f>
        <v>119</v>
      </c>
      <c r="K515" s="1" t="s">
        <v>2393</v>
      </c>
      <c r="M515" s="1" t="s">
        <v>2404</v>
      </c>
      <c r="N515" s="1" t="s">
        <v>2403</v>
      </c>
      <c r="O515" s="1" t="s">
        <v>1594</v>
      </c>
    </row>
    <row r="516" spans="1:15" ht="90" x14ac:dyDescent="0.25">
      <c r="A516" s="1" t="s">
        <v>2387</v>
      </c>
      <c r="B516" s="1" t="s">
        <v>369</v>
      </c>
      <c r="C516" s="1" t="s">
        <v>67</v>
      </c>
      <c r="D516" s="1" t="s">
        <v>2394</v>
      </c>
      <c r="E516" s="4" t="s">
        <v>878</v>
      </c>
      <c r="F516" s="1" t="s">
        <v>186</v>
      </c>
      <c r="G516" s="1" t="s">
        <v>9</v>
      </c>
      <c r="H516" s="4">
        <v>26712</v>
      </c>
      <c r="I516" s="1">
        <f>412+6+2+9+8+1+3+43+2+22+5</f>
        <v>513</v>
      </c>
      <c r="K516" s="1" t="s">
        <v>2399</v>
      </c>
      <c r="M516" s="1" t="s">
        <v>2407</v>
      </c>
      <c r="N516" s="1" t="s">
        <v>2405</v>
      </c>
      <c r="O516" s="1" t="s">
        <v>2406</v>
      </c>
    </row>
    <row r="517" spans="1:15" ht="45" x14ac:dyDescent="0.25">
      <c r="A517" s="1" t="s">
        <v>2395</v>
      </c>
      <c r="B517" s="1" t="s">
        <v>2396</v>
      </c>
      <c r="C517" s="1" t="s">
        <v>67</v>
      </c>
      <c r="D517" s="1" t="s">
        <v>2397</v>
      </c>
      <c r="E517" s="4" t="s">
        <v>2398</v>
      </c>
      <c r="F517" s="1" t="s">
        <v>386</v>
      </c>
      <c r="G517" s="1" t="s">
        <v>222</v>
      </c>
      <c r="I517" s="1">
        <f>10+1+1+4</f>
        <v>16</v>
      </c>
      <c r="K517" s="1" t="s">
        <v>2400</v>
      </c>
      <c r="M517" s="1" t="s">
        <v>2408</v>
      </c>
    </row>
    <row r="518" spans="1:15" x14ac:dyDescent="0.25">
      <c r="A518" s="1" t="s">
        <v>2401</v>
      </c>
      <c r="B518" s="1" t="s">
        <v>16</v>
      </c>
      <c r="C518" s="1" t="s">
        <v>113</v>
      </c>
      <c r="D518" s="1" t="s">
        <v>1199</v>
      </c>
      <c r="E518" s="4" t="s">
        <v>2109</v>
      </c>
      <c r="F518" s="1" t="s">
        <v>6</v>
      </c>
      <c r="G518" s="1" t="s">
        <v>215</v>
      </c>
      <c r="H518" s="4">
        <v>24859</v>
      </c>
      <c r="I518" s="1">
        <f>13+14</f>
        <v>27</v>
      </c>
      <c r="K518" s="1" t="s">
        <v>2402</v>
      </c>
      <c r="M518" s="1" t="s">
        <v>2409</v>
      </c>
    </row>
    <row r="519" spans="1:15" ht="90" x14ac:dyDescent="0.25">
      <c r="A519" s="1" t="s">
        <v>136</v>
      </c>
      <c r="B519" s="1" t="s">
        <v>226</v>
      </c>
      <c r="C519" s="1" t="s">
        <v>58</v>
      </c>
      <c r="D519" s="1" t="s">
        <v>314</v>
      </c>
      <c r="E519" s="4" t="s">
        <v>2410</v>
      </c>
      <c r="F519" s="1" t="s">
        <v>6</v>
      </c>
      <c r="G519" s="1" t="s">
        <v>20</v>
      </c>
      <c r="I519" s="1">
        <f>19+4+1+20+1+1+42+14</f>
        <v>102</v>
      </c>
      <c r="K519" s="1" t="s">
        <v>2412</v>
      </c>
      <c r="M519" s="1" t="s">
        <v>3200</v>
      </c>
      <c r="N519" s="1" t="s">
        <v>2414</v>
      </c>
      <c r="O519" s="1" t="s">
        <v>1979</v>
      </c>
    </row>
    <row r="520" spans="1:15" s="17" customFormat="1" ht="45" x14ac:dyDescent="0.25">
      <c r="A520" s="17" t="s">
        <v>2411</v>
      </c>
      <c r="B520" s="17" t="s">
        <v>777</v>
      </c>
      <c r="C520" s="17" t="s">
        <v>67</v>
      </c>
      <c r="D520" s="17" t="s">
        <v>101</v>
      </c>
      <c r="E520" s="18" t="s">
        <v>687</v>
      </c>
      <c r="F520" s="17" t="s">
        <v>186</v>
      </c>
      <c r="G520" s="17" t="s">
        <v>9</v>
      </c>
      <c r="H520" s="18">
        <v>26757</v>
      </c>
      <c r="I520" s="17">
        <f>323+3+2+9+13+9</f>
        <v>359</v>
      </c>
      <c r="K520" s="17" t="s">
        <v>2413</v>
      </c>
      <c r="M520" s="17" t="s">
        <v>2415</v>
      </c>
      <c r="N520" s="17" t="s">
        <v>2416</v>
      </c>
      <c r="O520" s="17" t="s">
        <v>1594</v>
      </c>
    </row>
    <row r="521" spans="1:15" ht="75" x14ac:dyDescent="0.25">
      <c r="A521" s="1" t="s">
        <v>2411</v>
      </c>
      <c r="B521" s="1" t="s">
        <v>96</v>
      </c>
      <c r="D521" s="1" t="s">
        <v>270</v>
      </c>
      <c r="E521" s="4" t="s">
        <v>2417</v>
      </c>
      <c r="F521" s="1" t="s">
        <v>6</v>
      </c>
      <c r="G521" s="1" t="s">
        <v>222</v>
      </c>
      <c r="H521" s="4">
        <v>26732</v>
      </c>
      <c r="I521" s="1">
        <f>54+4+65</f>
        <v>123</v>
      </c>
      <c r="K521" s="1" t="s">
        <v>2418</v>
      </c>
      <c r="M521" s="1" t="s">
        <v>2276</v>
      </c>
      <c r="N521" s="1" t="s">
        <v>2423</v>
      </c>
      <c r="O521" s="1" t="s">
        <v>1739</v>
      </c>
    </row>
    <row r="522" spans="1:15" ht="120" x14ac:dyDescent="0.25">
      <c r="A522" s="1" t="s">
        <v>2419</v>
      </c>
      <c r="B522" s="1" t="s">
        <v>116</v>
      </c>
      <c r="C522" s="1" t="s">
        <v>463</v>
      </c>
      <c r="D522" s="1" t="s">
        <v>2420</v>
      </c>
      <c r="E522" s="4" t="s">
        <v>2421</v>
      </c>
      <c r="F522" s="1" t="s">
        <v>186</v>
      </c>
      <c r="G522" s="1" t="s">
        <v>222</v>
      </c>
      <c r="H522" s="4">
        <v>25215</v>
      </c>
      <c r="I522" s="1">
        <f>333+104+3+11+43+1+81+108+2+4+1+1+10+3+4+11</f>
        <v>720</v>
      </c>
      <c r="K522" s="1" t="s">
        <v>2422</v>
      </c>
      <c r="M522" s="1" t="s">
        <v>3201</v>
      </c>
    </row>
    <row r="523" spans="1:15" ht="60" x14ac:dyDescent="0.25">
      <c r="A523" s="1" t="s">
        <v>2424</v>
      </c>
      <c r="B523" s="1" t="s">
        <v>2425</v>
      </c>
      <c r="C523" s="1" t="s">
        <v>58</v>
      </c>
      <c r="D523" s="1" t="s">
        <v>101</v>
      </c>
      <c r="E523" s="4" t="s">
        <v>2426</v>
      </c>
      <c r="F523" s="1" t="s">
        <v>186</v>
      </c>
      <c r="G523" s="1" t="s">
        <v>9</v>
      </c>
      <c r="H523" s="4">
        <v>26744</v>
      </c>
      <c r="I523" s="1">
        <f>524+7+2+3+1+10+4+15</f>
        <v>566</v>
      </c>
      <c r="K523" s="1" t="s">
        <v>2427</v>
      </c>
      <c r="M523" s="1" t="s">
        <v>2433</v>
      </c>
      <c r="N523" s="1" t="s">
        <v>2431</v>
      </c>
      <c r="O523" s="1" t="s">
        <v>2432</v>
      </c>
    </row>
    <row r="524" spans="1:15" ht="90" x14ac:dyDescent="0.25">
      <c r="A524" s="1" t="s">
        <v>2428</v>
      </c>
      <c r="B524" s="1" t="s">
        <v>1750</v>
      </c>
      <c r="C524" s="1" t="s">
        <v>67</v>
      </c>
      <c r="D524" s="1" t="s">
        <v>314</v>
      </c>
      <c r="E524" s="4" t="s">
        <v>2429</v>
      </c>
      <c r="F524" s="1" t="s">
        <v>186</v>
      </c>
      <c r="G524" s="1" t="s">
        <v>20</v>
      </c>
      <c r="I524" s="1">
        <f>32+49+4+3+2+12+23+5+81+1+1</f>
        <v>213</v>
      </c>
      <c r="K524" s="1" t="s">
        <v>2430</v>
      </c>
      <c r="M524" s="1" t="s">
        <v>3202</v>
      </c>
      <c r="N524" s="1" t="s">
        <v>2434</v>
      </c>
      <c r="O524" s="1" t="s">
        <v>1594</v>
      </c>
    </row>
    <row r="525" spans="1:15" ht="180" x14ac:dyDescent="0.25">
      <c r="A525" s="1" t="s">
        <v>2435</v>
      </c>
      <c r="B525" s="1" t="s">
        <v>2436</v>
      </c>
      <c r="C525" s="1" t="s">
        <v>32</v>
      </c>
      <c r="D525" s="1" t="s">
        <v>348</v>
      </c>
      <c r="E525" s="4" t="s">
        <v>2437</v>
      </c>
      <c r="F525" s="1" t="s">
        <v>186</v>
      </c>
      <c r="G525" s="1" t="s">
        <v>9</v>
      </c>
      <c r="H525" s="4">
        <v>25424</v>
      </c>
      <c r="I525" s="1">
        <f>368+2+51+26+1+2+1+3+7+3+3+3+17+4+1+3+2+26+37+36+103+98+502</f>
        <v>1299</v>
      </c>
      <c r="J525" s="1" t="s">
        <v>2440</v>
      </c>
      <c r="K525" s="1" t="s">
        <v>2438</v>
      </c>
      <c r="M525" s="1" t="s">
        <v>3203</v>
      </c>
      <c r="N525" s="1" t="s">
        <v>2439</v>
      </c>
    </row>
    <row r="526" spans="1:15" ht="60" x14ac:dyDescent="0.25">
      <c r="A526" s="1" t="s">
        <v>2441</v>
      </c>
      <c r="B526" s="1" t="s">
        <v>199</v>
      </c>
      <c r="C526" s="1" t="s">
        <v>599</v>
      </c>
      <c r="D526" s="1" t="s">
        <v>553</v>
      </c>
      <c r="E526" s="4" t="s">
        <v>2442</v>
      </c>
      <c r="F526" s="1" t="s">
        <v>186</v>
      </c>
      <c r="G526" s="1" t="s">
        <v>9</v>
      </c>
      <c r="H526" s="4">
        <v>26714</v>
      </c>
      <c r="I526" s="1">
        <f>159+3+1+3+1+9+2+12</f>
        <v>190</v>
      </c>
      <c r="K526" s="1" t="s">
        <v>2443</v>
      </c>
      <c r="M526" s="1" t="s">
        <v>2451</v>
      </c>
      <c r="O526" s="1" t="s">
        <v>1989</v>
      </c>
    </row>
    <row r="527" spans="1:15" ht="45" x14ac:dyDescent="0.25">
      <c r="A527" s="1" t="s">
        <v>130</v>
      </c>
      <c r="B527" s="1" t="s">
        <v>56</v>
      </c>
      <c r="D527" s="1" t="s">
        <v>210</v>
      </c>
      <c r="E527" s="4" t="s">
        <v>242</v>
      </c>
      <c r="F527" s="1" t="s">
        <v>6</v>
      </c>
      <c r="G527" s="1" t="s">
        <v>20</v>
      </c>
      <c r="I527" s="1">
        <f>35+4+58+18</f>
        <v>115</v>
      </c>
      <c r="K527" s="1" t="s">
        <v>2447</v>
      </c>
      <c r="M527" s="1" t="s">
        <v>2453</v>
      </c>
      <c r="O527" s="1" t="s">
        <v>2452</v>
      </c>
    </row>
    <row r="528" spans="1:15" ht="60" x14ac:dyDescent="0.25">
      <c r="A528" s="1" t="s">
        <v>2444</v>
      </c>
      <c r="B528" s="1" t="s">
        <v>1403</v>
      </c>
      <c r="C528" s="1" t="s">
        <v>72</v>
      </c>
      <c r="D528" s="1" t="s">
        <v>567</v>
      </c>
      <c r="E528" s="4" t="s">
        <v>2355</v>
      </c>
      <c r="F528" s="1" t="s">
        <v>6</v>
      </c>
      <c r="G528" s="1" t="s">
        <v>20</v>
      </c>
      <c r="I528" s="1">
        <f>73+4+1+2+40+144</f>
        <v>264</v>
      </c>
      <c r="J528" s="1" t="s">
        <v>2478</v>
      </c>
      <c r="K528" s="1" t="s">
        <v>2448</v>
      </c>
      <c r="M528" s="1" t="s">
        <v>2474</v>
      </c>
      <c r="O528" s="1" t="s">
        <v>1594</v>
      </c>
    </row>
    <row r="529" spans="1:15" ht="75" x14ac:dyDescent="0.25">
      <c r="A529" s="1" t="s">
        <v>2445</v>
      </c>
      <c r="B529" s="1" t="s">
        <v>100</v>
      </c>
      <c r="C529" s="1" t="s">
        <v>58</v>
      </c>
      <c r="D529" s="1" t="s">
        <v>101</v>
      </c>
      <c r="E529" s="4" t="s">
        <v>586</v>
      </c>
      <c r="F529" s="1" t="s">
        <v>186</v>
      </c>
      <c r="G529" s="1" t="s">
        <v>9</v>
      </c>
      <c r="H529" s="4">
        <v>26733</v>
      </c>
      <c r="I529" s="1">
        <f>91+4+2+2+1+1+2+12+2+7</f>
        <v>124</v>
      </c>
      <c r="K529" s="1" t="s">
        <v>2449</v>
      </c>
      <c r="M529" s="1" t="s">
        <v>3204</v>
      </c>
      <c r="N529" s="1" t="s">
        <v>2475</v>
      </c>
      <c r="O529" s="1" t="s">
        <v>1990</v>
      </c>
    </row>
    <row r="530" spans="1:15" ht="75" x14ac:dyDescent="0.25">
      <c r="A530" s="1" t="s">
        <v>2446</v>
      </c>
      <c r="B530" s="1" t="s">
        <v>100</v>
      </c>
      <c r="C530" s="1" t="s">
        <v>113</v>
      </c>
      <c r="D530" s="1" t="s">
        <v>553</v>
      </c>
      <c r="E530" s="4" t="s">
        <v>328</v>
      </c>
      <c r="F530" s="1" t="s">
        <v>186</v>
      </c>
      <c r="G530" s="1" t="s">
        <v>9</v>
      </c>
      <c r="H530" s="4">
        <v>26744</v>
      </c>
      <c r="I530" s="1">
        <f>212+4+1+2+12+4+12+5</f>
        <v>252</v>
      </c>
      <c r="K530" s="1" t="s">
        <v>2450</v>
      </c>
      <c r="M530" s="1" t="s">
        <v>3205</v>
      </c>
      <c r="N530" s="1" t="s">
        <v>2477</v>
      </c>
      <c r="O530" s="1" t="s">
        <v>2476</v>
      </c>
    </row>
    <row r="531" spans="1:15" ht="120" x14ac:dyDescent="0.25">
      <c r="A531" s="1" t="s">
        <v>2454</v>
      </c>
      <c r="B531" s="1" t="s">
        <v>2436</v>
      </c>
      <c r="C531" s="1" t="s">
        <v>17</v>
      </c>
      <c r="D531" s="1" t="s">
        <v>101</v>
      </c>
      <c r="E531" s="4" t="s">
        <v>2479</v>
      </c>
      <c r="F531" s="1" t="s">
        <v>186</v>
      </c>
      <c r="G531" s="1" t="s">
        <v>9</v>
      </c>
      <c r="H531" s="4">
        <v>26713</v>
      </c>
      <c r="I531" s="1">
        <f>909+12+5+1+13+3+18+12+3+15+1+39+9+2+12+5</f>
        <v>1059</v>
      </c>
      <c r="K531" s="1" t="s">
        <v>2456</v>
      </c>
      <c r="M531" s="1" t="s">
        <v>3206</v>
      </c>
      <c r="O531" s="1" t="s">
        <v>2480</v>
      </c>
    </row>
    <row r="532" spans="1:15" ht="60" x14ac:dyDescent="0.25">
      <c r="A532" s="1" t="s">
        <v>2455</v>
      </c>
      <c r="B532" s="1" t="s">
        <v>684</v>
      </c>
      <c r="C532" s="1" t="s">
        <v>716</v>
      </c>
      <c r="D532" s="1" t="s">
        <v>210</v>
      </c>
      <c r="E532" s="4" t="s">
        <v>2482</v>
      </c>
      <c r="F532" s="1" t="s">
        <v>6</v>
      </c>
      <c r="G532" s="1" t="s">
        <v>20</v>
      </c>
      <c r="I532" s="1">
        <f>94+4+11+103+9+178</f>
        <v>399</v>
      </c>
      <c r="K532" s="1" t="s">
        <v>2457</v>
      </c>
      <c r="M532" s="1" t="s">
        <v>2481</v>
      </c>
      <c r="O532" s="1" t="s">
        <v>1861</v>
      </c>
    </row>
    <row r="533" spans="1:15" ht="60" x14ac:dyDescent="0.25">
      <c r="A533" s="1" t="s">
        <v>2459</v>
      </c>
      <c r="B533" s="1" t="s">
        <v>1459</v>
      </c>
      <c r="C533" s="1" t="s">
        <v>26</v>
      </c>
      <c r="D533" s="1" t="s">
        <v>708</v>
      </c>
      <c r="E533" s="4" t="s">
        <v>2483</v>
      </c>
      <c r="F533" s="1" t="s">
        <v>186</v>
      </c>
      <c r="G533" s="1" t="s">
        <v>222</v>
      </c>
      <c r="H533" s="4">
        <v>26715</v>
      </c>
      <c r="I533" s="1">
        <f>196+88+31+7+13+3</f>
        <v>338</v>
      </c>
      <c r="K533" s="1" t="s">
        <v>2458</v>
      </c>
      <c r="M533" s="1" t="s">
        <v>2486</v>
      </c>
    </row>
    <row r="534" spans="1:15" ht="45" x14ac:dyDescent="0.25">
      <c r="A534" s="1" t="s">
        <v>2460</v>
      </c>
      <c r="B534" s="1" t="s">
        <v>469</v>
      </c>
      <c r="C534" s="1" t="s">
        <v>53</v>
      </c>
      <c r="D534" s="1" t="s">
        <v>210</v>
      </c>
      <c r="E534" s="4" t="s">
        <v>2484</v>
      </c>
      <c r="F534" s="1" t="s">
        <v>6</v>
      </c>
      <c r="G534" s="1" t="s">
        <v>20</v>
      </c>
      <c r="H534" s="4">
        <v>26744</v>
      </c>
      <c r="I534" s="1">
        <f>22+4+20+23</f>
        <v>69</v>
      </c>
      <c r="K534" s="1" t="s">
        <v>2461</v>
      </c>
      <c r="M534" s="1" t="s">
        <v>2488</v>
      </c>
      <c r="N534" s="1" t="s">
        <v>2489</v>
      </c>
      <c r="O534" s="1" t="s">
        <v>2487</v>
      </c>
    </row>
    <row r="535" spans="1:15" ht="45" x14ac:dyDescent="0.25">
      <c r="A535" s="1" t="s">
        <v>2462</v>
      </c>
      <c r="B535" s="1" t="s">
        <v>100</v>
      </c>
      <c r="C535" s="1" t="s">
        <v>58</v>
      </c>
      <c r="D535" s="1" t="s">
        <v>567</v>
      </c>
      <c r="E535" s="4" t="s">
        <v>2485</v>
      </c>
      <c r="F535" s="1" t="s">
        <v>6</v>
      </c>
      <c r="G535" s="1" t="s">
        <v>20</v>
      </c>
      <c r="I535" s="1">
        <f>40+6+47</f>
        <v>93</v>
      </c>
      <c r="K535" s="1" t="s">
        <v>2466</v>
      </c>
      <c r="M535" s="1" t="s">
        <v>2507</v>
      </c>
      <c r="O535" s="1" t="s">
        <v>1861</v>
      </c>
    </row>
    <row r="536" spans="1:15" ht="30" x14ac:dyDescent="0.25">
      <c r="A536" s="1" t="s">
        <v>2463</v>
      </c>
      <c r="B536" s="1" t="s">
        <v>369</v>
      </c>
      <c r="C536" s="1" t="s">
        <v>113</v>
      </c>
      <c r="D536" s="1" t="s">
        <v>101</v>
      </c>
      <c r="E536" s="4" t="s">
        <v>1191</v>
      </c>
      <c r="F536" s="1" t="s">
        <v>186</v>
      </c>
      <c r="G536" s="1" t="s">
        <v>9</v>
      </c>
      <c r="H536" s="4">
        <v>26756</v>
      </c>
      <c r="I536" s="1">
        <f>97+4+2+2+2+7</f>
        <v>114</v>
      </c>
      <c r="K536" s="1" t="s">
        <v>2467</v>
      </c>
      <c r="M536" s="1" t="s">
        <v>2506</v>
      </c>
      <c r="N536" s="1" t="s">
        <v>2505</v>
      </c>
      <c r="O536" s="1" t="s">
        <v>1503</v>
      </c>
    </row>
    <row r="537" spans="1:15" ht="75" x14ac:dyDescent="0.25">
      <c r="A537" s="1" t="s">
        <v>2464</v>
      </c>
      <c r="B537" s="1" t="s">
        <v>280</v>
      </c>
      <c r="C537" s="1" t="s">
        <v>182</v>
      </c>
      <c r="D537" s="1" t="s">
        <v>101</v>
      </c>
      <c r="E537" s="4" t="s">
        <v>349</v>
      </c>
      <c r="F537" s="1" t="s">
        <v>186</v>
      </c>
      <c r="G537" s="1" t="s">
        <v>9</v>
      </c>
      <c r="H537" s="4">
        <v>26715</v>
      </c>
      <c r="I537" s="1">
        <f>290+8+2+6+5+3+1+28+2+32</f>
        <v>377</v>
      </c>
      <c r="K537" s="1" t="s">
        <v>2468</v>
      </c>
      <c r="M537" s="1" t="s">
        <v>3207</v>
      </c>
      <c r="O537" s="1" t="s">
        <v>2508</v>
      </c>
    </row>
    <row r="538" spans="1:15" ht="30" x14ac:dyDescent="0.25">
      <c r="A538" s="1" t="s">
        <v>2465</v>
      </c>
      <c r="B538" s="1" t="s">
        <v>2319</v>
      </c>
      <c r="C538" s="1" t="s">
        <v>58</v>
      </c>
      <c r="D538" s="1" t="s">
        <v>348</v>
      </c>
      <c r="E538" s="4" t="s">
        <v>1007</v>
      </c>
      <c r="F538" s="1" t="s">
        <v>186</v>
      </c>
      <c r="G538" s="1" t="s">
        <v>9</v>
      </c>
      <c r="H538" s="4">
        <v>26756</v>
      </c>
      <c r="I538" s="1">
        <f>285+4+2+8+15</f>
        <v>314</v>
      </c>
      <c r="K538" s="1" t="s">
        <v>2469</v>
      </c>
      <c r="M538" s="1" t="s">
        <v>1686</v>
      </c>
      <c r="N538" s="1" t="s">
        <v>2509</v>
      </c>
      <c r="O538" s="1" t="s">
        <v>1503</v>
      </c>
    </row>
    <row r="539" spans="1:15" ht="105" x14ac:dyDescent="0.25">
      <c r="A539" s="1" t="s">
        <v>2470</v>
      </c>
      <c r="B539" s="1" t="s">
        <v>77</v>
      </c>
      <c r="C539" s="1" t="s">
        <v>26</v>
      </c>
      <c r="D539" s="1" t="s">
        <v>227</v>
      </c>
      <c r="E539" s="4" t="s">
        <v>2510</v>
      </c>
      <c r="F539" s="1" t="s">
        <v>6</v>
      </c>
      <c r="G539" s="1" t="s">
        <v>222</v>
      </c>
      <c r="H539" s="4">
        <v>26217</v>
      </c>
      <c r="I539" s="1">
        <f>197+1+17+90+43+81+21+147</f>
        <v>597</v>
      </c>
      <c r="K539" s="1" t="s">
        <v>2473</v>
      </c>
      <c r="M539" s="1" t="s">
        <v>2512</v>
      </c>
    </row>
    <row r="540" spans="1:15" ht="60" x14ac:dyDescent="0.25">
      <c r="A540" s="1" t="s">
        <v>2471</v>
      </c>
      <c r="B540" s="1" t="s">
        <v>116</v>
      </c>
      <c r="C540" s="1" t="s">
        <v>72</v>
      </c>
      <c r="D540" s="1" t="s">
        <v>101</v>
      </c>
      <c r="E540" s="4" t="s">
        <v>2511</v>
      </c>
      <c r="F540" s="1" t="s">
        <v>186</v>
      </c>
      <c r="G540" s="1" t="s">
        <v>9</v>
      </c>
      <c r="H540" s="4">
        <v>26741</v>
      </c>
      <c r="I540" s="1">
        <f>375+18+4+6+4+14+5+7</f>
        <v>433</v>
      </c>
      <c r="K540" s="1" t="s">
        <v>2472</v>
      </c>
      <c r="M540" s="1" t="s">
        <v>2517</v>
      </c>
      <c r="O540" s="1" t="s">
        <v>2513</v>
      </c>
    </row>
    <row r="541" spans="1:15" ht="60" x14ac:dyDescent="0.25">
      <c r="A541" s="1" t="s">
        <v>2490</v>
      </c>
      <c r="B541" s="1" t="s">
        <v>96</v>
      </c>
      <c r="C541" s="1" t="s">
        <v>123</v>
      </c>
      <c r="D541" s="1" t="s">
        <v>101</v>
      </c>
      <c r="E541" s="4" t="s">
        <v>2514</v>
      </c>
      <c r="F541" s="1" t="s">
        <v>186</v>
      </c>
      <c r="G541" s="1" t="s">
        <v>9</v>
      </c>
      <c r="H541" s="4">
        <v>26738</v>
      </c>
      <c r="I541" s="1">
        <f>255+5+2+6+2+6+4+14</f>
        <v>294</v>
      </c>
      <c r="K541" s="1" t="s">
        <v>2494</v>
      </c>
      <c r="M541" s="1" t="s">
        <v>2522</v>
      </c>
      <c r="N541" s="1" t="s">
        <v>2518</v>
      </c>
      <c r="O541" s="1" t="s">
        <v>2519</v>
      </c>
    </row>
    <row r="542" spans="1:15" ht="45" x14ac:dyDescent="0.25">
      <c r="A542" s="1" t="s">
        <v>2491</v>
      </c>
      <c r="B542" s="1" t="s">
        <v>369</v>
      </c>
      <c r="C542" s="1" t="s">
        <v>32</v>
      </c>
      <c r="D542" s="1" t="s">
        <v>703</v>
      </c>
      <c r="E542" s="4" t="s">
        <v>2515</v>
      </c>
      <c r="F542" s="1" t="s">
        <v>6</v>
      </c>
      <c r="G542" s="1" t="s">
        <v>20</v>
      </c>
      <c r="I542" s="1">
        <f>67+4+38</f>
        <v>109</v>
      </c>
      <c r="K542" s="1" t="s">
        <v>2495</v>
      </c>
      <c r="M542" s="1" t="s">
        <v>2521</v>
      </c>
      <c r="O542" s="1" t="s">
        <v>2520</v>
      </c>
    </row>
    <row r="543" spans="1:15" ht="90" x14ac:dyDescent="0.25">
      <c r="A543" s="1" t="s">
        <v>2492</v>
      </c>
      <c r="B543" s="1" t="s">
        <v>71</v>
      </c>
      <c r="C543" s="1" t="s">
        <v>63</v>
      </c>
      <c r="D543" s="1" t="s">
        <v>101</v>
      </c>
      <c r="E543" s="4" t="s">
        <v>2516</v>
      </c>
      <c r="F543" s="1" t="s">
        <v>186</v>
      </c>
      <c r="G543" s="1" t="s">
        <v>9</v>
      </c>
      <c r="H543" s="4">
        <v>26714</v>
      </c>
      <c r="I543" s="1">
        <f>258+5+6+3+2+5+27+2+16</f>
        <v>324</v>
      </c>
      <c r="K543" s="1" t="s">
        <v>2496</v>
      </c>
      <c r="M543" s="1" t="s">
        <v>2523</v>
      </c>
      <c r="O543" s="1" t="s">
        <v>1989</v>
      </c>
    </row>
    <row r="544" spans="1:15" x14ac:dyDescent="0.25">
      <c r="A544" s="1" t="s">
        <v>2493</v>
      </c>
      <c r="B544" s="1" t="s">
        <v>1774</v>
      </c>
      <c r="C544" s="1" t="s">
        <v>26</v>
      </c>
      <c r="D544" s="1" t="s">
        <v>726</v>
      </c>
      <c r="E544" s="4" t="s">
        <v>2220</v>
      </c>
      <c r="F544" s="1" t="s">
        <v>6</v>
      </c>
      <c r="G544" s="1" t="s">
        <v>222</v>
      </c>
      <c r="H544" s="4">
        <v>25548</v>
      </c>
      <c r="I544" s="1">
        <f>84</f>
        <v>84</v>
      </c>
      <c r="K544" s="1" t="s">
        <v>2497</v>
      </c>
      <c r="M544" s="1" t="s">
        <v>2525</v>
      </c>
      <c r="N544" s="1" t="s">
        <v>2524</v>
      </c>
    </row>
    <row r="545" spans="1:15" ht="60.75" customHeight="1" x14ac:dyDescent="0.25">
      <c r="A545" s="1" t="s">
        <v>2498</v>
      </c>
      <c r="B545" s="1" t="s">
        <v>2499</v>
      </c>
      <c r="D545" s="1" t="s">
        <v>553</v>
      </c>
      <c r="E545" s="4" t="s">
        <v>2526</v>
      </c>
      <c r="F545" s="1" t="s">
        <v>186</v>
      </c>
      <c r="G545" s="1" t="s">
        <v>9</v>
      </c>
      <c r="H545" s="4">
        <v>26756</v>
      </c>
      <c r="I545" s="1">
        <f>93+6+6+2+8+1+3+2+1</f>
        <v>122</v>
      </c>
      <c r="K545" s="1" t="s">
        <v>2502</v>
      </c>
      <c r="M545" s="1" t="s">
        <v>3208</v>
      </c>
      <c r="N545" s="1" t="s">
        <v>2527</v>
      </c>
      <c r="O545" s="1" t="s">
        <v>1594</v>
      </c>
    </row>
    <row r="546" spans="1:15" ht="105" x14ac:dyDescent="0.25">
      <c r="A546" s="1" t="s">
        <v>2500</v>
      </c>
      <c r="B546" s="1" t="s">
        <v>116</v>
      </c>
      <c r="C546" s="1" t="s">
        <v>113</v>
      </c>
      <c r="D546" s="1" t="s">
        <v>348</v>
      </c>
      <c r="E546" s="4" t="s">
        <v>2528</v>
      </c>
      <c r="F546" s="1" t="s">
        <v>186</v>
      </c>
      <c r="G546" s="1" t="s">
        <v>9</v>
      </c>
      <c r="H546" s="4">
        <v>26716</v>
      </c>
      <c r="I546" s="1">
        <f>388+12+19+2+46+2+13+3+7+18+36+2+12</f>
        <v>560</v>
      </c>
      <c r="K546" s="1" t="s">
        <v>2503</v>
      </c>
      <c r="M546" s="1" t="s">
        <v>2530</v>
      </c>
      <c r="O546" s="1" t="s">
        <v>2529</v>
      </c>
    </row>
    <row r="547" spans="1:15" s="17" customFormat="1" ht="45" x14ac:dyDescent="0.25">
      <c r="A547" s="17" t="s">
        <v>2534</v>
      </c>
      <c r="B547" s="17" t="s">
        <v>635</v>
      </c>
      <c r="C547" s="17" t="s">
        <v>113</v>
      </c>
      <c r="D547" s="17" t="s">
        <v>990</v>
      </c>
      <c r="E547" s="18" t="s">
        <v>441</v>
      </c>
      <c r="F547" s="17" t="s">
        <v>186</v>
      </c>
      <c r="H547" s="18"/>
      <c r="L547" s="17" t="s">
        <v>1118</v>
      </c>
      <c r="M547" s="17" t="s">
        <v>2535</v>
      </c>
    </row>
    <row r="548" spans="1:15" ht="75" x14ac:dyDescent="0.25">
      <c r="A548" s="1" t="s">
        <v>2501</v>
      </c>
      <c r="B548" s="1" t="s">
        <v>100</v>
      </c>
      <c r="C548" s="1" t="s">
        <v>53</v>
      </c>
      <c r="D548" s="1" t="s">
        <v>210</v>
      </c>
      <c r="E548" s="4" t="s">
        <v>2531</v>
      </c>
      <c r="F548" s="1" t="s">
        <v>6</v>
      </c>
      <c r="G548" s="1" t="s">
        <v>20</v>
      </c>
      <c r="I548" s="1">
        <f>38+4+104+14+71+2+19</f>
        <v>252</v>
      </c>
      <c r="K548" s="1" t="s">
        <v>2504</v>
      </c>
      <c r="M548" s="1" t="s">
        <v>2533</v>
      </c>
      <c r="O548" s="1" t="s">
        <v>2532</v>
      </c>
    </row>
    <row r="549" spans="1:15" ht="105" x14ac:dyDescent="0.25">
      <c r="A549" s="1" t="s">
        <v>2536</v>
      </c>
      <c r="B549" s="1" t="s">
        <v>447</v>
      </c>
      <c r="C549" s="1" t="s">
        <v>67</v>
      </c>
      <c r="D549" s="1" t="s">
        <v>210</v>
      </c>
      <c r="E549" s="4" t="s">
        <v>966</v>
      </c>
      <c r="F549" s="1" t="s">
        <v>781</v>
      </c>
      <c r="G549" s="1" t="s">
        <v>20</v>
      </c>
      <c r="I549" s="1">
        <f>55+4+2+1+2+1+14+4+32+8+116</f>
        <v>239</v>
      </c>
      <c r="K549" s="1" t="s">
        <v>2540</v>
      </c>
      <c r="M549" s="1" t="s">
        <v>2543</v>
      </c>
      <c r="N549" s="1" t="s">
        <v>2544</v>
      </c>
      <c r="O549" s="1" t="s">
        <v>2487</v>
      </c>
    </row>
    <row r="550" spans="1:15" ht="60" x14ac:dyDescent="0.25">
      <c r="A550" s="1" t="s">
        <v>2537</v>
      </c>
      <c r="B550" s="1" t="s">
        <v>1234</v>
      </c>
      <c r="C550" s="1" t="s">
        <v>953</v>
      </c>
      <c r="D550" s="1" t="s">
        <v>348</v>
      </c>
      <c r="E550" s="4" t="s">
        <v>308</v>
      </c>
      <c r="F550" s="1" t="s">
        <v>186</v>
      </c>
      <c r="G550" s="1" t="s">
        <v>9</v>
      </c>
      <c r="H550" s="4">
        <v>26757</v>
      </c>
      <c r="I550" s="1">
        <f>200+1+1+1+13+22</f>
        <v>238</v>
      </c>
      <c r="K550" s="1" t="s">
        <v>2541</v>
      </c>
      <c r="M550" s="1" t="s">
        <v>3209</v>
      </c>
      <c r="O550" s="1" t="s">
        <v>1825</v>
      </c>
    </row>
    <row r="551" spans="1:15" ht="75" x14ac:dyDescent="0.25">
      <c r="A551" s="1" t="s">
        <v>2538</v>
      </c>
      <c r="B551" s="1" t="s">
        <v>31</v>
      </c>
      <c r="C551" s="1" t="s">
        <v>113</v>
      </c>
      <c r="D551" s="1" t="s">
        <v>348</v>
      </c>
      <c r="E551" s="4" t="s">
        <v>2539</v>
      </c>
      <c r="F551" s="1" t="s">
        <v>186</v>
      </c>
      <c r="G551" s="1" t="s">
        <v>9</v>
      </c>
      <c r="H551" s="4">
        <v>26737</v>
      </c>
      <c r="I551" s="1">
        <f>389+2+3+29+2+9</f>
        <v>434</v>
      </c>
      <c r="K551" s="1" t="s">
        <v>2542</v>
      </c>
      <c r="M551" s="1" t="s">
        <v>3210</v>
      </c>
      <c r="N551" s="1" t="s">
        <v>2545</v>
      </c>
      <c r="O551" s="1" t="s">
        <v>2324</v>
      </c>
    </row>
    <row r="552" spans="1:15" ht="60" x14ac:dyDescent="0.25">
      <c r="A552" s="1" t="s">
        <v>2546</v>
      </c>
      <c r="B552" s="1" t="s">
        <v>140</v>
      </c>
      <c r="C552" s="1" t="s">
        <v>63</v>
      </c>
      <c r="D552" s="1" t="s">
        <v>101</v>
      </c>
      <c r="E552" s="4" t="s">
        <v>2547</v>
      </c>
      <c r="F552" s="1" t="s">
        <v>186</v>
      </c>
      <c r="G552" s="1" t="s">
        <v>9</v>
      </c>
      <c r="H552" s="4">
        <v>26714</v>
      </c>
      <c r="I552" s="1">
        <f>561+4+2+1+21+2+13</f>
        <v>604</v>
      </c>
      <c r="K552" s="1" t="s">
        <v>2548</v>
      </c>
      <c r="M552" s="1" t="s">
        <v>2555</v>
      </c>
      <c r="O552" s="1" t="s">
        <v>2556</v>
      </c>
    </row>
    <row r="553" spans="1:15" ht="30" x14ac:dyDescent="0.25">
      <c r="A553" s="1" t="s">
        <v>2549</v>
      </c>
      <c r="B553" s="1" t="s">
        <v>1557</v>
      </c>
      <c r="C553" s="1" t="s">
        <v>17</v>
      </c>
      <c r="D553" s="1" t="s">
        <v>726</v>
      </c>
      <c r="E553" s="4" t="s">
        <v>724</v>
      </c>
      <c r="F553" s="1" t="s">
        <v>6</v>
      </c>
      <c r="G553" s="1" t="s">
        <v>222</v>
      </c>
      <c r="H553" s="4">
        <v>25193</v>
      </c>
      <c r="I553" s="1">
        <f>35+7+29</f>
        <v>71</v>
      </c>
      <c r="K553" s="1" t="s">
        <v>2552</v>
      </c>
      <c r="M553" s="1" t="s">
        <v>2557</v>
      </c>
    </row>
    <row r="554" spans="1:15" ht="60" x14ac:dyDescent="0.25">
      <c r="A554" s="1" t="s">
        <v>2550</v>
      </c>
      <c r="B554" s="1" t="s">
        <v>808</v>
      </c>
      <c r="C554" s="1" t="s">
        <v>67</v>
      </c>
      <c r="D554" s="1" t="s">
        <v>553</v>
      </c>
      <c r="E554" s="4" t="s">
        <v>1408</v>
      </c>
      <c r="F554" s="1" t="s">
        <v>186</v>
      </c>
      <c r="G554" s="1" t="s">
        <v>9</v>
      </c>
      <c r="H554" s="4">
        <v>26742</v>
      </c>
      <c r="I554" s="1">
        <f>120+14+7+8+2+3</f>
        <v>154</v>
      </c>
      <c r="K554" s="1" t="s">
        <v>2553</v>
      </c>
      <c r="M554" s="1" t="s">
        <v>1930</v>
      </c>
      <c r="N554" s="17" t="s">
        <v>2583</v>
      </c>
      <c r="O554" s="1" t="s">
        <v>2558</v>
      </c>
    </row>
    <row r="555" spans="1:15" ht="45" x14ac:dyDescent="0.25">
      <c r="A555" s="1" t="s">
        <v>2551</v>
      </c>
      <c r="B555" s="1" t="s">
        <v>148</v>
      </c>
      <c r="C555" s="1" t="s">
        <v>244</v>
      </c>
      <c r="D555" s="1" t="s">
        <v>101</v>
      </c>
      <c r="E555" s="4" t="s">
        <v>731</v>
      </c>
      <c r="F555" s="1" t="s">
        <v>186</v>
      </c>
      <c r="G555" s="1" t="s">
        <v>9</v>
      </c>
      <c r="H555" s="4">
        <v>26757</v>
      </c>
      <c r="I555" s="1">
        <f>203+3+2+1+6</f>
        <v>215</v>
      </c>
      <c r="K555" s="1" t="s">
        <v>2554</v>
      </c>
      <c r="M555" s="1" t="s">
        <v>2559</v>
      </c>
      <c r="N555" s="1" t="s">
        <v>2560</v>
      </c>
      <c r="O555" s="1" t="s">
        <v>1800</v>
      </c>
    </row>
    <row r="556" spans="1:15" ht="60" x14ac:dyDescent="0.25">
      <c r="A556" s="1" t="s">
        <v>2561</v>
      </c>
      <c r="B556" s="1" t="s">
        <v>981</v>
      </c>
      <c r="C556" s="1" t="s">
        <v>67</v>
      </c>
      <c r="D556" s="1" t="s">
        <v>348</v>
      </c>
      <c r="E556" s="4" t="s">
        <v>544</v>
      </c>
      <c r="F556" s="1" t="s">
        <v>186</v>
      </c>
      <c r="G556" s="1" t="s">
        <v>9</v>
      </c>
      <c r="H556" s="4">
        <v>26709</v>
      </c>
      <c r="I556" s="1">
        <f>244+3+2+6+2+8+2+7</f>
        <v>274</v>
      </c>
      <c r="K556" s="1" t="s">
        <v>2562</v>
      </c>
      <c r="M556" s="1" t="s">
        <v>2570</v>
      </c>
      <c r="N556" s="17"/>
      <c r="O556" s="1" t="s">
        <v>1979</v>
      </c>
    </row>
    <row r="557" spans="1:15" ht="60" x14ac:dyDescent="0.25">
      <c r="A557" s="1" t="s">
        <v>443</v>
      </c>
      <c r="B557" s="1" t="s">
        <v>2563</v>
      </c>
      <c r="C557" s="1" t="s">
        <v>72</v>
      </c>
      <c r="D557" s="1" t="s">
        <v>703</v>
      </c>
      <c r="E557" s="4" t="s">
        <v>2564</v>
      </c>
      <c r="F557" s="1" t="s">
        <v>781</v>
      </c>
      <c r="G557" s="1" t="s">
        <v>20</v>
      </c>
      <c r="I557" s="1">
        <f>85+4+78+24+1+170</f>
        <v>362</v>
      </c>
      <c r="K557" s="1" t="s">
        <v>2567</v>
      </c>
      <c r="M557" s="1" t="s">
        <v>3211</v>
      </c>
      <c r="O557" s="1" t="s">
        <v>2571</v>
      </c>
    </row>
    <row r="558" spans="1:15" ht="60" x14ac:dyDescent="0.25">
      <c r="A558" s="1" t="s">
        <v>443</v>
      </c>
      <c r="B558" s="1" t="s">
        <v>1547</v>
      </c>
      <c r="C558" s="1" t="s">
        <v>32</v>
      </c>
      <c r="D558" s="1" t="s">
        <v>553</v>
      </c>
      <c r="E558" s="4" t="s">
        <v>2565</v>
      </c>
      <c r="F558" s="1" t="s">
        <v>186</v>
      </c>
      <c r="G558" s="1" t="s">
        <v>9</v>
      </c>
      <c r="H558" s="4">
        <v>26735</v>
      </c>
      <c r="I558" s="1">
        <f>286+6+1+2+21+2+13+1</f>
        <v>332</v>
      </c>
      <c r="K558" s="1" t="s">
        <v>2568</v>
      </c>
      <c r="M558" s="1" t="s">
        <v>3212</v>
      </c>
      <c r="O558" s="1" t="s">
        <v>2572</v>
      </c>
    </row>
    <row r="559" spans="1:15" x14ac:dyDescent="0.25">
      <c r="A559" s="1" t="s">
        <v>443</v>
      </c>
      <c r="B559" s="1" t="s">
        <v>397</v>
      </c>
      <c r="C559" s="1" t="s">
        <v>182</v>
      </c>
      <c r="D559" s="1" t="s">
        <v>849</v>
      </c>
      <c r="E559" s="4" t="s">
        <v>2566</v>
      </c>
      <c r="F559" s="1" t="s">
        <v>6</v>
      </c>
      <c r="G559" s="1" t="s">
        <v>222</v>
      </c>
      <c r="H559" s="4">
        <v>25204</v>
      </c>
      <c r="I559" s="1">
        <f>56+59</f>
        <v>115</v>
      </c>
      <c r="K559" s="1" t="s">
        <v>2569</v>
      </c>
      <c r="M559" s="1" t="s">
        <v>1337</v>
      </c>
    </row>
    <row r="560" spans="1:15" ht="30" x14ac:dyDescent="0.25">
      <c r="A560" s="1" t="s">
        <v>443</v>
      </c>
      <c r="B560" s="1" t="s">
        <v>777</v>
      </c>
      <c r="C560" s="1" t="s">
        <v>72</v>
      </c>
      <c r="D560" s="1" t="s">
        <v>227</v>
      </c>
      <c r="E560" s="4" t="s">
        <v>1882</v>
      </c>
      <c r="F560" s="1" t="s">
        <v>6</v>
      </c>
      <c r="G560" s="1" t="s">
        <v>222</v>
      </c>
      <c r="H560" s="4">
        <v>26744</v>
      </c>
      <c r="I560" s="1">
        <f>152+26+1</f>
        <v>179</v>
      </c>
      <c r="K560" s="1" t="s">
        <v>2575</v>
      </c>
      <c r="M560" s="1" t="s">
        <v>2577</v>
      </c>
    </row>
    <row r="561" spans="1:16" ht="30" x14ac:dyDescent="0.25">
      <c r="A561" s="1" t="s">
        <v>443</v>
      </c>
      <c r="B561" s="1" t="s">
        <v>2425</v>
      </c>
      <c r="C561" s="1" t="s">
        <v>67</v>
      </c>
      <c r="D561" s="1" t="s">
        <v>990</v>
      </c>
      <c r="E561" s="4" t="s">
        <v>2574</v>
      </c>
      <c r="F561" s="1" t="s">
        <v>6</v>
      </c>
      <c r="G561" s="1" t="s">
        <v>222</v>
      </c>
      <c r="H561" s="4">
        <v>26712</v>
      </c>
      <c r="I561" s="1">
        <f>33+4+13+2</f>
        <v>52</v>
      </c>
      <c r="K561" s="1" t="s">
        <v>2576</v>
      </c>
      <c r="M561" s="1" t="s">
        <v>2578</v>
      </c>
    </row>
    <row r="562" spans="1:16" ht="75" x14ac:dyDescent="0.25">
      <c r="A562" s="1" t="s">
        <v>443</v>
      </c>
      <c r="B562" s="1" t="s">
        <v>148</v>
      </c>
      <c r="C562" s="1" t="s">
        <v>72</v>
      </c>
      <c r="D562" s="1" t="s">
        <v>553</v>
      </c>
      <c r="E562" s="4" t="s">
        <v>1431</v>
      </c>
      <c r="F562" s="1" t="s">
        <v>186</v>
      </c>
      <c r="G562" s="1" t="s">
        <v>9</v>
      </c>
      <c r="H562" s="4">
        <v>26742</v>
      </c>
      <c r="I562" s="1">
        <f>325+6+2+10+4+2+25+23</f>
        <v>397</v>
      </c>
      <c r="K562" s="1" t="s">
        <v>2579</v>
      </c>
      <c r="M562" s="1" t="s">
        <v>2581</v>
      </c>
      <c r="O562" s="1" t="s">
        <v>2582</v>
      </c>
    </row>
    <row r="563" spans="1:16" ht="60" x14ac:dyDescent="0.25">
      <c r="A563" s="1" t="s">
        <v>443</v>
      </c>
      <c r="B563" s="1" t="s">
        <v>1229</v>
      </c>
      <c r="C563" s="1" t="s">
        <v>914</v>
      </c>
      <c r="D563" s="1" t="s">
        <v>348</v>
      </c>
      <c r="E563" s="4" t="s">
        <v>1408</v>
      </c>
      <c r="F563" s="1" t="s">
        <v>186</v>
      </c>
      <c r="G563" s="1" t="s">
        <v>9</v>
      </c>
      <c r="H563" s="4">
        <v>26742</v>
      </c>
      <c r="I563" s="1">
        <f>236+10+2+9+2+3+7</f>
        <v>269</v>
      </c>
      <c r="K563" s="1" t="s">
        <v>2580</v>
      </c>
      <c r="M563" s="1" t="s">
        <v>2585</v>
      </c>
      <c r="N563" s="1" t="s">
        <v>2584</v>
      </c>
      <c r="O563" s="1" t="s">
        <v>2207</v>
      </c>
    </row>
    <row r="564" spans="1:16" ht="30" x14ac:dyDescent="0.25">
      <c r="A564" s="1" t="s">
        <v>2586</v>
      </c>
      <c r="B564" s="1" t="s">
        <v>226</v>
      </c>
      <c r="C564" s="1" t="s">
        <v>63</v>
      </c>
      <c r="D564" s="1" t="s">
        <v>1381</v>
      </c>
      <c r="E564" s="4" t="s">
        <v>2587</v>
      </c>
      <c r="F564" s="1" t="s">
        <v>6</v>
      </c>
      <c r="G564" s="1" t="s">
        <v>222</v>
      </c>
      <c r="H564" s="4">
        <v>26732</v>
      </c>
      <c r="I564" s="1">
        <f>51+4+20+11</f>
        <v>86</v>
      </c>
      <c r="K564" s="1" t="s">
        <v>2588</v>
      </c>
      <c r="M564" s="1" t="s">
        <v>2593</v>
      </c>
      <c r="N564" s="1" t="s">
        <v>2592</v>
      </c>
      <c r="O564" s="1" t="s">
        <v>1739</v>
      </c>
    </row>
    <row r="565" spans="1:16" ht="120" x14ac:dyDescent="0.25">
      <c r="A565" s="1" t="s">
        <v>2589</v>
      </c>
      <c r="B565" s="1" t="s">
        <v>116</v>
      </c>
      <c r="C565" s="1" t="s">
        <v>599</v>
      </c>
      <c r="D565" s="1" t="s">
        <v>210</v>
      </c>
      <c r="E565" s="4" t="s">
        <v>2037</v>
      </c>
      <c r="F565" s="1" t="s">
        <v>781</v>
      </c>
      <c r="G565" s="1" t="s">
        <v>20</v>
      </c>
      <c r="I565" s="1">
        <f>63+4+2+73+1+1+18+131+2</f>
        <v>295</v>
      </c>
      <c r="K565" s="1" t="s">
        <v>2595</v>
      </c>
      <c r="M565" s="1" t="s">
        <v>3213</v>
      </c>
      <c r="N565" s="1" t="s">
        <v>2594</v>
      </c>
      <c r="O565" s="1" t="s">
        <v>1800</v>
      </c>
    </row>
    <row r="566" spans="1:16" ht="45" x14ac:dyDescent="0.25">
      <c r="A566" s="1" t="s">
        <v>2590</v>
      </c>
      <c r="B566" s="1" t="s">
        <v>163</v>
      </c>
      <c r="C566" s="1" t="s">
        <v>72</v>
      </c>
      <c r="D566" s="1" t="s">
        <v>210</v>
      </c>
      <c r="E566" s="4" t="s">
        <v>2410</v>
      </c>
      <c r="F566" s="1" t="s">
        <v>6</v>
      </c>
      <c r="G566" s="1" t="s">
        <v>20</v>
      </c>
      <c r="I566" s="1">
        <f>36+3+48+18</f>
        <v>105</v>
      </c>
      <c r="K566" s="1" t="s">
        <v>2598</v>
      </c>
      <c r="M566" s="1" t="s">
        <v>2597</v>
      </c>
      <c r="N566" s="1" t="s">
        <v>2596</v>
      </c>
      <c r="O566" s="1" t="s">
        <v>1972</v>
      </c>
    </row>
    <row r="567" spans="1:16" ht="75" x14ac:dyDescent="0.25">
      <c r="A567" s="1" t="s">
        <v>2591</v>
      </c>
      <c r="B567" s="1" t="s">
        <v>77</v>
      </c>
      <c r="C567" s="1" t="s">
        <v>182</v>
      </c>
      <c r="D567" s="1" t="s">
        <v>902</v>
      </c>
      <c r="E567" s="4" t="s">
        <v>1354</v>
      </c>
      <c r="F567" s="1" t="s">
        <v>6</v>
      </c>
      <c r="G567" s="1" t="s">
        <v>222</v>
      </c>
      <c r="H567" s="4">
        <v>26745</v>
      </c>
      <c r="I567" s="1">
        <f>117+14+4+27+5+1+8+1</f>
        <v>177</v>
      </c>
      <c r="K567" s="1" t="s">
        <v>2600</v>
      </c>
      <c r="M567" s="1" t="s">
        <v>3214</v>
      </c>
      <c r="N567" s="1" t="s">
        <v>2599</v>
      </c>
    </row>
    <row r="568" spans="1:16" ht="45" x14ac:dyDescent="0.25">
      <c r="A568" s="1" t="s">
        <v>2601</v>
      </c>
      <c r="B568" s="1" t="s">
        <v>720</v>
      </c>
      <c r="C568" s="1" t="s">
        <v>53</v>
      </c>
      <c r="D568" s="1" t="s">
        <v>703</v>
      </c>
      <c r="E568" s="4" t="s">
        <v>2602</v>
      </c>
      <c r="F568" s="1" t="s">
        <v>6</v>
      </c>
      <c r="G568" s="1" t="s">
        <v>20</v>
      </c>
      <c r="I568" s="1">
        <f>28+4+20+29</f>
        <v>81</v>
      </c>
      <c r="K568" s="1" t="s">
        <v>2604</v>
      </c>
      <c r="M568" s="1" t="s">
        <v>2605</v>
      </c>
      <c r="N568" s="1" t="s">
        <v>2603</v>
      </c>
      <c r="O568" s="1" t="s">
        <v>1972</v>
      </c>
    </row>
    <row r="569" spans="1:16" ht="45" x14ac:dyDescent="0.25">
      <c r="A569" s="1" t="s">
        <v>2601</v>
      </c>
      <c r="B569" s="1" t="s">
        <v>369</v>
      </c>
      <c r="C569" s="1" t="s">
        <v>67</v>
      </c>
      <c r="D569" s="1" t="s">
        <v>101</v>
      </c>
      <c r="E569" s="4" t="s">
        <v>1007</v>
      </c>
      <c r="F569" s="1" t="s">
        <v>186</v>
      </c>
      <c r="G569" s="1" t="s">
        <v>9</v>
      </c>
      <c r="H569" s="4">
        <v>26757</v>
      </c>
      <c r="I569" s="1">
        <f>71+3+2+5+3</f>
        <v>84</v>
      </c>
      <c r="K569" s="1" t="s">
        <v>2606</v>
      </c>
      <c r="M569" s="1" t="s">
        <v>2608</v>
      </c>
      <c r="N569" s="1" t="s">
        <v>2607</v>
      </c>
      <c r="O569" s="1" t="s">
        <v>1800</v>
      </c>
    </row>
    <row r="570" spans="1:16" s="17" customFormat="1" x14ac:dyDescent="0.25">
      <c r="A570" s="17" t="s">
        <v>2619</v>
      </c>
      <c r="B570" s="17" t="s">
        <v>100</v>
      </c>
      <c r="C570" s="17" t="s">
        <v>17</v>
      </c>
      <c r="E570" s="18"/>
      <c r="H570" s="18"/>
      <c r="K570" s="17" t="s">
        <v>2614</v>
      </c>
    </row>
    <row r="571" spans="1:16" ht="45" x14ac:dyDescent="0.25">
      <c r="A571" s="1" t="s">
        <v>2609</v>
      </c>
      <c r="B571" s="1" t="s">
        <v>397</v>
      </c>
      <c r="C571" s="1" t="s">
        <v>113</v>
      </c>
      <c r="D571" s="1" t="s">
        <v>348</v>
      </c>
      <c r="E571" s="4" t="s">
        <v>362</v>
      </c>
      <c r="F571" s="1" t="s">
        <v>186</v>
      </c>
      <c r="G571" s="1" t="s">
        <v>9</v>
      </c>
      <c r="H571" s="4">
        <v>26732</v>
      </c>
      <c r="I571" s="1">
        <f>413+3+1+38+2</f>
        <v>457</v>
      </c>
      <c r="K571" s="1" t="s">
        <v>2620</v>
      </c>
      <c r="M571" s="1" t="s">
        <v>2617</v>
      </c>
      <c r="N571" s="1" t="s">
        <v>2616</v>
      </c>
      <c r="O571" s="1" t="s">
        <v>2615</v>
      </c>
    </row>
    <row r="572" spans="1:16" ht="60" x14ac:dyDescent="0.25">
      <c r="A572" s="1" t="s">
        <v>2610</v>
      </c>
      <c r="B572" s="1" t="s">
        <v>148</v>
      </c>
      <c r="C572" s="1" t="s">
        <v>53</v>
      </c>
      <c r="D572" s="1" t="s">
        <v>201</v>
      </c>
      <c r="E572" s="4" t="s">
        <v>2618</v>
      </c>
      <c r="F572" s="1" t="s">
        <v>6</v>
      </c>
      <c r="G572" s="1" t="s">
        <v>222</v>
      </c>
      <c r="H572" s="4">
        <v>26715</v>
      </c>
      <c r="I572" s="1">
        <f>25+4+10+1+2+2+1+3</f>
        <v>48</v>
      </c>
      <c r="K572" s="1" t="s">
        <v>2621</v>
      </c>
      <c r="M572" s="1" t="s">
        <v>2624</v>
      </c>
    </row>
    <row r="573" spans="1:16" ht="45" x14ac:dyDescent="0.25">
      <c r="A573" s="1" t="s">
        <v>2611</v>
      </c>
      <c r="B573" s="1" t="s">
        <v>163</v>
      </c>
      <c r="C573" s="1" t="s">
        <v>17</v>
      </c>
      <c r="D573" s="1" t="s">
        <v>314</v>
      </c>
      <c r="E573" s="4" t="s">
        <v>2625</v>
      </c>
      <c r="F573" s="1" t="s">
        <v>6</v>
      </c>
      <c r="G573" s="1" t="s">
        <v>20</v>
      </c>
      <c r="I573" s="1">
        <f>24+4+1+29+16</f>
        <v>74</v>
      </c>
      <c r="K573" s="1" t="s">
        <v>2622</v>
      </c>
      <c r="M573" s="1" t="s">
        <v>2626</v>
      </c>
      <c r="O573" s="1" t="s">
        <v>1972</v>
      </c>
    </row>
    <row r="574" spans="1:16" ht="105" x14ac:dyDescent="0.25">
      <c r="A574" s="1" t="s">
        <v>2612</v>
      </c>
      <c r="B574" s="1" t="s">
        <v>2613</v>
      </c>
      <c r="C574" s="1" t="s">
        <v>67</v>
      </c>
      <c r="D574" s="1" t="s">
        <v>210</v>
      </c>
      <c r="E574" s="4" t="s">
        <v>704</v>
      </c>
      <c r="F574" s="1" t="s">
        <v>6</v>
      </c>
      <c r="G574" s="1" t="s">
        <v>20</v>
      </c>
      <c r="I574" s="1">
        <f>39+4+2+1+2+1+9+50+9+37+1</f>
        <v>155</v>
      </c>
      <c r="K574" s="1" t="s">
        <v>2623</v>
      </c>
      <c r="M574" s="1" t="s">
        <v>3215</v>
      </c>
      <c r="N574" s="17" t="s">
        <v>2627</v>
      </c>
      <c r="O574" s="1" t="s">
        <v>2207</v>
      </c>
    </row>
    <row r="575" spans="1:16" ht="105" x14ac:dyDescent="0.25">
      <c r="A575" s="1" t="s">
        <v>149</v>
      </c>
      <c r="B575" s="1" t="s">
        <v>369</v>
      </c>
      <c r="C575" s="1" t="s">
        <v>113</v>
      </c>
      <c r="D575" s="1" t="s">
        <v>210</v>
      </c>
      <c r="E575" s="4" t="s">
        <v>242</v>
      </c>
      <c r="F575" s="1" t="s">
        <v>6</v>
      </c>
      <c r="G575" s="1" t="s">
        <v>20</v>
      </c>
      <c r="I575" s="1">
        <f>45+3+2+4+19+86+4+4+1</f>
        <v>168</v>
      </c>
      <c r="K575" s="1" t="s">
        <v>2628</v>
      </c>
      <c r="M575" s="1" t="s">
        <v>2636</v>
      </c>
      <c r="N575" s="1" t="s">
        <v>2634</v>
      </c>
      <c r="O575" s="1" t="s">
        <v>2207</v>
      </c>
      <c r="P575" s="1" t="s">
        <v>2635</v>
      </c>
    </row>
    <row r="576" spans="1:16" ht="60" x14ac:dyDescent="0.25">
      <c r="A576" s="1" t="s">
        <v>2629</v>
      </c>
      <c r="B576" s="1" t="s">
        <v>77</v>
      </c>
      <c r="C576" s="1" t="s">
        <v>72</v>
      </c>
      <c r="D576" s="1" t="s">
        <v>553</v>
      </c>
      <c r="E576" s="4" t="s">
        <v>2630</v>
      </c>
      <c r="F576" s="1" t="s">
        <v>186</v>
      </c>
      <c r="G576" s="1" t="s">
        <v>9</v>
      </c>
      <c r="H576" s="4">
        <v>26743</v>
      </c>
      <c r="I576" s="1">
        <f>407+7+3+4+11+1+4+17</f>
        <v>454</v>
      </c>
      <c r="K576" s="1" t="s">
        <v>2632</v>
      </c>
      <c r="M576" s="1" t="s">
        <v>3216</v>
      </c>
      <c r="N576" s="1" t="s">
        <v>2637</v>
      </c>
      <c r="O576" s="1" t="s">
        <v>2638</v>
      </c>
    </row>
    <row r="577" spans="1:15" ht="60" x14ac:dyDescent="0.25">
      <c r="A577" s="1" t="s">
        <v>2631</v>
      </c>
      <c r="B577" s="1" t="s">
        <v>140</v>
      </c>
      <c r="C577" s="1" t="s">
        <v>58</v>
      </c>
      <c r="D577" s="1" t="s">
        <v>553</v>
      </c>
      <c r="E577" s="4" t="s">
        <v>1828</v>
      </c>
      <c r="F577" s="1" t="s">
        <v>186</v>
      </c>
      <c r="G577" s="1" t="s">
        <v>9</v>
      </c>
      <c r="H577" s="4">
        <v>26736</v>
      </c>
      <c r="I577" s="1">
        <f>539+20+3+10+2+27+3+10</f>
        <v>614</v>
      </c>
      <c r="K577" s="1" t="s">
        <v>2633</v>
      </c>
      <c r="M577" s="1" t="s">
        <v>2641</v>
      </c>
      <c r="N577" s="1" t="s">
        <v>2639</v>
      </c>
      <c r="O577" s="1" t="s">
        <v>2640</v>
      </c>
    </row>
    <row r="578" spans="1:15" ht="45" x14ac:dyDescent="0.25">
      <c r="A578" s="1" t="s">
        <v>2642</v>
      </c>
      <c r="B578" s="1" t="s">
        <v>1234</v>
      </c>
      <c r="C578" s="1" t="s">
        <v>182</v>
      </c>
      <c r="D578" s="1" t="s">
        <v>703</v>
      </c>
      <c r="E578" s="4" t="s">
        <v>859</v>
      </c>
      <c r="F578" s="1" t="s">
        <v>6</v>
      </c>
      <c r="G578" s="1" t="s">
        <v>20</v>
      </c>
      <c r="I578" s="1">
        <f>45+4+68</f>
        <v>117</v>
      </c>
      <c r="K578" s="1" t="s">
        <v>2643</v>
      </c>
      <c r="M578" s="1" t="s">
        <v>2521</v>
      </c>
      <c r="N578" s="17" t="s">
        <v>2660</v>
      </c>
      <c r="O578" s="1" t="s">
        <v>2654</v>
      </c>
    </row>
    <row r="579" spans="1:15" ht="60" x14ac:dyDescent="0.25">
      <c r="A579" s="1" t="s">
        <v>2644</v>
      </c>
      <c r="B579" s="1" t="s">
        <v>100</v>
      </c>
      <c r="C579" s="1" t="s">
        <v>32</v>
      </c>
      <c r="D579" s="1" t="s">
        <v>553</v>
      </c>
      <c r="E579" s="4" t="s">
        <v>2645</v>
      </c>
      <c r="F579" s="1" t="s">
        <v>186</v>
      </c>
      <c r="G579" s="1" t="s">
        <v>9</v>
      </c>
      <c r="H579" s="4">
        <v>26744</v>
      </c>
      <c r="I579" s="1">
        <f>419+17+3+1+18+10+4+19+6</f>
        <v>497</v>
      </c>
      <c r="K579" s="1" t="s">
        <v>2650</v>
      </c>
      <c r="M579" s="1" t="s">
        <v>2655</v>
      </c>
      <c r="O579" s="1" t="s">
        <v>2582</v>
      </c>
    </row>
    <row r="580" spans="1:15" ht="60" x14ac:dyDescent="0.25">
      <c r="A580" s="1" t="s">
        <v>2646</v>
      </c>
      <c r="B580" s="1" t="s">
        <v>1003</v>
      </c>
      <c r="C580" s="1" t="s">
        <v>192</v>
      </c>
      <c r="D580" s="1" t="s">
        <v>553</v>
      </c>
      <c r="E580" s="4" t="s">
        <v>2647</v>
      </c>
      <c r="F580" s="1" t="s">
        <v>186</v>
      </c>
      <c r="G580" s="1" t="s">
        <v>9</v>
      </c>
      <c r="H580" s="4">
        <v>26755</v>
      </c>
      <c r="I580" s="1">
        <f>138+5+2+7+5+2+1</f>
        <v>160</v>
      </c>
      <c r="K580" s="1" t="s">
        <v>2651</v>
      </c>
      <c r="M580" s="1" t="s">
        <v>2658</v>
      </c>
      <c r="N580" s="1" t="s">
        <v>2657</v>
      </c>
      <c r="O580" s="1" t="s">
        <v>2656</v>
      </c>
    </row>
    <row r="581" spans="1:15" s="17" customFormat="1" ht="30" x14ac:dyDescent="0.25">
      <c r="A581" s="17" t="s">
        <v>2648</v>
      </c>
      <c r="B581" s="17" t="s">
        <v>116</v>
      </c>
      <c r="C581" s="17" t="s">
        <v>599</v>
      </c>
      <c r="D581" s="17" t="s">
        <v>567</v>
      </c>
      <c r="E581" s="18" t="s">
        <v>2649</v>
      </c>
      <c r="F581" s="17" t="s">
        <v>6</v>
      </c>
      <c r="G581" s="17" t="s">
        <v>20</v>
      </c>
      <c r="H581" s="18"/>
      <c r="I581" s="17">
        <f>178+6+236</f>
        <v>420</v>
      </c>
      <c r="K581" s="17" t="s">
        <v>2652</v>
      </c>
      <c r="M581" s="17" t="s">
        <v>2659</v>
      </c>
      <c r="O581" s="17" t="s">
        <v>1594</v>
      </c>
    </row>
    <row r="582" spans="1:15" ht="90" x14ac:dyDescent="0.25">
      <c r="A582" s="10" t="s">
        <v>2648</v>
      </c>
      <c r="B582" s="1" t="s">
        <v>116</v>
      </c>
      <c r="C582" s="1" t="s">
        <v>599</v>
      </c>
      <c r="D582" s="1" t="s">
        <v>567</v>
      </c>
      <c r="E582" s="4" t="s">
        <v>2649</v>
      </c>
      <c r="F582" s="1" t="s">
        <v>6</v>
      </c>
      <c r="G582" s="1" t="s">
        <v>20</v>
      </c>
      <c r="I582" s="1">
        <f>4+25+6+8+33+10+55+12</f>
        <v>153</v>
      </c>
      <c r="K582" s="1" t="s">
        <v>2653</v>
      </c>
      <c r="M582" s="1" t="s">
        <v>2666</v>
      </c>
    </row>
    <row r="583" spans="1:15" ht="120" x14ac:dyDescent="0.25">
      <c r="A583" s="1" t="s">
        <v>2661</v>
      </c>
      <c r="B583" s="1" t="s">
        <v>2662</v>
      </c>
      <c r="C583" s="1" t="s">
        <v>953</v>
      </c>
      <c r="D583" s="1" t="s">
        <v>1056</v>
      </c>
      <c r="E583" s="4" t="s">
        <v>2663</v>
      </c>
      <c r="F583" s="1" t="s">
        <v>186</v>
      </c>
      <c r="G583" s="1" t="s">
        <v>9</v>
      </c>
      <c r="H583" s="4">
        <v>26729</v>
      </c>
      <c r="I583" s="1">
        <f>177+4+2+6+9+2+11+6+90</f>
        <v>307</v>
      </c>
      <c r="K583" s="1" t="s">
        <v>2664</v>
      </c>
      <c r="M583" s="1" t="s">
        <v>3217</v>
      </c>
      <c r="N583" s="1" t="s">
        <v>2667</v>
      </c>
      <c r="O583" s="1" t="s">
        <v>1610</v>
      </c>
    </row>
    <row r="584" spans="1:15" ht="60" x14ac:dyDescent="0.25">
      <c r="A584" s="1" t="s">
        <v>2665</v>
      </c>
      <c r="B584" s="1" t="s">
        <v>140</v>
      </c>
      <c r="C584" s="1" t="s">
        <v>182</v>
      </c>
      <c r="D584" s="1" t="s">
        <v>101</v>
      </c>
      <c r="E584" s="4" t="s">
        <v>1604</v>
      </c>
      <c r="F584" s="1" t="s">
        <v>186</v>
      </c>
      <c r="G584" s="1" t="s">
        <v>9</v>
      </c>
      <c r="H584" s="4">
        <v>26731</v>
      </c>
      <c r="I584" s="1">
        <f>351+3+2+2+16+2+10</f>
        <v>386</v>
      </c>
      <c r="K584" s="1" t="s">
        <v>2697</v>
      </c>
      <c r="M584" s="1" t="s">
        <v>2669</v>
      </c>
      <c r="O584" s="1" t="s">
        <v>2668</v>
      </c>
    </row>
    <row r="585" spans="1:15" ht="120" x14ac:dyDescent="0.25">
      <c r="A585" s="1" t="s">
        <v>2670</v>
      </c>
      <c r="B585" s="1" t="s">
        <v>148</v>
      </c>
      <c r="C585" s="1" t="s">
        <v>67</v>
      </c>
      <c r="D585" s="1" t="s">
        <v>210</v>
      </c>
      <c r="E585" s="4" t="s">
        <v>2671</v>
      </c>
      <c r="F585" s="17" t="s">
        <v>186</v>
      </c>
      <c r="G585" s="1" t="s">
        <v>20</v>
      </c>
      <c r="I585" s="1">
        <f>126+4+5+2+50+5+4+4+131+2+3+6</f>
        <v>342</v>
      </c>
      <c r="K585" s="1" t="s">
        <v>2698</v>
      </c>
      <c r="M585" s="17" t="s">
        <v>2681</v>
      </c>
      <c r="O585" s="1" t="s">
        <v>1571</v>
      </c>
    </row>
    <row r="586" spans="1:15" ht="45" x14ac:dyDescent="0.25">
      <c r="A586" s="1" t="s">
        <v>2673</v>
      </c>
      <c r="B586" s="1" t="s">
        <v>116</v>
      </c>
      <c r="C586" s="1" t="s">
        <v>53</v>
      </c>
      <c r="D586" s="1" t="s">
        <v>849</v>
      </c>
      <c r="E586" s="4" t="s">
        <v>2674</v>
      </c>
      <c r="F586" s="1" t="s">
        <v>6</v>
      </c>
      <c r="G586" s="1" t="s">
        <v>222</v>
      </c>
      <c r="H586" s="4">
        <v>25521</v>
      </c>
      <c r="I586" s="1">
        <f>56+12+102+4+21+2</f>
        <v>197</v>
      </c>
      <c r="K586" s="1" t="s">
        <v>2699</v>
      </c>
      <c r="M586" s="1" t="s">
        <v>3218</v>
      </c>
    </row>
    <row r="587" spans="1:15" ht="60" x14ac:dyDescent="0.25">
      <c r="A587" s="1" t="s">
        <v>2675</v>
      </c>
      <c r="B587" s="1" t="s">
        <v>2676</v>
      </c>
      <c r="C587" s="1" t="s">
        <v>63</v>
      </c>
      <c r="D587" s="1" t="s">
        <v>348</v>
      </c>
      <c r="E587" s="4" t="s">
        <v>658</v>
      </c>
      <c r="F587" s="1" t="s">
        <v>186</v>
      </c>
      <c r="G587" s="1" t="s">
        <v>9</v>
      </c>
      <c r="H587" s="4">
        <v>26732</v>
      </c>
      <c r="I587" s="1">
        <f>110+4+1+14</f>
        <v>129</v>
      </c>
      <c r="K587" s="1" t="s">
        <v>2700</v>
      </c>
      <c r="M587" s="1" t="s">
        <v>2684</v>
      </c>
      <c r="N587" s="1" t="s">
        <v>2682</v>
      </c>
      <c r="O587" s="1" t="s">
        <v>2683</v>
      </c>
    </row>
    <row r="588" spans="1:15" ht="45" x14ac:dyDescent="0.25">
      <c r="A588" s="1" t="s">
        <v>2677</v>
      </c>
      <c r="B588" s="1" t="s">
        <v>2678</v>
      </c>
      <c r="C588" s="1" t="s">
        <v>72</v>
      </c>
      <c r="D588" s="1" t="s">
        <v>553</v>
      </c>
      <c r="E588" s="4" t="s">
        <v>254</v>
      </c>
      <c r="F588" s="1" t="s">
        <v>186</v>
      </c>
      <c r="G588" s="1" t="s">
        <v>9</v>
      </c>
      <c r="H588" s="4">
        <v>26742</v>
      </c>
      <c r="I588" s="1">
        <f>210+4+3+3+4+20</f>
        <v>244</v>
      </c>
      <c r="K588" s="1" t="s">
        <v>2701</v>
      </c>
      <c r="M588" s="1" t="s">
        <v>1286</v>
      </c>
      <c r="O588" s="1" t="s">
        <v>2638</v>
      </c>
    </row>
    <row r="589" spans="1:15" ht="45" x14ac:dyDescent="0.25">
      <c r="A589" s="1" t="s">
        <v>2677</v>
      </c>
      <c r="B589" s="1" t="s">
        <v>307</v>
      </c>
      <c r="C589" s="1" t="s">
        <v>123</v>
      </c>
      <c r="D589" s="1" t="s">
        <v>703</v>
      </c>
      <c r="E589" s="4" t="s">
        <v>2484</v>
      </c>
      <c r="F589" s="1" t="s">
        <v>6</v>
      </c>
      <c r="G589" s="1" t="s">
        <v>20</v>
      </c>
      <c r="I589" s="1">
        <f>62+9+4+8+6+74</f>
        <v>163</v>
      </c>
      <c r="K589" s="1" t="s">
        <v>2672</v>
      </c>
      <c r="M589" s="1" t="s">
        <v>2703</v>
      </c>
      <c r="N589" s="1" t="s">
        <v>2702</v>
      </c>
      <c r="O589" s="1" t="s">
        <v>2207</v>
      </c>
    </row>
    <row r="590" spans="1:15" ht="45" x14ac:dyDescent="0.25">
      <c r="A590" s="1" t="s">
        <v>2685</v>
      </c>
      <c r="B590" s="1" t="s">
        <v>534</v>
      </c>
      <c r="C590" s="1" t="s">
        <v>192</v>
      </c>
      <c r="D590" s="1" t="s">
        <v>276</v>
      </c>
      <c r="E590" s="4" t="s">
        <v>2686</v>
      </c>
      <c r="F590" s="1" t="s">
        <v>6</v>
      </c>
      <c r="G590" s="1" t="s">
        <v>215</v>
      </c>
      <c r="H590" s="4">
        <v>25811</v>
      </c>
      <c r="I590" s="1">
        <f>66+1+40+6+198</f>
        <v>311</v>
      </c>
      <c r="K590" s="1" t="s">
        <v>2679</v>
      </c>
      <c r="M590" s="1" t="s">
        <v>2710</v>
      </c>
    </row>
    <row r="591" spans="1:15" ht="75" x14ac:dyDescent="0.25">
      <c r="A591" s="1" t="s">
        <v>2687</v>
      </c>
      <c r="B591" s="1" t="s">
        <v>140</v>
      </c>
      <c r="C591" s="1" t="s">
        <v>63</v>
      </c>
      <c r="D591" s="1" t="s">
        <v>553</v>
      </c>
      <c r="E591" s="4" t="s">
        <v>1721</v>
      </c>
      <c r="F591" s="1" t="s">
        <v>186</v>
      </c>
      <c r="G591" s="1" t="s">
        <v>9</v>
      </c>
      <c r="H591" s="4">
        <v>26744</v>
      </c>
      <c r="I591" s="1">
        <f>161+4+2+7+2+8</f>
        <v>184</v>
      </c>
      <c r="K591" s="1" t="s">
        <v>2680</v>
      </c>
      <c r="M591" s="1" t="s">
        <v>2704</v>
      </c>
      <c r="N591" s="1" t="s">
        <v>2705</v>
      </c>
      <c r="O591" s="1" t="s">
        <v>2432</v>
      </c>
    </row>
    <row r="592" spans="1:15" s="17" customFormat="1" ht="75" x14ac:dyDescent="0.25">
      <c r="A592" s="17" t="s">
        <v>2688</v>
      </c>
      <c r="B592" s="17" t="s">
        <v>2689</v>
      </c>
      <c r="C592" s="17" t="s">
        <v>182</v>
      </c>
      <c r="D592" s="17" t="s">
        <v>2690</v>
      </c>
      <c r="E592" s="18" t="s">
        <v>2691</v>
      </c>
      <c r="F592" s="17" t="s">
        <v>1866</v>
      </c>
      <c r="G592" s="17" t="s">
        <v>215</v>
      </c>
      <c r="H592" s="18">
        <v>26735</v>
      </c>
      <c r="I592" s="17">
        <f>115+14+6+83</f>
        <v>218</v>
      </c>
      <c r="K592" s="17" t="s">
        <v>2712</v>
      </c>
      <c r="M592" s="17" t="s">
        <v>2711</v>
      </c>
      <c r="O592" s="17" t="s">
        <v>2706</v>
      </c>
    </row>
    <row r="593" spans="1:15" ht="30" x14ac:dyDescent="0.25">
      <c r="A593" s="1" t="s">
        <v>2692</v>
      </c>
      <c r="B593" s="1" t="s">
        <v>100</v>
      </c>
      <c r="C593" s="1" t="s">
        <v>72</v>
      </c>
      <c r="D593" s="1" t="s">
        <v>227</v>
      </c>
      <c r="E593" s="4" t="s">
        <v>2693</v>
      </c>
      <c r="F593" s="1" t="s">
        <v>6</v>
      </c>
      <c r="G593" s="1" t="s">
        <v>222</v>
      </c>
      <c r="H593" s="4">
        <v>26757</v>
      </c>
      <c r="I593" s="1">
        <f>28+6+7</f>
        <v>41</v>
      </c>
      <c r="K593" s="1" t="s">
        <v>2713</v>
      </c>
      <c r="M593" s="1" t="s">
        <v>2708</v>
      </c>
      <c r="N593" s="1" t="s">
        <v>2707</v>
      </c>
      <c r="O593" s="1" t="s">
        <v>1672</v>
      </c>
    </row>
    <row r="594" spans="1:15" ht="30" x14ac:dyDescent="0.25">
      <c r="A594" s="1" t="s">
        <v>2694</v>
      </c>
      <c r="B594" s="1" t="s">
        <v>369</v>
      </c>
      <c r="C594" s="1" t="s">
        <v>412</v>
      </c>
      <c r="D594" s="1" t="s">
        <v>2695</v>
      </c>
      <c r="E594" s="4" t="s">
        <v>2696</v>
      </c>
      <c r="F594" s="1" t="s">
        <v>6</v>
      </c>
      <c r="G594" s="1" t="s">
        <v>215</v>
      </c>
      <c r="H594" s="4">
        <v>26708</v>
      </c>
      <c r="I594" s="1">
        <f>26</f>
        <v>26</v>
      </c>
      <c r="K594" s="1" t="s">
        <v>2714</v>
      </c>
      <c r="M594" s="1" t="s">
        <v>2709</v>
      </c>
    </row>
    <row r="595" spans="1:15" ht="75" x14ac:dyDescent="0.25">
      <c r="A595" s="1" t="s">
        <v>2715</v>
      </c>
      <c r="B595" s="1" t="s">
        <v>2716</v>
      </c>
      <c r="C595" s="1" t="s">
        <v>32</v>
      </c>
      <c r="D595" s="1" t="s">
        <v>348</v>
      </c>
      <c r="E595" s="4" t="s">
        <v>2219</v>
      </c>
      <c r="F595" s="1" t="s">
        <v>186</v>
      </c>
      <c r="G595" s="1" t="s">
        <v>9</v>
      </c>
      <c r="H595" s="4">
        <v>26735</v>
      </c>
      <c r="I595" s="1">
        <f>305+3+1+1+1+13+2+23</f>
        <v>349</v>
      </c>
      <c r="K595" s="1" t="s">
        <v>2717</v>
      </c>
      <c r="M595" s="1" t="s">
        <v>2723</v>
      </c>
      <c r="N595" s="1" t="s">
        <v>2722</v>
      </c>
      <c r="O595" s="1" t="s">
        <v>1972</v>
      </c>
    </row>
    <row r="596" spans="1:15" ht="30" x14ac:dyDescent="0.25">
      <c r="A596" s="1" t="s">
        <v>2715</v>
      </c>
      <c r="B596" s="1" t="s">
        <v>369</v>
      </c>
      <c r="C596" s="1" t="s">
        <v>53</v>
      </c>
      <c r="D596" s="1" t="s">
        <v>553</v>
      </c>
      <c r="E596" s="4" t="s">
        <v>1633</v>
      </c>
      <c r="F596" s="1" t="s">
        <v>186</v>
      </c>
      <c r="G596" s="1" t="s">
        <v>9</v>
      </c>
      <c r="H596" s="4">
        <v>26759</v>
      </c>
      <c r="I596" s="1">
        <f>88+2+3+3+4</f>
        <v>100</v>
      </c>
      <c r="K596" s="1" t="s">
        <v>2719</v>
      </c>
      <c r="M596" s="1" t="s">
        <v>2725</v>
      </c>
      <c r="N596" s="1" t="s">
        <v>2724</v>
      </c>
      <c r="O596" s="1" t="s">
        <v>1800</v>
      </c>
    </row>
    <row r="597" spans="1:15" ht="46.5" customHeight="1" x14ac:dyDescent="0.25">
      <c r="A597" s="1" t="s">
        <v>2718</v>
      </c>
      <c r="B597" s="1" t="s">
        <v>148</v>
      </c>
      <c r="C597" s="1" t="s">
        <v>182</v>
      </c>
      <c r="D597" s="1" t="s">
        <v>314</v>
      </c>
      <c r="E597" s="4" t="s">
        <v>2141</v>
      </c>
      <c r="F597" s="1" t="s">
        <v>781</v>
      </c>
      <c r="G597" s="1" t="s">
        <v>20</v>
      </c>
      <c r="I597" s="1">
        <f>89+4+102+5+189</f>
        <v>389</v>
      </c>
      <c r="K597" s="1" t="s">
        <v>2720</v>
      </c>
      <c r="M597" s="1" t="s">
        <v>2736</v>
      </c>
      <c r="N597" s="1" t="s">
        <v>2721</v>
      </c>
      <c r="O597" s="1" t="s">
        <v>2207</v>
      </c>
    </row>
    <row r="598" spans="1:15" ht="105" x14ac:dyDescent="0.25">
      <c r="A598" s="1" t="s">
        <v>2726</v>
      </c>
      <c r="B598" s="1" t="s">
        <v>163</v>
      </c>
      <c r="C598" s="1" t="s">
        <v>463</v>
      </c>
      <c r="D598" s="1" t="s">
        <v>210</v>
      </c>
      <c r="E598" s="4" t="s">
        <v>2727</v>
      </c>
      <c r="F598" s="1" t="s">
        <v>781</v>
      </c>
      <c r="G598" s="1" t="s">
        <v>20</v>
      </c>
      <c r="I598" s="1">
        <f>48+3+30+1+1+36+6+14+2+19+9+135</f>
        <v>304</v>
      </c>
      <c r="K598" s="1" t="s">
        <v>2728</v>
      </c>
      <c r="M598" s="1" t="s">
        <v>2737</v>
      </c>
      <c r="N598" s="1" t="s">
        <v>2735</v>
      </c>
      <c r="O598" s="1" t="s">
        <v>1594</v>
      </c>
    </row>
    <row r="599" spans="1:15" ht="30" x14ac:dyDescent="0.25">
      <c r="A599" s="1" t="s">
        <v>2729</v>
      </c>
      <c r="B599" s="1" t="s">
        <v>369</v>
      </c>
      <c r="C599" s="1" t="s">
        <v>599</v>
      </c>
      <c r="D599" s="1" t="s">
        <v>289</v>
      </c>
      <c r="E599" s="4" t="s">
        <v>2730</v>
      </c>
      <c r="F599" s="1" t="s">
        <v>1235</v>
      </c>
      <c r="G599" s="1" t="s">
        <v>222</v>
      </c>
      <c r="H599" s="4">
        <v>24972</v>
      </c>
      <c r="I599" s="1">
        <f>10</f>
        <v>10</v>
      </c>
      <c r="K599" s="1" t="s">
        <v>2733</v>
      </c>
      <c r="M599" s="1" t="s">
        <v>2709</v>
      </c>
    </row>
    <row r="600" spans="1:15" ht="45" x14ac:dyDescent="0.25">
      <c r="A600" s="1" t="s">
        <v>2731</v>
      </c>
      <c r="B600" s="1" t="s">
        <v>2053</v>
      </c>
      <c r="C600" s="1" t="s">
        <v>67</v>
      </c>
      <c r="D600" s="1" t="s">
        <v>276</v>
      </c>
      <c r="E600" s="4" t="s">
        <v>2732</v>
      </c>
      <c r="F600" s="1" t="s">
        <v>1866</v>
      </c>
      <c r="G600" s="1" t="s">
        <v>215</v>
      </c>
      <c r="H600" s="4">
        <v>26756</v>
      </c>
      <c r="I600" s="1">
        <f>285+55+1+2</f>
        <v>343</v>
      </c>
      <c r="K600" s="1" t="s">
        <v>2734</v>
      </c>
      <c r="M600" s="1" t="s">
        <v>2738</v>
      </c>
    </row>
    <row r="601" spans="1:15" ht="75" x14ac:dyDescent="0.25">
      <c r="A601" s="1" t="s">
        <v>2739</v>
      </c>
      <c r="B601" s="1" t="s">
        <v>130</v>
      </c>
      <c r="C601" s="1" t="s">
        <v>72</v>
      </c>
      <c r="D601" s="1" t="s">
        <v>101</v>
      </c>
      <c r="E601" s="4" t="s">
        <v>2645</v>
      </c>
      <c r="F601" s="1" t="s">
        <v>186</v>
      </c>
      <c r="G601" s="1" t="s">
        <v>9</v>
      </c>
      <c r="H601" s="4">
        <v>26742</v>
      </c>
      <c r="I601" s="1">
        <f>429+10+2+18+5+1+26+4+34</f>
        <v>529</v>
      </c>
      <c r="K601" s="1" t="s">
        <v>2742</v>
      </c>
      <c r="M601" s="1" t="s">
        <v>2741</v>
      </c>
      <c r="O601" s="1" t="s">
        <v>2740</v>
      </c>
    </row>
    <row r="602" spans="1:15" ht="90" x14ac:dyDescent="0.25">
      <c r="A602" s="1" t="s">
        <v>2744</v>
      </c>
      <c r="B602" s="1" t="s">
        <v>2745</v>
      </c>
      <c r="C602" s="1" t="s">
        <v>17</v>
      </c>
      <c r="D602" s="1" t="s">
        <v>553</v>
      </c>
      <c r="E602" s="4" t="s">
        <v>1721</v>
      </c>
      <c r="F602" s="1" t="s">
        <v>186</v>
      </c>
      <c r="G602" s="1" t="s">
        <v>9</v>
      </c>
      <c r="H602" s="4">
        <v>26748</v>
      </c>
      <c r="I602" s="1">
        <f>311+15+2+5+2+24</f>
        <v>359</v>
      </c>
      <c r="K602" s="1" t="s">
        <v>2746</v>
      </c>
      <c r="M602" s="1" t="s">
        <v>3219</v>
      </c>
      <c r="N602" s="1" t="s">
        <v>2750</v>
      </c>
      <c r="O602" s="1" t="s">
        <v>2751</v>
      </c>
    </row>
    <row r="603" spans="1:15" ht="90" x14ac:dyDescent="0.25">
      <c r="A603" s="1" t="s">
        <v>563</v>
      </c>
      <c r="B603" s="1" t="s">
        <v>2747</v>
      </c>
      <c r="C603" s="1" t="s">
        <v>113</v>
      </c>
      <c r="D603" s="1" t="s">
        <v>314</v>
      </c>
      <c r="E603" s="4" t="s">
        <v>2727</v>
      </c>
      <c r="F603" s="1" t="s">
        <v>781</v>
      </c>
      <c r="G603" s="1" t="s">
        <v>20</v>
      </c>
      <c r="I603" s="1">
        <f>45+16+4+2+29+40+2+97</f>
        <v>235</v>
      </c>
      <c r="K603" s="1" t="s">
        <v>2749</v>
      </c>
      <c r="M603" s="1" t="s">
        <v>2753</v>
      </c>
      <c r="N603" s="1" t="s">
        <v>2752</v>
      </c>
      <c r="O603" s="1" t="s">
        <v>2615</v>
      </c>
    </row>
    <row r="604" spans="1:15" s="17" customFormat="1" x14ac:dyDescent="0.25">
      <c r="A604" s="17" t="s">
        <v>2768</v>
      </c>
      <c r="B604" s="17" t="s">
        <v>981</v>
      </c>
      <c r="C604" s="17" t="s">
        <v>67</v>
      </c>
      <c r="E604" s="18" t="s">
        <v>2769</v>
      </c>
      <c r="H604" s="18"/>
      <c r="M604" s="17" t="s">
        <v>2770</v>
      </c>
    </row>
    <row r="605" spans="1:15" ht="45" x14ac:dyDescent="0.25">
      <c r="A605" s="1" t="s">
        <v>140</v>
      </c>
      <c r="B605" s="1" t="s">
        <v>369</v>
      </c>
      <c r="C605" s="1" t="s">
        <v>72</v>
      </c>
      <c r="D605" s="1" t="s">
        <v>2748</v>
      </c>
      <c r="E605" s="4" t="s">
        <v>2071</v>
      </c>
      <c r="F605" s="1" t="s">
        <v>186</v>
      </c>
      <c r="G605" s="1" t="s">
        <v>215</v>
      </c>
      <c r="I605" s="1">
        <f>268+305+3</f>
        <v>576</v>
      </c>
      <c r="K605" s="1" t="s">
        <v>2756</v>
      </c>
      <c r="M605" s="1" t="s">
        <v>2754</v>
      </c>
      <c r="N605" s="1" t="s">
        <v>2755</v>
      </c>
      <c r="O605" s="1" t="s">
        <v>1672</v>
      </c>
    </row>
    <row r="606" spans="1:15" ht="30" x14ac:dyDescent="0.25">
      <c r="A606" s="1" t="s">
        <v>2757</v>
      </c>
      <c r="B606" s="1" t="s">
        <v>2053</v>
      </c>
      <c r="C606" s="1" t="s">
        <v>32</v>
      </c>
      <c r="D606" s="1" t="s">
        <v>245</v>
      </c>
      <c r="E606" s="4" t="s">
        <v>2758</v>
      </c>
      <c r="F606" s="1" t="s">
        <v>6</v>
      </c>
      <c r="G606" s="1" t="s">
        <v>222</v>
      </c>
      <c r="H606" s="4">
        <v>26732</v>
      </c>
      <c r="I606" s="1">
        <f>42+4+35</f>
        <v>81</v>
      </c>
      <c r="K606" s="1" t="s">
        <v>2759</v>
      </c>
      <c r="M606" s="1" t="s">
        <v>2708</v>
      </c>
      <c r="O606" s="1" t="s">
        <v>1672</v>
      </c>
    </row>
    <row r="607" spans="1:15" ht="90" x14ac:dyDescent="0.25">
      <c r="A607" s="1" t="s">
        <v>2757</v>
      </c>
      <c r="B607" s="1" t="s">
        <v>1680</v>
      </c>
      <c r="C607" s="1" t="s">
        <v>58</v>
      </c>
      <c r="D607" s="1" t="s">
        <v>1751</v>
      </c>
      <c r="E607" s="4" t="s">
        <v>2760</v>
      </c>
      <c r="F607" s="1" t="s">
        <v>6</v>
      </c>
      <c r="G607" s="1" t="s">
        <v>222</v>
      </c>
      <c r="H607" s="4">
        <v>26744</v>
      </c>
      <c r="I607" s="1">
        <f>24+4+29+14+2+28+14+21</f>
        <v>136</v>
      </c>
      <c r="K607" s="1" t="s">
        <v>2764</v>
      </c>
      <c r="M607" s="1" t="s">
        <v>3220</v>
      </c>
      <c r="N607" s="1" t="s">
        <v>2767</v>
      </c>
      <c r="O607" s="1" t="s">
        <v>1825</v>
      </c>
    </row>
    <row r="608" spans="1:15" ht="105" x14ac:dyDescent="0.25">
      <c r="A608" s="1" t="s">
        <v>2757</v>
      </c>
      <c r="B608" s="1" t="s">
        <v>771</v>
      </c>
      <c r="C608" s="1" t="s">
        <v>463</v>
      </c>
      <c r="D608" s="1" t="s">
        <v>553</v>
      </c>
      <c r="E608" s="4" t="s">
        <v>2761</v>
      </c>
      <c r="F608" s="1" t="s">
        <v>186</v>
      </c>
      <c r="G608" s="1" t="s">
        <v>9</v>
      </c>
      <c r="H608" s="4">
        <v>25056</v>
      </c>
      <c r="I608" s="1">
        <f>160+1+6+5+7+3+54+7+5+109</f>
        <v>357</v>
      </c>
      <c r="K608" s="1" t="s">
        <v>2766</v>
      </c>
      <c r="M608" s="1" t="s">
        <v>2771</v>
      </c>
      <c r="O608" s="1" t="s">
        <v>1610</v>
      </c>
    </row>
    <row r="609" spans="1:15" ht="60" x14ac:dyDescent="0.25">
      <c r="A609" s="1" t="s">
        <v>2762</v>
      </c>
      <c r="B609" s="1" t="s">
        <v>31</v>
      </c>
      <c r="C609" s="1" t="s">
        <v>32</v>
      </c>
      <c r="D609" s="1" t="s">
        <v>314</v>
      </c>
      <c r="E609" s="4" t="s">
        <v>2763</v>
      </c>
      <c r="F609" s="1" t="s">
        <v>6</v>
      </c>
      <c r="G609" s="1" t="s">
        <v>20</v>
      </c>
      <c r="I609" s="1">
        <f>33+3+46</f>
        <v>82</v>
      </c>
      <c r="K609" s="1" t="s">
        <v>2765</v>
      </c>
      <c r="M609" s="1" t="s">
        <v>2774</v>
      </c>
      <c r="N609" s="1" t="s">
        <v>2772</v>
      </c>
      <c r="O609" s="1" t="s">
        <v>2773</v>
      </c>
    </row>
    <row r="610" spans="1:15" ht="60" x14ac:dyDescent="0.25">
      <c r="A610" s="1" t="s">
        <v>2775</v>
      </c>
      <c r="B610" s="1" t="s">
        <v>1456</v>
      </c>
      <c r="C610" s="1" t="s">
        <v>103</v>
      </c>
      <c r="D610" s="1" t="s">
        <v>553</v>
      </c>
      <c r="E610" s="4" t="s">
        <v>1558</v>
      </c>
      <c r="F610" s="1" t="s">
        <v>186</v>
      </c>
      <c r="G610" s="1" t="s">
        <v>9</v>
      </c>
      <c r="H610" s="4">
        <v>26734</v>
      </c>
      <c r="I610" s="1">
        <f>356+3+1+8+5+4+2+16+2</f>
        <v>397</v>
      </c>
      <c r="K610" s="1" t="s">
        <v>2776</v>
      </c>
      <c r="M610" s="1" t="s">
        <v>2784</v>
      </c>
      <c r="N610" s="1" t="s">
        <v>2786</v>
      </c>
      <c r="O610" s="1" t="s">
        <v>2785</v>
      </c>
    </row>
    <row r="611" spans="1:15" x14ac:dyDescent="0.25">
      <c r="A611" s="1" t="s">
        <v>2777</v>
      </c>
      <c r="B611" s="1" t="s">
        <v>2778</v>
      </c>
      <c r="C611" s="1" t="s">
        <v>113</v>
      </c>
      <c r="D611" s="1" t="s">
        <v>849</v>
      </c>
      <c r="E611" s="4" t="s">
        <v>2779</v>
      </c>
      <c r="F611" s="1" t="s">
        <v>6</v>
      </c>
      <c r="G611" s="1" t="s">
        <v>222</v>
      </c>
      <c r="H611" s="4">
        <v>25512</v>
      </c>
      <c r="I611" s="1">
        <f>123+4+115</f>
        <v>242</v>
      </c>
      <c r="K611" s="1" t="s">
        <v>2782</v>
      </c>
      <c r="M611" s="1" t="s">
        <v>2787</v>
      </c>
    </row>
    <row r="612" spans="1:15" ht="60" x14ac:dyDescent="0.25">
      <c r="A612" s="1" t="s">
        <v>2780</v>
      </c>
      <c r="B612" s="1" t="s">
        <v>551</v>
      </c>
      <c r="C612" s="1" t="s">
        <v>53</v>
      </c>
      <c r="D612" s="1" t="s">
        <v>101</v>
      </c>
      <c r="E612" s="4" t="s">
        <v>2781</v>
      </c>
      <c r="F612" s="1" t="s">
        <v>186</v>
      </c>
      <c r="G612" s="1" t="s">
        <v>9</v>
      </c>
      <c r="H612" s="4">
        <v>26712</v>
      </c>
      <c r="I612" s="1">
        <f>187+4+2+16+2+9</f>
        <v>220</v>
      </c>
      <c r="K612" s="1" t="s">
        <v>2783</v>
      </c>
      <c r="M612" s="1" t="s">
        <v>1930</v>
      </c>
      <c r="O612" s="1" t="s">
        <v>2788</v>
      </c>
    </row>
    <row r="613" spans="1:15" ht="75" x14ac:dyDescent="0.25">
      <c r="A613" s="1" t="s">
        <v>2789</v>
      </c>
      <c r="B613" s="1" t="s">
        <v>2790</v>
      </c>
      <c r="C613" s="1" t="s">
        <v>53</v>
      </c>
      <c r="D613" s="1" t="s">
        <v>348</v>
      </c>
      <c r="E613" s="4" t="s">
        <v>2791</v>
      </c>
      <c r="F613" s="1" t="s">
        <v>186</v>
      </c>
      <c r="G613" s="1" t="s">
        <v>9</v>
      </c>
      <c r="H613" s="4">
        <v>26731</v>
      </c>
      <c r="I613" s="1">
        <f>443+18+2+33+10+7+2+29+6</f>
        <v>550</v>
      </c>
      <c r="K613" s="1" t="s">
        <v>2792</v>
      </c>
      <c r="M613" s="1" t="s">
        <v>2795</v>
      </c>
      <c r="N613" s="1" t="s">
        <v>2794</v>
      </c>
      <c r="O613" s="1" t="s">
        <v>2793</v>
      </c>
    </row>
    <row r="614" spans="1:15" ht="75" x14ac:dyDescent="0.25">
      <c r="A614" s="1" t="s">
        <v>2796</v>
      </c>
      <c r="B614" s="1" t="s">
        <v>2797</v>
      </c>
      <c r="C614" s="1" t="s">
        <v>63</v>
      </c>
      <c r="D614" s="1" t="s">
        <v>101</v>
      </c>
      <c r="E614" s="4" t="s">
        <v>2798</v>
      </c>
      <c r="F614" s="1" t="s">
        <v>186</v>
      </c>
      <c r="G614" s="1" t="s">
        <v>9</v>
      </c>
      <c r="H614" s="4">
        <v>26743</v>
      </c>
      <c r="I614" s="1">
        <f>207+4+3+2+1+1+25+4+12</f>
        <v>259</v>
      </c>
      <c r="K614" s="1" t="s">
        <v>2799</v>
      </c>
      <c r="M614" s="1" t="s">
        <v>2800</v>
      </c>
      <c r="O614" s="1" t="s">
        <v>2487</v>
      </c>
    </row>
    <row r="615" spans="1:15" ht="92.25" customHeight="1" x14ac:dyDescent="0.25">
      <c r="A615" s="1" t="s">
        <v>2801</v>
      </c>
      <c r="B615" s="1" t="s">
        <v>1234</v>
      </c>
      <c r="C615" s="1" t="s">
        <v>63</v>
      </c>
      <c r="D615" s="1" t="s">
        <v>210</v>
      </c>
      <c r="E615" s="4" t="s">
        <v>1043</v>
      </c>
      <c r="F615" s="1" t="s">
        <v>6</v>
      </c>
      <c r="G615" s="1" t="s">
        <v>20</v>
      </c>
      <c r="I615" s="1">
        <f>37+1+2+40+1+3+18+28+3</f>
        <v>133</v>
      </c>
      <c r="K615" s="1" t="s">
        <v>2802</v>
      </c>
      <c r="M615" s="1" t="s">
        <v>2812</v>
      </c>
      <c r="N615" s="1" t="s">
        <v>2810</v>
      </c>
      <c r="O615" s="1" t="s">
        <v>1594</v>
      </c>
    </row>
    <row r="616" spans="1:15" ht="30" x14ac:dyDescent="0.25">
      <c r="A616" s="1" t="s">
        <v>2803</v>
      </c>
      <c r="B616" s="1" t="s">
        <v>551</v>
      </c>
      <c r="C616" s="1" t="s">
        <v>113</v>
      </c>
      <c r="D616" s="1" t="s">
        <v>348</v>
      </c>
      <c r="E616" s="4" t="s">
        <v>793</v>
      </c>
      <c r="F616" s="1" t="s">
        <v>186</v>
      </c>
      <c r="G616" s="1" t="s">
        <v>9</v>
      </c>
      <c r="H616" s="4">
        <v>26752</v>
      </c>
      <c r="I616" s="1">
        <f>200+11+3+6+3</f>
        <v>223</v>
      </c>
      <c r="K616" s="1" t="s">
        <v>2807</v>
      </c>
      <c r="M616" s="1" t="s">
        <v>2815</v>
      </c>
      <c r="N616" s="1" t="s">
        <v>2813</v>
      </c>
      <c r="O616" s="1" t="s">
        <v>1800</v>
      </c>
    </row>
    <row r="617" spans="1:15" ht="60" x14ac:dyDescent="0.25">
      <c r="A617" s="1" t="s">
        <v>2804</v>
      </c>
      <c r="B617" s="1" t="s">
        <v>369</v>
      </c>
      <c r="C617" s="1" t="s">
        <v>192</v>
      </c>
      <c r="D617" s="1" t="s">
        <v>703</v>
      </c>
      <c r="E617" s="4" t="s">
        <v>2805</v>
      </c>
      <c r="F617" s="1" t="s">
        <v>781</v>
      </c>
      <c r="G617" s="1" t="s">
        <v>20</v>
      </c>
      <c r="I617" s="1">
        <f>47+4+65+58+1+118</f>
        <v>293</v>
      </c>
      <c r="K617" s="1" t="s">
        <v>2808</v>
      </c>
      <c r="M617" s="1" t="s">
        <v>2818</v>
      </c>
      <c r="N617" s="1" t="s">
        <v>2816</v>
      </c>
      <c r="O617" s="1" t="s">
        <v>2817</v>
      </c>
    </row>
    <row r="618" spans="1:15" ht="75" x14ac:dyDescent="0.25">
      <c r="A618" s="1" t="s">
        <v>2806</v>
      </c>
      <c r="B618" s="1" t="s">
        <v>163</v>
      </c>
      <c r="C618" s="1" t="s">
        <v>113</v>
      </c>
      <c r="D618" s="1" t="s">
        <v>553</v>
      </c>
      <c r="E618" s="4" t="s">
        <v>328</v>
      </c>
      <c r="F618" s="1" t="s">
        <v>186</v>
      </c>
      <c r="G618" s="1" t="s">
        <v>9</v>
      </c>
      <c r="H618" s="4">
        <v>26742</v>
      </c>
      <c r="I618" s="1">
        <f>381+6+2+19+28+7+2+10+1</f>
        <v>456</v>
      </c>
      <c r="K618" s="1" t="s">
        <v>2809</v>
      </c>
      <c r="M618" s="1" t="s">
        <v>2820</v>
      </c>
      <c r="O618" s="1" t="s">
        <v>2819</v>
      </c>
    </row>
    <row r="619" spans="1:15" ht="45" x14ac:dyDescent="0.25">
      <c r="A619" s="1" t="s">
        <v>2821</v>
      </c>
      <c r="B619" s="1" t="s">
        <v>563</v>
      </c>
      <c r="C619" s="1" t="s">
        <v>58</v>
      </c>
      <c r="D619" s="1" t="s">
        <v>101</v>
      </c>
      <c r="E619" s="4" t="s">
        <v>2822</v>
      </c>
      <c r="F619" s="1" t="s">
        <v>186</v>
      </c>
      <c r="G619" s="1" t="s">
        <v>9</v>
      </c>
      <c r="H619" s="4">
        <v>26743</v>
      </c>
      <c r="I619" s="1">
        <f>210+5+4+34+1+1</f>
        <v>255</v>
      </c>
      <c r="K619" s="1" t="s">
        <v>2823</v>
      </c>
      <c r="M619" s="1" t="s">
        <v>2831</v>
      </c>
    </row>
    <row r="620" spans="1:15" ht="120" x14ac:dyDescent="0.25">
      <c r="A620" s="1" t="s">
        <v>2855</v>
      </c>
      <c r="B620" s="1" t="s">
        <v>140</v>
      </c>
      <c r="C620" s="1" t="s">
        <v>53</v>
      </c>
      <c r="D620" s="1" t="s">
        <v>289</v>
      </c>
      <c r="E620" s="4" t="s">
        <v>2824</v>
      </c>
      <c r="F620" s="1" t="s">
        <v>6</v>
      </c>
      <c r="G620" s="1" t="s">
        <v>222</v>
      </c>
      <c r="H620" s="4">
        <v>25310</v>
      </c>
      <c r="I620" s="1">
        <f>55+4+1+2+18+3+85+3+1+1+2+2+1+1+15+1+1</f>
        <v>196</v>
      </c>
      <c r="K620" s="1" t="s">
        <v>2826</v>
      </c>
      <c r="M620" s="1" t="s">
        <v>3221</v>
      </c>
    </row>
    <row r="621" spans="1:15" ht="30" x14ac:dyDescent="0.25">
      <c r="A621" s="1" t="s">
        <v>2825</v>
      </c>
      <c r="B621" s="1" t="s">
        <v>66</v>
      </c>
      <c r="C621" s="1" t="s">
        <v>113</v>
      </c>
      <c r="D621" s="1" t="s">
        <v>348</v>
      </c>
      <c r="E621" s="4" t="s">
        <v>1391</v>
      </c>
      <c r="F621" s="1" t="s">
        <v>186</v>
      </c>
      <c r="G621" s="1" t="s">
        <v>9</v>
      </c>
      <c r="H621" s="4">
        <v>26756</v>
      </c>
      <c r="I621" s="1">
        <f>160+4+2+5+7+5</f>
        <v>183</v>
      </c>
      <c r="K621" s="1" t="s">
        <v>2827</v>
      </c>
      <c r="M621" s="1" t="s">
        <v>2833</v>
      </c>
      <c r="N621" s="1" t="s">
        <v>2832</v>
      </c>
      <c r="O621" s="1" t="s">
        <v>1571</v>
      </c>
    </row>
    <row r="622" spans="1:15" ht="60" x14ac:dyDescent="0.25">
      <c r="A622" s="1" t="s">
        <v>2828</v>
      </c>
      <c r="B622" s="1" t="s">
        <v>551</v>
      </c>
      <c r="C622" s="1" t="s">
        <v>32</v>
      </c>
      <c r="D622" s="1" t="s">
        <v>553</v>
      </c>
      <c r="E622" s="4" t="s">
        <v>2829</v>
      </c>
      <c r="F622" s="1" t="s">
        <v>186</v>
      </c>
      <c r="G622" s="1" t="s">
        <v>9</v>
      </c>
      <c r="H622" s="4">
        <v>26732</v>
      </c>
      <c r="I622" s="1">
        <f>249+4+1+2+12+2+12</f>
        <v>282</v>
      </c>
      <c r="K622" s="1" t="s">
        <v>2830</v>
      </c>
      <c r="M622" s="1" t="s">
        <v>2837</v>
      </c>
      <c r="N622" s="1" t="s">
        <v>2834</v>
      </c>
      <c r="O622" s="1" t="s">
        <v>2836</v>
      </c>
    </row>
    <row r="623" spans="1:15" ht="45" x14ac:dyDescent="0.25">
      <c r="A623" s="1" t="s">
        <v>2838</v>
      </c>
      <c r="B623" s="1" t="s">
        <v>2839</v>
      </c>
      <c r="C623" s="1" t="s">
        <v>412</v>
      </c>
      <c r="D623" s="1" t="s">
        <v>348</v>
      </c>
      <c r="E623" s="4" t="s">
        <v>1434</v>
      </c>
      <c r="F623" s="1" t="s">
        <v>186</v>
      </c>
      <c r="G623" s="1" t="s">
        <v>9</v>
      </c>
      <c r="H623" s="4">
        <v>26758</v>
      </c>
      <c r="I623" s="1">
        <f>158+3+2+5</f>
        <v>168</v>
      </c>
      <c r="K623" s="1" t="s">
        <v>2840</v>
      </c>
      <c r="M623" s="1" t="s">
        <v>2845</v>
      </c>
      <c r="O623" s="1" t="s">
        <v>1800</v>
      </c>
    </row>
    <row r="624" spans="1:15" ht="90" x14ac:dyDescent="0.25">
      <c r="A624" s="1" t="s">
        <v>2841</v>
      </c>
      <c r="B624" s="1" t="s">
        <v>83</v>
      </c>
      <c r="C624" s="1" t="s">
        <v>953</v>
      </c>
      <c r="D624" s="1" t="s">
        <v>348</v>
      </c>
      <c r="E624" s="4" t="s">
        <v>2630</v>
      </c>
      <c r="F624" s="1" t="s">
        <v>186</v>
      </c>
      <c r="G624" s="1" t="s">
        <v>9</v>
      </c>
      <c r="H624" s="4">
        <v>26742</v>
      </c>
      <c r="I624" s="1">
        <f>431+4+9+2+2+32+33+4+37+4+9</f>
        <v>567</v>
      </c>
      <c r="K624" s="1" t="s">
        <v>2843</v>
      </c>
      <c r="M624" s="1" t="s">
        <v>2847</v>
      </c>
      <c r="N624" s="1" t="s">
        <v>2848</v>
      </c>
      <c r="O624" s="1" t="s">
        <v>2846</v>
      </c>
    </row>
    <row r="625" spans="1:15" ht="60" x14ac:dyDescent="0.25">
      <c r="A625" s="1" t="s">
        <v>2842</v>
      </c>
      <c r="B625" s="1" t="s">
        <v>1459</v>
      </c>
      <c r="C625" s="1" t="s">
        <v>63</v>
      </c>
      <c r="D625" s="1" t="s">
        <v>553</v>
      </c>
      <c r="E625" s="4" t="s">
        <v>859</v>
      </c>
      <c r="F625" s="1" t="s">
        <v>186</v>
      </c>
      <c r="G625" s="1" t="s">
        <v>9</v>
      </c>
      <c r="H625" s="4">
        <v>26738</v>
      </c>
      <c r="I625" s="1">
        <f>186+9+5+1+6+4+19+4</f>
        <v>234</v>
      </c>
      <c r="K625" s="1" t="s">
        <v>2844</v>
      </c>
      <c r="M625" s="1" t="s">
        <v>2849</v>
      </c>
      <c r="O625" s="1" t="s">
        <v>2487</v>
      </c>
    </row>
    <row r="626" spans="1:15" ht="60" x14ac:dyDescent="0.25">
      <c r="A626" s="1" t="s">
        <v>2850</v>
      </c>
      <c r="B626" s="1" t="s">
        <v>148</v>
      </c>
      <c r="C626" s="1" t="s">
        <v>17</v>
      </c>
      <c r="D626" s="1" t="s">
        <v>553</v>
      </c>
      <c r="E626" s="4" t="s">
        <v>2851</v>
      </c>
      <c r="F626" s="1" t="s">
        <v>186</v>
      </c>
      <c r="G626" s="1" t="s">
        <v>9</v>
      </c>
      <c r="H626" s="4">
        <v>26735</v>
      </c>
      <c r="I626" s="1">
        <f>168+4+2+33+4+11</f>
        <v>222</v>
      </c>
      <c r="K626" s="1" t="s">
        <v>2852</v>
      </c>
      <c r="M626" s="1" t="s">
        <v>2858</v>
      </c>
      <c r="N626" s="1" t="s">
        <v>2856</v>
      </c>
      <c r="O626" s="1" t="s">
        <v>2857</v>
      </c>
    </row>
    <row r="627" spans="1:15" ht="135" x14ac:dyDescent="0.25">
      <c r="A627" s="1" t="s">
        <v>2853</v>
      </c>
      <c r="B627" s="1" t="s">
        <v>1459</v>
      </c>
      <c r="C627" s="1" t="s">
        <v>67</v>
      </c>
      <c r="D627" s="1" t="s">
        <v>210</v>
      </c>
      <c r="E627" s="4" t="s">
        <v>2063</v>
      </c>
      <c r="F627" s="1" t="s">
        <v>186</v>
      </c>
      <c r="G627" s="1" t="s">
        <v>20</v>
      </c>
      <c r="H627" s="4">
        <v>26711</v>
      </c>
      <c r="I627" s="1">
        <f>107+28+3+31+17+12+8+1+1+1+7+2+14+2+7+4+61+42+133</f>
        <v>481</v>
      </c>
      <c r="K627" s="1" t="s">
        <v>2854</v>
      </c>
      <c r="M627" s="1" t="s">
        <v>2860</v>
      </c>
      <c r="O627" s="1" t="s">
        <v>2859</v>
      </c>
    </row>
    <row r="628" spans="1:15" ht="75" x14ac:dyDescent="0.25">
      <c r="A628" s="1" t="s">
        <v>2861</v>
      </c>
      <c r="B628" s="1" t="s">
        <v>1547</v>
      </c>
      <c r="C628" s="1" t="s">
        <v>63</v>
      </c>
      <c r="D628" s="1" t="s">
        <v>553</v>
      </c>
      <c r="E628" s="4" t="s">
        <v>2862</v>
      </c>
      <c r="F628" s="1" t="s">
        <v>186</v>
      </c>
      <c r="G628" s="1" t="s">
        <v>9</v>
      </c>
      <c r="H628" s="4">
        <v>26739</v>
      </c>
      <c r="I628" s="1">
        <f>286+16+2+5+14+2+1+14+1+1</f>
        <v>342</v>
      </c>
      <c r="K628" s="1" t="s">
        <v>2863</v>
      </c>
      <c r="M628" s="1" t="s">
        <v>2868</v>
      </c>
      <c r="O628" s="1" t="s">
        <v>2867</v>
      </c>
    </row>
    <row r="629" spans="1:15" ht="60" x14ac:dyDescent="0.25">
      <c r="A629" s="1" t="s">
        <v>2864</v>
      </c>
      <c r="B629" s="1" t="s">
        <v>299</v>
      </c>
      <c r="C629" s="1" t="s">
        <v>123</v>
      </c>
      <c r="D629" s="1" t="s">
        <v>101</v>
      </c>
      <c r="E629" s="4" t="s">
        <v>2865</v>
      </c>
      <c r="F629" s="1" t="s">
        <v>186</v>
      </c>
      <c r="G629" s="1" t="s">
        <v>9</v>
      </c>
      <c r="H629" s="4">
        <v>26732</v>
      </c>
      <c r="I629" s="1">
        <f>460+18+3+11+2+1+28</f>
        <v>523</v>
      </c>
      <c r="K629" s="1" t="s">
        <v>2866</v>
      </c>
      <c r="M629" s="1" t="s">
        <v>3222</v>
      </c>
      <c r="O629" s="1" t="s">
        <v>1979</v>
      </c>
    </row>
    <row r="630" spans="1:15" ht="90" x14ac:dyDescent="0.25">
      <c r="A630" s="1" t="s">
        <v>2869</v>
      </c>
      <c r="B630" s="1" t="s">
        <v>636</v>
      </c>
      <c r="C630" s="1" t="s">
        <v>26</v>
      </c>
      <c r="D630" s="1" t="s">
        <v>101</v>
      </c>
      <c r="E630" s="4" t="s">
        <v>1721</v>
      </c>
      <c r="F630" s="1" t="s">
        <v>186</v>
      </c>
      <c r="G630" s="1" t="s">
        <v>9</v>
      </c>
      <c r="H630" s="4">
        <v>26745</v>
      </c>
      <c r="I630" s="1">
        <f>249+3+2+8+11</f>
        <v>273</v>
      </c>
      <c r="K630" s="1" t="s">
        <v>2870</v>
      </c>
      <c r="M630" s="1" t="s">
        <v>2880</v>
      </c>
      <c r="N630" s="1" t="s">
        <v>2879</v>
      </c>
    </row>
    <row r="631" spans="1:15" ht="30" x14ac:dyDescent="0.25">
      <c r="A631" s="1" t="s">
        <v>2871</v>
      </c>
      <c r="B631" s="1" t="s">
        <v>808</v>
      </c>
      <c r="D631" s="1" t="s">
        <v>726</v>
      </c>
      <c r="E631" s="4" t="s">
        <v>2574</v>
      </c>
      <c r="F631" s="1" t="s">
        <v>6</v>
      </c>
      <c r="G631" s="1" t="s">
        <v>222</v>
      </c>
      <c r="H631" s="4">
        <v>26711</v>
      </c>
      <c r="I631" s="1">
        <f>18+18+4</f>
        <v>40</v>
      </c>
      <c r="K631" s="1" t="s">
        <v>2876</v>
      </c>
      <c r="M631" s="1" t="s">
        <v>2209</v>
      </c>
    </row>
    <row r="632" spans="1:15" ht="75" x14ac:dyDescent="0.25">
      <c r="A632" s="1" t="s">
        <v>2872</v>
      </c>
      <c r="B632" s="1" t="s">
        <v>116</v>
      </c>
      <c r="C632" s="1" t="s">
        <v>412</v>
      </c>
      <c r="D632" s="1" t="s">
        <v>945</v>
      </c>
      <c r="E632" s="4" t="s">
        <v>2873</v>
      </c>
      <c r="F632" s="1" t="s">
        <v>6</v>
      </c>
      <c r="G632" s="1" t="s">
        <v>215</v>
      </c>
      <c r="I632" s="1">
        <f>159+21+4+2+80+56</f>
        <v>322</v>
      </c>
      <c r="K632" s="1" t="s">
        <v>2877</v>
      </c>
      <c r="M632" s="1" t="s">
        <v>2881</v>
      </c>
    </row>
    <row r="633" spans="1:15" ht="90" x14ac:dyDescent="0.25">
      <c r="A633" s="1" t="s">
        <v>2874</v>
      </c>
      <c r="B633" s="1" t="s">
        <v>397</v>
      </c>
      <c r="C633" s="1" t="s">
        <v>182</v>
      </c>
      <c r="D633" s="1" t="s">
        <v>101</v>
      </c>
      <c r="E633" s="4" t="s">
        <v>2875</v>
      </c>
      <c r="F633" s="1" t="s">
        <v>186</v>
      </c>
      <c r="G633" s="1" t="s">
        <v>9</v>
      </c>
      <c r="H633" s="4">
        <v>26730</v>
      </c>
      <c r="I633" s="1">
        <f>441+13+1+2+19+6+11+2+20+6</f>
        <v>521</v>
      </c>
      <c r="K633" s="1" t="s">
        <v>2884</v>
      </c>
      <c r="M633" s="1" t="s">
        <v>2883</v>
      </c>
      <c r="O633" s="1" t="s">
        <v>2882</v>
      </c>
    </row>
    <row r="634" spans="1:15" ht="45" x14ac:dyDescent="0.25">
      <c r="A634" s="1" t="s">
        <v>2885</v>
      </c>
      <c r="B634" s="1" t="s">
        <v>777</v>
      </c>
      <c r="C634" s="1" t="s">
        <v>103</v>
      </c>
      <c r="D634" s="1" t="s">
        <v>1751</v>
      </c>
      <c r="E634" s="4" t="s">
        <v>707</v>
      </c>
      <c r="F634" s="1" t="s">
        <v>6</v>
      </c>
      <c r="G634" s="1" t="s">
        <v>222</v>
      </c>
      <c r="H634" s="4">
        <v>26711</v>
      </c>
      <c r="I634" s="1">
        <f>28+4+9+1</f>
        <v>42</v>
      </c>
      <c r="K634" s="1" t="s">
        <v>2887</v>
      </c>
      <c r="M634" s="1" t="s">
        <v>2895</v>
      </c>
    </row>
    <row r="635" spans="1:15" ht="30" x14ac:dyDescent="0.25">
      <c r="A635" s="1" t="s">
        <v>2886</v>
      </c>
      <c r="B635" s="1" t="s">
        <v>2319</v>
      </c>
      <c r="C635" s="1" t="s">
        <v>53</v>
      </c>
      <c r="D635" s="1" t="s">
        <v>348</v>
      </c>
      <c r="E635" s="4" t="s">
        <v>793</v>
      </c>
      <c r="F635" s="1" t="s">
        <v>186</v>
      </c>
      <c r="G635" s="1" t="s">
        <v>9</v>
      </c>
      <c r="H635" s="4">
        <v>26757</v>
      </c>
      <c r="I635" s="1">
        <f>55+2+5+3</f>
        <v>65</v>
      </c>
      <c r="K635" s="1" t="s">
        <v>2892</v>
      </c>
      <c r="M635" s="1" t="s">
        <v>2896</v>
      </c>
      <c r="O635" s="1" t="s">
        <v>1800</v>
      </c>
    </row>
    <row r="636" spans="1:15" ht="45" x14ac:dyDescent="0.25">
      <c r="A636" s="1" t="s">
        <v>2888</v>
      </c>
      <c r="B636" s="1" t="s">
        <v>116</v>
      </c>
      <c r="C636" s="1" t="s">
        <v>53</v>
      </c>
      <c r="D636" s="1" t="s">
        <v>2690</v>
      </c>
      <c r="E636" s="4" t="s">
        <v>2889</v>
      </c>
      <c r="F636" s="1" t="s">
        <v>6</v>
      </c>
      <c r="G636" s="1" t="s">
        <v>215</v>
      </c>
      <c r="H636" s="4">
        <v>26743</v>
      </c>
      <c r="I636" s="1">
        <f>108+7+38+3+118</f>
        <v>274</v>
      </c>
      <c r="K636" s="1" t="s">
        <v>2893</v>
      </c>
      <c r="M636" s="1" t="s">
        <v>2900</v>
      </c>
      <c r="N636" s="1" t="s">
        <v>2897</v>
      </c>
      <c r="O636" s="1" t="s">
        <v>2898</v>
      </c>
    </row>
    <row r="637" spans="1:15" s="17" customFormat="1" ht="45" x14ac:dyDescent="0.25">
      <c r="A637" s="17" t="s">
        <v>2890</v>
      </c>
      <c r="B637" s="17" t="s">
        <v>434</v>
      </c>
      <c r="C637" s="17" t="s">
        <v>67</v>
      </c>
      <c r="D637" s="17" t="s">
        <v>390</v>
      </c>
      <c r="E637" s="18" t="s">
        <v>2891</v>
      </c>
      <c r="F637" s="17" t="s">
        <v>6</v>
      </c>
      <c r="G637" s="17" t="s">
        <v>222</v>
      </c>
      <c r="H637" s="18">
        <v>25512</v>
      </c>
      <c r="I637" s="17">
        <f>(96+63)+9+90</f>
        <v>258</v>
      </c>
      <c r="K637" s="17" t="s">
        <v>2894</v>
      </c>
      <c r="M637" s="17" t="s">
        <v>2899</v>
      </c>
    </row>
    <row r="638" spans="1:15" ht="93.75" customHeight="1" x14ac:dyDescent="0.25">
      <c r="A638" s="1" t="s">
        <v>2911</v>
      </c>
      <c r="B638" s="1" t="s">
        <v>541</v>
      </c>
      <c r="C638" s="1" t="s">
        <v>58</v>
      </c>
      <c r="D638" s="1" t="s">
        <v>101</v>
      </c>
      <c r="E638" s="4" t="s">
        <v>2663</v>
      </c>
      <c r="F638" s="1" t="s">
        <v>186</v>
      </c>
      <c r="G638" s="1" t="s">
        <v>9</v>
      </c>
      <c r="H638" s="4">
        <v>26736</v>
      </c>
      <c r="I638" s="1">
        <f>281+2+18+1+1+1+25+8+2+26+15+1</f>
        <v>381</v>
      </c>
      <c r="K638" s="1" t="s">
        <v>2912</v>
      </c>
      <c r="M638" s="1" t="s">
        <v>2913</v>
      </c>
      <c r="O638" s="1" t="s">
        <v>2345</v>
      </c>
    </row>
    <row r="639" spans="1:15" ht="60" x14ac:dyDescent="0.25">
      <c r="A639" s="1" t="s">
        <v>2915</v>
      </c>
      <c r="B639" s="1" t="s">
        <v>808</v>
      </c>
      <c r="C639" s="1" t="s">
        <v>113</v>
      </c>
      <c r="D639" s="1" t="s">
        <v>348</v>
      </c>
      <c r="E639" s="4" t="s">
        <v>1391</v>
      </c>
      <c r="F639" s="1" t="s">
        <v>186</v>
      </c>
      <c r="G639" s="1" t="s">
        <v>9</v>
      </c>
      <c r="H639" s="4">
        <v>26752</v>
      </c>
      <c r="I639" s="1">
        <f>135+4+2+5+3+4+13+5+6</f>
        <v>177</v>
      </c>
      <c r="K639" s="1" t="s">
        <v>2916</v>
      </c>
      <c r="M639" s="1" t="s">
        <v>2920</v>
      </c>
      <c r="N639" s="1" t="s">
        <v>2919</v>
      </c>
      <c r="O639" s="1" t="s">
        <v>1861</v>
      </c>
    </row>
    <row r="640" spans="1:15" ht="75" x14ac:dyDescent="0.25">
      <c r="A640" s="1" t="s">
        <v>2915</v>
      </c>
      <c r="B640" s="1" t="s">
        <v>457</v>
      </c>
      <c r="C640" s="1" t="s">
        <v>32</v>
      </c>
      <c r="D640" s="1" t="s">
        <v>101</v>
      </c>
      <c r="E640" s="4" t="s">
        <v>2918</v>
      </c>
      <c r="F640" s="1" t="s">
        <v>186</v>
      </c>
      <c r="G640" s="1" t="s">
        <v>9</v>
      </c>
      <c r="H640" s="4">
        <v>26735</v>
      </c>
      <c r="I640" s="1">
        <f>263+10+2+1+1+10+7+20+2+12</f>
        <v>328</v>
      </c>
      <c r="K640" s="1" t="s">
        <v>2921</v>
      </c>
      <c r="M640" s="1" t="s">
        <v>2925</v>
      </c>
      <c r="O640" s="1" t="s">
        <v>2924</v>
      </c>
    </row>
    <row r="641" spans="1:15" ht="75" x14ac:dyDescent="0.25">
      <c r="A641" s="1" t="s">
        <v>204</v>
      </c>
      <c r="B641" s="1" t="s">
        <v>77</v>
      </c>
      <c r="C641" s="1" t="s">
        <v>53</v>
      </c>
      <c r="D641" s="1" t="s">
        <v>101</v>
      </c>
      <c r="E641" s="4" t="s">
        <v>586</v>
      </c>
      <c r="F641" s="1" t="s">
        <v>186</v>
      </c>
      <c r="G641" s="1" t="s">
        <v>9</v>
      </c>
      <c r="H641" s="4">
        <v>26731</v>
      </c>
      <c r="I641" s="1">
        <f>151+3+2+2+1+18+2+14</f>
        <v>193</v>
      </c>
      <c r="K641" s="1" t="s">
        <v>2922</v>
      </c>
      <c r="M641" s="1" t="s">
        <v>2926</v>
      </c>
      <c r="O641" s="1" t="s">
        <v>2615</v>
      </c>
    </row>
    <row r="642" spans="1:15" ht="75" x14ac:dyDescent="0.25">
      <c r="A642" s="1" t="s">
        <v>2917</v>
      </c>
      <c r="B642" s="1" t="s">
        <v>226</v>
      </c>
      <c r="C642" s="1" t="s">
        <v>113</v>
      </c>
      <c r="D642" s="1" t="s">
        <v>703</v>
      </c>
      <c r="E642" s="4" t="s">
        <v>1181</v>
      </c>
      <c r="F642" s="1" t="s">
        <v>781</v>
      </c>
      <c r="G642" s="1" t="s">
        <v>20</v>
      </c>
      <c r="I642" s="1">
        <f>28+6+4+23+40+9+15+206</f>
        <v>331</v>
      </c>
      <c r="K642" s="1" t="s">
        <v>2923</v>
      </c>
      <c r="M642" s="1" t="s">
        <v>2928</v>
      </c>
      <c r="N642" s="1" t="s">
        <v>2927</v>
      </c>
      <c r="O642" s="1" t="s">
        <v>2934</v>
      </c>
    </row>
    <row r="643" spans="1:15" ht="90" x14ac:dyDescent="0.25">
      <c r="A643" s="1" t="s">
        <v>2929</v>
      </c>
      <c r="B643" s="1" t="s">
        <v>100</v>
      </c>
      <c r="C643" s="1" t="s">
        <v>244</v>
      </c>
      <c r="D643" s="1" t="s">
        <v>1751</v>
      </c>
      <c r="E643" s="4" t="s">
        <v>2930</v>
      </c>
      <c r="F643" s="1" t="s">
        <v>6</v>
      </c>
      <c r="G643" s="1" t="s">
        <v>222</v>
      </c>
      <c r="H643" s="4">
        <v>26760</v>
      </c>
      <c r="I643" s="1">
        <f>16+9+9+2+3+2+5+3+3+4+14</f>
        <v>70</v>
      </c>
      <c r="K643" s="1" t="s">
        <v>2931</v>
      </c>
      <c r="M643" s="1" t="s">
        <v>3223</v>
      </c>
      <c r="N643" s="1" t="s">
        <v>2935</v>
      </c>
    </row>
    <row r="644" spans="1:15" ht="75" x14ac:dyDescent="0.25">
      <c r="A644" s="1" t="s">
        <v>2936</v>
      </c>
      <c r="B644" s="1" t="s">
        <v>100</v>
      </c>
      <c r="C644" s="1" t="s">
        <v>72</v>
      </c>
      <c r="D644" s="1" t="s">
        <v>703</v>
      </c>
      <c r="E644" s="4" t="s">
        <v>2937</v>
      </c>
      <c r="F644" s="1" t="s">
        <v>6</v>
      </c>
      <c r="G644" s="1" t="s">
        <v>20</v>
      </c>
      <c r="I644" s="1">
        <f>18+4+25+21+5+26+127</f>
        <v>226</v>
      </c>
      <c r="K644" s="1" t="s">
        <v>2932</v>
      </c>
      <c r="M644" s="1" t="s">
        <v>2939</v>
      </c>
      <c r="O644" s="1" t="s">
        <v>2938</v>
      </c>
    </row>
    <row r="645" spans="1:15" ht="105" x14ac:dyDescent="0.25">
      <c r="A645" s="1" t="s">
        <v>2940</v>
      </c>
      <c r="B645" s="1" t="s">
        <v>733</v>
      </c>
      <c r="C645" s="1" t="s">
        <v>244</v>
      </c>
      <c r="D645" s="1" t="s">
        <v>314</v>
      </c>
      <c r="E645" s="4" t="s">
        <v>1248</v>
      </c>
      <c r="F645" s="1" t="s">
        <v>781</v>
      </c>
      <c r="G645" s="1" t="s">
        <v>20</v>
      </c>
      <c r="I645" s="1">
        <f>34+4+1+13+1+2+42+1+117</f>
        <v>215</v>
      </c>
      <c r="K645" s="1" t="s">
        <v>2933</v>
      </c>
      <c r="M645" s="1" t="s">
        <v>3224</v>
      </c>
      <c r="O645" s="1" t="s">
        <v>1594</v>
      </c>
    </row>
    <row r="646" spans="1:15" ht="315" x14ac:dyDescent="0.25">
      <c r="A646" s="1" t="s">
        <v>2959</v>
      </c>
      <c r="B646" s="1" t="s">
        <v>1003</v>
      </c>
      <c r="C646" s="1" t="s">
        <v>72</v>
      </c>
      <c r="D646" s="1" t="s">
        <v>567</v>
      </c>
      <c r="E646" s="4" t="s">
        <v>2960</v>
      </c>
      <c r="F646" s="17" t="s">
        <v>386</v>
      </c>
      <c r="G646" s="1" t="s">
        <v>20</v>
      </c>
      <c r="I646" s="1">
        <f>162+3+4+21+13+3+21+16+15+13+2+21+66+6+46+31+32+42+6+4+10+28+54+14+30+6+34+17+20+38+1+19+22</f>
        <v>820</v>
      </c>
      <c r="K646" s="1" t="s">
        <v>2961</v>
      </c>
      <c r="M646" s="1" t="s">
        <v>3225</v>
      </c>
      <c r="N646" s="1" t="s">
        <v>2962</v>
      </c>
    </row>
    <row r="647" spans="1:15" ht="120" x14ac:dyDescent="0.25">
      <c r="A647" s="10" t="s">
        <v>2959</v>
      </c>
      <c r="B647" s="1" t="s">
        <v>1003</v>
      </c>
      <c r="C647" s="1" t="s">
        <v>72</v>
      </c>
      <c r="D647" s="1" t="s">
        <v>567</v>
      </c>
      <c r="E647" s="4" t="s">
        <v>2960</v>
      </c>
      <c r="F647" s="17" t="s">
        <v>386</v>
      </c>
      <c r="G647" s="1" t="s">
        <v>20</v>
      </c>
      <c r="I647" s="1">
        <f>53+24+50+19+6+57+63+64+414+26+53+343</f>
        <v>1172</v>
      </c>
      <c r="K647" s="1" t="s">
        <v>2964</v>
      </c>
      <c r="M647" s="1" t="s">
        <v>2963</v>
      </c>
    </row>
    <row r="648" spans="1:15" ht="30" x14ac:dyDescent="0.25">
      <c r="A648" s="11" t="s">
        <v>259</v>
      </c>
      <c r="B648" s="1" t="s">
        <v>116</v>
      </c>
      <c r="C648" s="1" t="s">
        <v>63</v>
      </c>
      <c r="D648" s="1" t="s">
        <v>101</v>
      </c>
      <c r="E648" s="4" t="s">
        <v>2968</v>
      </c>
      <c r="F648" s="1" t="s">
        <v>186</v>
      </c>
      <c r="G648" s="1" t="s">
        <v>9</v>
      </c>
      <c r="H648" s="4">
        <v>26758</v>
      </c>
      <c r="I648" s="1">
        <f>237+10+2+10</f>
        <v>259</v>
      </c>
      <c r="K648" s="1" t="s">
        <v>2969</v>
      </c>
      <c r="M648" s="1" t="s">
        <v>2973</v>
      </c>
      <c r="N648" s="1" t="s">
        <v>2972</v>
      </c>
      <c r="O648" s="1" t="s">
        <v>1594</v>
      </c>
    </row>
    <row r="649" spans="1:15" ht="60" x14ac:dyDescent="0.25">
      <c r="A649" s="1" t="s">
        <v>259</v>
      </c>
      <c r="B649" s="1" t="s">
        <v>71</v>
      </c>
      <c r="C649" s="1" t="s">
        <v>524</v>
      </c>
      <c r="D649" s="1" t="s">
        <v>703</v>
      </c>
      <c r="E649" s="4" t="s">
        <v>852</v>
      </c>
      <c r="F649" s="1" t="s">
        <v>781</v>
      </c>
      <c r="G649" s="1" t="s">
        <v>20</v>
      </c>
      <c r="I649" s="1">
        <f>60+4+75+12+114</f>
        <v>265</v>
      </c>
      <c r="K649" s="1" t="s">
        <v>2970</v>
      </c>
      <c r="M649" s="1" t="s">
        <v>2736</v>
      </c>
      <c r="N649" s="1" t="s">
        <v>2974</v>
      </c>
      <c r="O649" s="1" t="s">
        <v>2976</v>
      </c>
    </row>
    <row r="650" spans="1:15" x14ac:dyDescent="0.25">
      <c r="A650" s="1" t="s">
        <v>2965</v>
      </c>
      <c r="B650" s="1" t="s">
        <v>1680</v>
      </c>
      <c r="C650" s="1" t="s">
        <v>67</v>
      </c>
      <c r="D650" s="1" t="s">
        <v>245</v>
      </c>
      <c r="E650" s="4" t="s">
        <v>724</v>
      </c>
      <c r="F650" s="1" t="s">
        <v>6</v>
      </c>
      <c r="G650" s="1" t="s">
        <v>222</v>
      </c>
      <c r="H650" s="4">
        <v>25216</v>
      </c>
      <c r="I650" s="1">
        <f>37+47</f>
        <v>84</v>
      </c>
      <c r="K650" s="1" t="s">
        <v>2971</v>
      </c>
      <c r="M650" s="1" t="s">
        <v>2977</v>
      </c>
    </row>
    <row r="651" spans="1:15" ht="75" x14ac:dyDescent="0.25">
      <c r="A651" s="1" t="s">
        <v>1617</v>
      </c>
      <c r="B651" s="1" t="s">
        <v>885</v>
      </c>
      <c r="C651" s="1" t="s">
        <v>53</v>
      </c>
      <c r="D651" s="1" t="s">
        <v>101</v>
      </c>
      <c r="E651" s="4" t="s">
        <v>734</v>
      </c>
      <c r="F651" s="1" t="s">
        <v>186</v>
      </c>
      <c r="G651" s="1" t="s">
        <v>9</v>
      </c>
      <c r="H651" s="4">
        <v>26737</v>
      </c>
      <c r="I651" s="1">
        <f>331+3+1+2+19+3+18+4</f>
        <v>381</v>
      </c>
      <c r="K651" s="1" t="s">
        <v>2999</v>
      </c>
      <c r="M651" s="1" t="s">
        <v>3005</v>
      </c>
      <c r="N651" s="1" t="s">
        <v>3006</v>
      </c>
      <c r="O651" s="1" t="s">
        <v>2487</v>
      </c>
    </row>
    <row r="652" spans="1:15" ht="90" x14ac:dyDescent="0.25">
      <c r="A652" s="1" t="s">
        <v>1617</v>
      </c>
      <c r="B652" s="1" t="s">
        <v>2966</v>
      </c>
      <c r="C652" s="1" t="s">
        <v>103</v>
      </c>
      <c r="D652" s="1" t="s">
        <v>101</v>
      </c>
      <c r="E652" s="4" t="s">
        <v>218</v>
      </c>
      <c r="F652" s="1" t="s">
        <v>186</v>
      </c>
      <c r="G652" s="1" t="s">
        <v>9</v>
      </c>
      <c r="H652" s="4">
        <v>26757</v>
      </c>
      <c r="I652" s="1">
        <f>129+2+3+9+8+6</f>
        <v>157</v>
      </c>
      <c r="K652" s="1" t="s">
        <v>3002</v>
      </c>
      <c r="M652" s="1" t="s">
        <v>3007</v>
      </c>
      <c r="N652" s="1" t="s">
        <v>3008</v>
      </c>
      <c r="O652" s="1" t="s">
        <v>2345</v>
      </c>
    </row>
    <row r="653" spans="1:15" s="17" customFormat="1" x14ac:dyDescent="0.25">
      <c r="A653" s="17" t="s">
        <v>1617</v>
      </c>
      <c r="B653" s="17" t="s">
        <v>369</v>
      </c>
      <c r="C653" s="17" t="s">
        <v>63</v>
      </c>
      <c r="E653" s="18" t="s">
        <v>516</v>
      </c>
      <c r="F653" s="17" t="s">
        <v>386</v>
      </c>
      <c r="H653" s="18"/>
      <c r="K653" s="17" t="s">
        <v>3003</v>
      </c>
      <c r="M653" s="17" t="s">
        <v>3001</v>
      </c>
    </row>
    <row r="654" spans="1:15" ht="105" x14ac:dyDescent="0.25">
      <c r="A654" s="1" t="s">
        <v>2967</v>
      </c>
      <c r="B654" s="1" t="s">
        <v>226</v>
      </c>
      <c r="C654" s="1" t="s">
        <v>63</v>
      </c>
      <c r="D654" s="1" t="s">
        <v>366</v>
      </c>
      <c r="E654" s="4" t="s">
        <v>3000</v>
      </c>
      <c r="F654" s="1" t="s">
        <v>186</v>
      </c>
      <c r="G654" s="1" t="s">
        <v>9</v>
      </c>
      <c r="H654" s="4">
        <v>26744</v>
      </c>
      <c r="I654" s="1">
        <f>247+4+2+1+2+1+2+1+1+1+1+1+6+1+25+4</f>
        <v>300</v>
      </c>
      <c r="K654" s="1" t="s">
        <v>3004</v>
      </c>
      <c r="M654" s="1" t="s">
        <v>3012</v>
      </c>
      <c r="O654" s="1" t="s">
        <v>1716</v>
      </c>
    </row>
    <row r="655" spans="1:15" ht="30" x14ac:dyDescent="0.25">
      <c r="A655" s="1" t="s">
        <v>3041</v>
      </c>
      <c r="B655" s="1" t="s">
        <v>3042</v>
      </c>
      <c r="C655" s="1" t="s">
        <v>463</v>
      </c>
      <c r="D655" s="1" t="s">
        <v>726</v>
      </c>
      <c r="E655" s="4" t="s">
        <v>3043</v>
      </c>
      <c r="F655" s="1" t="s">
        <v>6</v>
      </c>
      <c r="G655" s="1" t="s">
        <v>222</v>
      </c>
      <c r="H655" s="4">
        <v>24537</v>
      </c>
      <c r="I655" s="1">
        <f>165+7+3</f>
        <v>175</v>
      </c>
      <c r="K655" s="1" t="s">
        <v>3044</v>
      </c>
      <c r="M655" s="1" t="s">
        <v>3057</v>
      </c>
    </row>
    <row r="656" spans="1:15" ht="45" x14ac:dyDescent="0.25">
      <c r="A656" s="1" t="s">
        <v>3045</v>
      </c>
      <c r="B656" s="1" t="s">
        <v>2319</v>
      </c>
      <c r="C656" s="1" t="s">
        <v>17</v>
      </c>
      <c r="D656" s="1" t="s">
        <v>567</v>
      </c>
      <c r="E656" s="4" t="s">
        <v>3046</v>
      </c>
      <c r="F656" s="1" t="s">
        <v>6</v>
      </c>
      <c r="G656" s="1" t="s">
        <v>20</v>
      </c>
      <c r="I656" s="1">
        <f>21+24+3+26+1</f>
        <v>75</v>
      </c>
      <c r="K656" s="1" t="s">
        <v>3053</v>
      </c>
      <c r="M656" s="1" t="s">
        <v>3060</v>
      </c>
      <c r="O656" s="1" t="s">
        <v>3058</v>
      </c>
    </row>
    <row r="657" spans="1:15" ht="60" x14ac:dyDescent="0.25">
      <c r="A657" s="1" t="s">
        <v>3045</v>
      </c>
      <c r="B657" s="1" t="s">
        <v>100</v>
      </c>
      <c r="C657" s="1" t="s">
        <v>17</v>
      </c>
      <c r="D657" s="1" t="s">
        <v>314</v>
      </c>
      <c r="E657" s="4" t="s">
        <v>3047</v>
      </c>
      <c r="F657" s="1" t="s">
        <v>781</v>
      </c>
      <c r="G657" s="1" t="s">
        <v>20</v>
      </c>
      <c r="I657" s="1">
        <f>85+2+43+21+189</f>
        <v>340</v>
      </c>
      <c r="K657" s="1" t="s">
        <v>3054</v>
      </c>
      <c r="M657" s="1" t="s">
        <v>2736</v>
      </c>
      <c r="O657" s="1" t="s">
        <v>3059</v>
      </c>
    </row>
    <row r="658" spans="1:15" ht="30" x14ac:dyDescent="0.25">
      <c r="A658" s="1" t="s">
        <v>3048</v>
      </c>
      <c r="B658" s="1" t="s">
        <v>3049</v>
      </c>
      <c r="D658" s="1" t="s">
        <v>227</v>
      </c>
      <c r="E658" s="4" t="s">
        <v>3050</v>
      </c>
      <c r="F658" s="1" t="s">
        <v>6</v>
      </c>
      <c r="G658" s="1" t="s">
        <v>222</v>
      </c>
      <c r="H658" s="4">
        <v>25120</v>
      </c>
      <c r="I658" s="1">
        <f>23+1+12</f>
        <v>36</v>
      </c>
      <c r="K658" s="1" t="s">
        <v>3055</v>
      </c>
      <c r="M658" s="1" t="s">
        <v>3061</v>
      </c>
    </row>
    <row r="659" spans="1:15" ht="60" x14ac:dyDescent="0.25">
      <c r="A659" s="1" t="s">
        <v>3051</v>
      </c>
      <c r="B659" s="1" t="s">
        <v>150</v>
      </c>
      <c r="C659" s="1" t="s">
        <v>17</v>
      </c>
      <c r="D659" s="1" t="s">
        <v>101</v>
      </c>
      <c r="E659" s="4" t="s">
        <v>3052</v>
      </c>
      <c r="F659" s="1" t="s">
        <v>186</v>
      </c>
      <c r="G659" s="1" t="s">
        <v>9</v>
      </c>
      <c r="H659" s="4">
        <v>26744</v>
      </c>
      <c r="I659" s="1">
        <f>232+20+2+3+11+8+25+1</f>
        <v>302</v>
      </c>
      <c r="K659" s="1" t="s">
        <v>3056</v>
      </c>
      <c r="M659" s="1" t="s">
        <v>3226</v>
      </c>
      <c r="N659" s="1" t="s">
        <v>3062</v>
      </c>
      <c r="O659" s="1" t="s">
        <v>3063</v>
      </c>
    </row>
    <row r="660" spans="1:15" ht="30" x14ac:dyDescent="0.25">
      <c r="A660" s="1" t="s">
        <v>3072</v>
      </c>
      <c r="B660" s="1" t="s">
        <v>959</v>
      </c>
      <c r="C660" s="1" t="s">
        <v>67</v>
      </c>
      <c r="D660" s="1" t="s">
        <v>101</v>
      </c>
      <c r="E660" s="4" t="s">
        <v>630</v>
      </c>
      <c r="F660" s="1" t="s">
        <v>186</v>
      </c>
      <c r="G660" s="1" t="s">
        <v>9</v>
      </c>
      <c r="H660" s="4">
        <v>26757</v>
      </c>
      <c r="I660" s="1">
        <f>183+3+3+3+3</f>
        <v>195</v>
      </c>
      <c r="K660" s="1" t="s">
        <v>3073</v>
      </c>
      <c r="M660" s="1" t="s">
        <v>2725</v>
      </c>
      <c r="N660" s="1" t="s">
        <v>3081</v>
      </c>
      <c r="O660" s="1" t="s">
        <v>1800</v>
      </c>
    </row>
    <row r="661" spans="1:15" ht="30" x14ac:dyDescent="0.25">
      <c r="A661" s="1" t="s">
        <v>3074</v>
      </c>
      <c r="B661" s="1" t="s">
        <v>77</v>
      </c>
      <c r="C661" s="1" t="s">
        <v>53</v>
      </c>
      <c r="D661" s="1" t="s">
        <v>588</v>
      </c>
      <c r="E661" s="4" t="s">
        <v>516</v>
      </c>
      <c r="F661" s="1" t="s">
        <v>186</v>
      </c>
      <c r="G661" s="1" t="s">
        <v>9</v>
      </c>
      <c r="H661" s="4">
        <v>26759</v>
      </c>
      <c r="I661" s="1">
        <f>52+3+2+3+2+3</f>
        <v>65</v>
      </c>
      <c r="K661" s="1" t="s">
        <v>3075</v>
      </c>
      <c r="M661" s="1" t="s">
        <v>3227</v>
      </c>
      <c r="N661" s="1" t="s">
        <v>3082</v>
      </c>
      <c r="O661" s="1" t="s">
        <v>1800</v>
      </c>
    </row>
    <row r="662" spans="1:15" ht="75" x14ac:dyDescent="0.25">
      <c r="A662" s="1" t="s">
        <v>3076</v>
      </c>
      <c r="B662" s="1" t="s">
        <v>1822</v>
      </c>
      <c r="C662" s="1" t="s">
        <v>72</v>
      </c>
      <c r="D662" s="1" t="s">
        <v>270</v>
      </c>
      <c r="E662" s="4" t="s">
        <v>2417</v>
      </c>
      <c r="F662" s="1" t="s">
        <v>6</v>
      </c>
      <c r="G662" s="1" t="s">
        <v>222</v>
      </c>
      <c r="H662" s="4">
        <v>26732</v>
      </c>
      <c r="I662" s="1">
        <f>26+4+37+1</f>
        <v>68</v>
      </c>
      <c r="K662" s="1" t="s">
        <v>3077</v>
      </c>
      <c r="M662" s="1" t="s">
        <v>3084</v>
      </c>
      <c r="N662" s="1" t="s">
        <v>3083</v>
      </c>
      <c r="O662" s="1" t="s">
        <v>1672</v>
      </c>
    </row>
    <row r="663" spans="1:15" ht="45" x14ac:dyDescent="0.25">
      <c r="A663" s="1" t="s">
        <v>3078</v>
      </c>
      <c r="B663" s="1" t="s">
        <v>3079</v>
      </c>
      <c r="C663" s="1" t="s">
        <v>137</v>
      </c>
      <c r="D663" s="1" t="s">
        <v>101</v>
      </c>
      <c r="E663" s="4" t="s">
        <v>1939</v>
      </c>
      <c r="F663" s="1" t="s">
        <v>186</v>
      </c>
      <c r="G663" s="1" t="s">
        <v>9</v>
      </c>
      <c r="H663" s="4">
        <v>26757</v>
      </c>
      <c r="I663" s="1">
        <f>176+4+3+1+2+8+10</f>
        <v>204</v>
      </c>
      <c r="K663" s="1" t="s">
        <v>3080</v>
      </c>
      <c r="M663" s="1" t="s">
        <v>3086</v>
      </c>
      <c r="N663" s="1" t="s">
        <v>3085</v>
      </c>
      <c r="O663" s="1" t="s">
        <v>1800</v>
      </c>
    </row>
    <row r="664" spans="1:15" ht="120" x14ac:dyDescent="0.25">
      <c r="A664" s="1" t="s">
        <v>3087</v>
      </c>
      <c r="B664" s="1" t="s">
        <v>163</v>
      </c>
      <c r="C664" s="1" t="s">
        <v>412</v>
      </c>
      <c r="D664" s="1" t="s">
        <v>703</v>
      </c>
      <c r="E664" s="4" t="s">
        <v>3088</v>
      </c>
      <c r="F664" s="1" t="s">
        <v>3094</v>
      </c>
      <c r="G664" s="1" t="s">
        <v>20</v>
      </c>
      <c r="H664" s="4">
        <v>26742</v>
      </c>
      <c r="I664" s="1">
        <f>147+105+26+1+1+2+43+2+1+17+2+288</f>
        <v>635</v>
      </c>
      <c r="K664" s="1" t="s">
        <v>3089</v>
      </c>
      <c r="M664" s="1" t="s">
        <v>3228</v>
      </c>
      <c r="O664" s="1" t="s">
        <v>3093</v>
      </c>
    </row>
    <row r="665" spans="1:15" ht="45" x14ac:dyDescent="0.25">
      <c r="A665" s="1" t="s">
        <v>3090</v>
      </c>
      <c r="B665" s="1" t="s">
        <v>3091</v>
      </c>
      <c r="C665" s="1" t="s">
        <v>53</v>
      </c>
      <c r="D665" s="1" t="s">
        <v>201</v>
      </c>
      <c r="E665" s="4" t="s">
        <v>724</v>
      </c>
      <c r="F665" s="1" t="s">
        <v>6</v>
      </c>
      <c r="G665" s="1" t="s">
        <v>222</v>
      </c>
      <c r="H665" s="4">
        <v>25193</v>
      </c>
      <c r="I665" s="1">
        <f>48+32</f>
        <v>80</v>
      </c>
      <c r="K665" s="1" t="s">
        <v>3092</v>
      </c>
      <c r="M665" s="1" t="s">
        <v>879</v>
      </c>
      <c r="N665" s="1" t="s">
        <v>3095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E28" sqref="E28"/>
    </sheetView>
  </sheetViews>
  <sheetFormatPr defaultRowHeight="14.25" x14ac:dyDescent="0.2"/>
  <cols>
    <col min="1" max="1" width="12" style="13" customWidth="1"/>
    <col min="2" max="16384" width="9.140625" style="13"/>
  </cols>
  <sheetData>
    <row r="1" spans="1:2" ht="15" x14ac:dyDescent="0.25">
      <c r="A1" s="12" t="s">
        <v>493</v>
      </c>
    </row>
    <row r="2" spans="1:2" x14ac:dyDescent="0.2">
      <c r="A2" s="13" t="s">
        <v>494</v>
      </c>
      <c r="B2" s="13" t="s">
        <v>495</v>
      </c>
    </row>
    <row r="3" spans="1:2" x14ac:dyDescent="0.2">
      <c r="A3" s="13" t="s">
        <v>222</v>
      </c>
      <c r="B3" s="13">
        <v>19</v>
      </c>
    </row>
    <row r="4" spans="1:2" x14ac:dyDescent="0.2">
      <c r="A4" s="13" t="s">
        <v>20</v>
      </c>
      <c r="B4" s="13">
        <v>2</v>
      </c>
    </row>
    <row r="5" spans="1:2" x14ac:dyDescent="0.2">
      <c r="A5" s="13" t="s">
        <v>9</v>
      </c>
      <c r="B5" s="13">
        <v>1</v>
      </c>
    </row>
    <row r="6" spans="1:2" x14ac:dyDescent="0.2">
      <c r="A6" s="13" t="s">
        <v>215</v>
      </c>
      <c r="B6" s="13">
        <v>10</v>
      </c>
    </row>
    <row r="7" spans="1:2" x14ac:dyDescent="0.2">
      <c r="A7" s="13" t="s">
        <v>496</v>
      </c>
      <c r="B7" s="13">
        <v>5</v>
      </c>
    </row>
    <row r="8" spans="1:2" x14ac:dyDescent="0.2">
      <c r="A8" s="14" t="s">
        <v>498</v>
      </c>
      <c r="B8" s="14">
        <f>SUM(B3:B7)</f>
        <v>37</v>
      </c>
    </row>
    <row r="10" spans="1:2" ht="15" x14ac:dyDescent="0.25">
      <c r="A10" s="12" t="s">
        <v>497</v>
      </c>
    </row>
    <row r="11" spans="1:2" x14ac:dyDescent="0.2">
      <c r="A11" s="13" t="s">
        <v>494</v>
      </c>
      <c r="B11" s="13" t="s">
        <v>495</v>
      </c>
    </row>
    <row r="12" spans="1:2" x14ac:dyDescent="0.2">
      <c r="A12" s="13" t="s">
        <v>222</v>
      </c>
      <c r="B12" s="13">
        <f>9+3+9+7+6+13+7+9+9+7+14+6+9+7+6</f>
        <v>121</v>
      </c>
    </row>
    <row r="13" spans="1:2" x14ac:dyDescent="0.2">
      <c r="A13" s="13" t="s">
        <v>20</v>
      </c>
      <c r="B13" s="13">
        <f>8+6+11+11+13+9+9+7+14+11+11+12+11+8+8</f>
        <v>149</v>
      </c>
    </row>
    <row r="14" spans="1:2" x14ac:dyDescent="0.2">
      <c r="A14" s="13" t="s">
        <v>9</v>
      </c>
      <c r="B14" s="13">
        <f>24+32+25+21+25+23+25+27+16+20+15+23+21+25+10</f>
        <v>332</v>
      </c>
    </row>
    <row r="15" spans="1:2" x14ac:dyDescent="0.2">
      <c r="A15" s="13" t="s">
        <v>215</v>
      </c>
      <c r="B15" s="13">
        <f>4+3+2+4+1+1+1+1+2+1+1+1+2+4+0</f>
        <v>28</v>
      </c>
    </row>
    <row r="16" spans="1:2" x14ac:dyDescent="0.2">
      <c r="A16" s="13" t="s">
        <v>496</v>
      </c>
      <c r="B16" s="13">
        <f>2+3+0+4+2+1+5+3+6+8+6+5+4+3+2</f>
        <v>54</v>
      </c>
    </row>
    <row r="17" spans="1:2" x14ac:dyDescent="0.2">
      <c r="A17" s="14" t="s">
        <v>498</v>
      </c>
      <c r="B17" s="14">
        <f>SUM(B12:B16)</f>
        <v>684</v>
      </c>
    </row>
    <row r="19" spans="1:2" ht="15" x14ac:dyDescent="0.25">
      <c r="A19" s="12" t="s">
        <v>500</v>
      </c>
    </row>
    <row r="20" spans="1:2" x14ac:dyDescent="0.2">
      <c r="A20" s="13" t="s">
        <v>494</v>
      </c>
      <c r="B20" s="13" t="s">
        <v>495</v>
      </c>
    </row>
    <row r="21" spans="1:2" x14ac:dyDescent="0.2">
      <c r="A21" s="13" t="s">
        <v>222</v>
      </c>
      <c r="B21" s="13">
        <f>19+121</f>
        <v>140</v>
      </c>
    </row>
    <row r="22" spans="1:2" x14ac:dyDescent="0.2">
      <c r="A22" s="13" t="s">
        <v>20</v>
      </c>
      <c r="B22" s="13">
        <f>2+149</f>
        <v>151</v>
      </c>
    </row>
    <row r="23" spans="1:2" x14ac:dyDescent="0.2">
      <c r="A23" s="13" t="s">
        <v>9</v>
      </c>
      <c r="B23" s="13">
        <f>1+332</f>
        <v>333</v>
      </c>
    </row>
    <row r="24" spans="1:2" x14ac:dyDescent="0.2">
      <c r="A24" s="13" t="s">
        <v>215</v>
      </c>
      <c r="B24" s="13">
        <f>10+28</f>
        <v>38</v>
      </c>
    </row>
    <row r="25" spans="1:2" x14ac:dyDescent="0.2">
      <c r="A25" s="13" t="s">
        <v>496</v>
      </c>
      <c r="B25" s="13">
        <f>5+54</f>
        <v>59</v>
      </c>
    </row>
    <row r="26" spans="1:2" x14ac:dyDescent="0.2">
      <c r="A26" s="14" t="s">
        <v>498</v>
      </c>
      <c r="B26" s="14">
        <f>SUM(B21:B25)</f>
        <v>721</v>
      </c>
    </row>
    <row r="29" spans="1:2" ht="15" x14ac:dyDescent="0.25">
      <c r="A29" s="12" t="s">
        <v>499</v>
      </c>
    </row>
    <row r="30" spans="1:2" x14ac:dyDescent="0.2">
      <c r="A30" s="13" t="s">
        <v>494</v>
      </c>
      <c r="B30" s="13" t="s">
        <v>495</v>
      </c>
    </row>
    <row r="31" spans="1:2" x14ac:dyDescent="0.2">
      <c r="A31" s="13" t="s">
        <v>222</v>
      </c>
      <c r="B31" s="13">
        <v>31</v>
      </c>
    </row>
    <row r="32" spans="1:2" x14ac:dyDescent="0.2">
      <c r="A32" s="13" t="s">
        <v>20</v>
      </c>
      <c r="B32" s="13">
        <v>12</v>
      </c>
    </row>
    <row r="33" spans="1:2" x14ac:dyDescent="0.2">
      <c r="A33" s="13" t="s">
        <v>9</v>
      </c>
      <c r="B33" s="13">
        <v>22</v>
      </c>
    </row>
    <row r="34" spans="1:2" x14ac:dyDescent="0.2">
      <c r="A34" s="13" t="s">
        <v>215</v>
      </c>
      <c r="B34" s="13">
        <v>8</v>
      </c>
    </row>
    <row r="35" spans="1:2" x14ac:dyDescent="0.2">
      <c r="A35" s="13" t="s">
        <v>496</v>
      </c>
      <c r="B35" s="13">
        <v>8</v>
      </c>
    </row>
    <row r="36" spans="1:2" x14ac:dyDescent="0.2">
      <c r="A36" s="14" t="s">
        <v>498</v>
      </c>
      <c r="B36" s="14">
        <f>SUM(B31:B35)</f>
        <v>81</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6"/>
  <sheetViews>
    <sheetView topLeftCell="A140" workbookViewId="0">
      <selection activeCell="G168" sqref="G168"/>
    </sheetView>
  </sheetViews>
  <sheetFormatPr defaultRowHeight="15" x14ac:dyDescent="0.25"/>
  <cols>
    <col min="1" max="1" width="11.42578125" customWidth="1"/>
    <col min="2" max="2" width="11" customWidth="1"/>
    <col min="3" max="3" width="7.5703125" customWidth="1"/>
    <col min="5" max="5" width="7.5703125" customWidth="1"/>
    <col min="6" max="6" width="9.140625" style="20"/>
    <col min="7" max="7" width="47.28515625" customWidth="1"/>
  </cols>
  <sheetData>
    <row r="1" spans="1:7" x14ac:dyDescent="0.25">
      <c r="A1" s="28" t="s">
        <v>0</v>
      </c>
      <c r="B1" s="28" t="s">
        <v>1</v>
      </c>
      <c r="C1" s="28" t="s">
        <v>2</v>
      </c>
      <c r="D1" s="28" t="s">
        <v>2901</v>
      </c>
      <c r="E1" s="28" t="s">
        <v>139</v>
      </c>
      <c r="F1" s="29" t="s">
        <v>2910</v>
      </c>
      <c r="G1" s="28" t="s">
        <v>39</v>
      </c>
    </row>
    <row r="2" spans="1:7" x14ac:dyDescent="0.25">
      <c r="A2" t="s">
        <v>4</v>
      </c>
      <c r="B2" t="s">
        <v>5</v>
      </c>
      <c r="D2" s="19">
        <v>35674</v>
      </c>
      <c r="E2" s="19" t="s">
        <v>3027</v>
      </c>
      <c r="F2" s="20">
        <v>62</v>
      </c>
      <c r="G2" t="s">
        <v>2904</v>
      </c>
    </row>
    <row r="3" spans="1:7" x14ac:dyDescent="0.25">
      <c r="A3" t="s">
        <v>1120</v>
      </c>
      <c r="B3" t="s">
        <v>720</v>
      </c>
      <c r="C3" t="s">
        <v>17</v>
      </c>
      <c r="D3" s="19">
        <v>25385</v>
      </c>
      <c r="E3" s="19"/>
      <c r="F3" s="20">
        <v>21</v>
      </c>
      <c r="G3" t="s">
        <v>2946</v>
      </c>
    </row>
    <row r="4" spans="1:7" x14ac:dyDescent="0.25">
      <c r="A4" t="s">
        <v>228</v>
      </c>
      <c r="B4" t="s">
        <v>77</v>
      </c>
      <c r="C4" t="s">
        <v>53</v>
      </c>
      <c r="D4" s="19">
        <v>42217</v>
      </c>
      <c r="E4" s="19"/>
      <c r="F4" s="20">
        <v>76</v>
      </c>
      <c r="G4" t="s">
        <v>2905</v>
      </c>
    </row>
    <row r="5" spans="1:7" x14ac:dyDescent="0.25">
      <c r="A5" t="s">
        <v>240</v>
      </c>
      <c r="B5" t="s">
        <v>241</v>
      </c>
      <c r="C5" t="s">
        <v>32</v>
      </c>
      <c r="D5" s="19">
        <v>27912</v>
      </c>
      <c r="E5" s="19"/>
      <c r="F5" s="20">
        <v>34</v>
      </c>
      <c r="G5" t="s">
        <v>2902</v>
      </c>
    </row>
    <row r="6" spans="1:7" x14ac:dyDescent="0.25">
      <c r="A6" t="s">
        <v>240</v>
      </c>
      <c r="B6" t="s">
        <v>77</v>
      </c>
      <c r="C6" t="s">
        <v>2903</v>
      </c>
      <c r="D6" s="19">
        <v>32234</v>
      </c>
      <c r="E6" s="19"/>
      <c r="F6" s="20">
        <v>58</v>
      </c>
    </row>
    <row r="7" spans="1:7" x14ac:dyDescent="0.25">
      <c r="A7" t="s">
        <v>258</v>
      </c>
      <c r="B7" t="s">
        <v>369</v>
      </c>
      <c r="C7" t="s">
        <v>103</v>
      </c>
      <c r="D7" s="19">
        <v>42917</v>
      </c>
      <c r="E7" s="19"/>
      <c r="F7" s="20">
        <v>72</v>
      </c>
    </row>
    <row r="8" spans="1:7" x14ac:dyDescent="0.25">
      <c r="A8" t="s">
        <v>24</v>
      </c>
      <c r="B8" t="s">
        <v>25</v>
      </c>
      <c r="C8" t="s">
        <v>26</v>
      </c>
      <c r="D8" s="19">
        <v>41974</v>
      </c>
      <c r="E8" s="19" t="s">
        <v>3027</v>
      </c>
      <c r="F8" s="20">
        <v>83</v>
      </c>
      <c r="G8" t="s">
        <v>2906</v>
      </c>
    </row>
    <row r="9" spans="1:7" x14ac:dyDescent="0.25">
      <c r="A9" t="s">
        <v>310</v>
      </c>
      <c r="B9" t="s">
        <v>47</v>
      </c>
      <c r="C9" t="s">
        <v>113</v>
      </c>
      <c r="D9" s="19">
        <v>35765</v>
      </c>
      <c r="E9" s="19"/>
      <c r="F9" s="20">
        <v>64</v>
      </c>
      <c r="G9" t="s">
        <v>2909</v>
      </c>
    </row>
    <row r="10" spans="1:7" x14ac:dyDescent="0.25">
      <c r="A10" t="s">
        <v>313</v>
      </c>
      <c r="B10" t="s">
        <v>150</v>
      </c>
      <c r="C10" t="s">
        <v>113</v>
      </c>
      <c r="D10" s="19">
        <v>42125</v>
      </c>
      <c r="E10" s="19"/>
      <c r="F10" s="20">
        <v>92</v>
      </c>
    </row>
    <row r="11" spans="1:7" x14ac:dyDescent="0.25">
      <c r="A11" t="s">
        <v>320</v>
      </c>
      <c r="B11" t="s">
        <v>369</v>
      </c>
      <c r="C11" t="s">
        <v>67</v>
      </c>
      <c r="D11" s="19">
        <v>37438</v>
      </c>
      <c r="E11" s="19"/>
      <c r="F11" s="20">
        <v>53</v>
      </c>
    </row>
    <row r="12" spans="1:7" x14ac:dyDescent="0.25">
      <c r="A12" t="s">
        <v>324</v>
      </c>
      <c r="B12" t="s">
        <v>226</v>
      </c>
      <c r="C12" t="s">
        <v>72</v>
      </c>
      <c r="D12" s="19">
        <v>39814</v>
      </c>
      <c r="E12" s="19"/>
      <c r="F12" s="20">
        <v>63</v>
      </c>
      <c r="G12" t="s">
        <v>2914</v>
      </c>
    </row>
    <row r="13" spans="1:7" x14ac:dyDescent="0.25">
      <c r="A13" t="s">
        <v>339</v>
      </c>
      <c r="B13" t="s">
        <v>150</v>
      </c>
      <c r="D13" s="19">
        <v>40179</v>
      </c>
      <c r="E13" s="19"/>
      <c r="F13" s="20">
        <v>76</v>
      </c>
    </row>
    <row r="14" spans="1:7" x14ac:dyDescent="0.25">
      <c r="A14" t="s">
        <v>353</v>
      </c>
      <c r="B14" t="s">
        <v>354</v>
      </c>
      <c r="C14" t="s">
        <v>2941</v>
      </c>
      <c r="D14" s="19">
        <v>37288</v>
      </c>
      <c r="E14" s="19"/>
      <c r="F14" s="20">
        <v>56</v>
      </c>
      <c r="G14" t="s">
        <v>3362</v>
      </c>
    </row>
    <row r="15" spans="1:7" x14ac:dyDescent="0.25">
      <c r="A15" t="s">
        <v>361</v>
      </c>
      <c r="B15" t="s">
        <v>369</v>
      </c>
      <c r="C15" t="s">
        <v>58</v>
      </c>
      <c r="D15" s="19">
        <v>40210</v>
      </c>
      <c r="E15" s="19"/>
      <c r="F15" s="20">
        <v>75</v>
      </c>
      <c r="G15" t="s">
        <v>2909</v>
      </c>
    </row>
    <row r="16" spans="1:7" x14ac:dyDescent="0.25">
      <c r="A16" t="s">
        <v>365</v>
      </c>
      <c r="B16" t="s">
        <v>116</v>
      </c>
      <c r="C16" t="s">
        <v>72</v>
      </c>
      <c r="D16" s="19">
        <v>38718</v>
      </c>
      <c r="E16" s="19"/>
      <c r="F16" s="20">
        <v>83</v>
      </c>
    </row>
    <row r="17" spans="1:7" x14ac:dyDescent="0.25">
      <c r="A17" t="s">
        <v>365</v>
      </c>
      <c r="B17" t="s">
        <v>369</v>
      </c>
      <c r="C17" t="s">
        <v>113</v>
      </c>
      <c r="D17" s="19">
        <v>41640</v>
      </c>
      <c r="E17" s="19"/>
      <c r="F17" s="20">
        <v>71</v>
      </c>
      <c r="G17" t="s">
        <v>2942</v>
      </c>
    </row>
    <row r="18" spans="1:7" x14ac:dyDescent="0.25">
      <c r="A18" t="s">
        <v>379</v>
      </c>
      <c r="B18" t="s">
        <v>1137</v>
      </c>
      <c r="C18" t="s">
        <v>113</v>
      </c>
      <c r="D18" s="19">
        <v>37712</v>
      </c>
      <c r="E18" s="19"/>
      <c r="F18" s="20">
        <v>60</v>
      </c>
      <c r="G18" t="s">
        <v>2943</v>
      </c>
    </row>
    <row r="19" spans="1:7" x14ac:dyDescent="0.25">
      <c r="A19" t="s">
        <v>504</v>
      </c>
      <c r="B19" t="s">
        <v>116</v>
      </c>
      <c r="C19" t="s">
        <v>123</v>
      </c>
      <c r="D19" s="19">
        <v>41883</v>
      </c>
      <c r="E19" s="19"/>
      <c r="F19" s="20">
        <v>83</v>
      </c>
      <c r="G19" t="s">
        <v>2944</v>
      </c>
    </row>
    <row r="20" spans="1:7" x14ac:dyDescent="0.25">
      <c r="A20" t="s">
        <v>507</v>
      </c>
      <c r="B20" t="s">
        <v>116</v>
      </c>
      <c r="C20" t="s">
        <v>113</v>
      </c>
      <c r="D20" s="19">
        <v>42278</v>
      </c>
      <c r="E20" s="19"/>
      <c r="F20" s="20">
        <v>76</v>
      </c>
    </row>
    <row r="21" spans="1:7" x14ac:dyDescent="0.25">
      <c r="A21" t="s">
        <v>508</v>
      </c>
      <c r="B21" t="s">
        <v>509</v>
      </c>
      <c r="C21" t="s">
        <v>53</v>
      </c>
      <c r="D21" s="19">
        <v>40299</v>
      </c>
      <c r="E21" s="19"/>
      <c r="F21" s="20">
        <v>78</v>
      </c>
    </row>
    <row r="22" spans="1:7" x14ac:dyDescent="0.25">
      <c r="A22" t="s">
        <v>528</v>
      </c>
      <c r="B22" t="s">
        <v>531</v>
      </c>
      <c r="D22" s="19">
        <v>39387</v>
      </c>
      <c r="E22" s="19"/>
      <c r="F22" s="20">
        <v>74</v>
      </c>
      <c r="G22" t="s">
        <v>2943</v>
      </c>
    </row>
    <row r="23" spans="1:7" x14ac:dyDescent="0.25">
      <c r="A23" t="s">
        <v>540</v>
      </c>
      <c r="B23" t="s">
        <v>541</v>
      </c>
      <c r="C23" t="s">
        <v>182</v>
      </c>
      <c r="D23" s="19">
        <v>38384</v>
      </c>
      <c r="E23" s="19"/>
      <c r="F23" s="20">
        <v>61</v>
      </c>
      <c r="G23" t="s">
        <v>2909</v>
      </c>
    </row>
    <row r="24" spans="1:7" x14ac:dyDescent="0.25">
      <c r="A24" t="s">
        <v>543</v>
      </c>
      <c r="B24" t="s">
        <v>148</v>
      </c>
      <c r="C24" t="s">
        <v>72</v>
      </c>
      <c r="D24" s="19">
        <v>41671</v>
      </c>
      <c r="E24" s="19"/>
      <c r="F24" s="20">
        <v>84</v>
      </c>
    </row>
    <row r="25" spans="1:7" x14ac:dyDescent="0.25">
      <c r="A25" t="s">
        <v>550</v>
      </c>
      <c r="B25" t="s">
        <v>551</v>
      </c>
      <c r="C25" t="s">
        <v>63</v>
      </c>
      <c r="D25" s="19">
        <v>39934</v>
      </c>
      <c r="E25" s="19"/>
      <c r="F25" s="20">
        <v>82</v>
      </c>
      <c r="G25" t="s">
        <v>2942</v>
      </c>
    </row>
    <row r="26" spans="1:7" x14ac:dyDescent="0.25">
      <c r="A26" t="s">
        <v>587</v>
      </c>
      <c r="B26" t="s">
        <v>369</v>
      </c>
      <c r="C26" t="s">
        <v>58</v>
      </c>
      <c r="D26" s="19">
        <v>39479</v>
      </c>
      <c r="E26" s="19"/>
      <c r="F26" s="20">
        <v>74</v>
      </c>
      <c r="G26" t="s">
        <v>2904</v>
      </c>
    </row>
    <row r="27" spans="1:7" x14ac:dyDescent="0.25">
      <c r="A27" t="s">
        <v>601</v>
      </c>
      <c r="B27" t="s">
        <v>116</v>
      </c>
      <c r="C27" t="s">
        <v>63</v>
      </c>
      <c r="D27" s="19">
        <v>25204</v>
      </c>
      <c r="E27" s="19"/>
      <c r="G27" t="s">
        <v>2945</v>
      </c>
    </row>
    <row r="28" spans="1:7" x14ac:dyDescent="0.25">
      <c r="A28" t="s">
        <v>456</v>
      </c>
      <c r="B28" t="s">
        <v>457</v>
      </c>
      <c r="C28" t="s">
        <v>58</v>
      </c>
      <c r="D28" s="19">
        <v>41852</v>
      </c>
      <c r="E28" s="19" t="s">
        <v>3027</v>
      </c>
      <c r="F28" s="20">
        <v>88</v>
      </c>
    </row>
    <row r="29" spans="1:7" x14ac:dyDescent="0.25">
      <c r="A29" t="s">
        <v>634</v>
      </c>
      <c r="B29" t="s">
        <v>635</v>
      </c>
      <c r="C29" t="s">
        <v>67</v>
      </c>
      <c r="D29" s="19">
        <v>26816</v>
      </c>
      <c r="E29" s="19"/>
      <c r="F29" s="20">
        <v>32</v>
      </c>
      <c r="G29" t="s">
        <v>2947</v>
      </c>
    </row>
    <row r="30" spans="1:7" x14ac:dyDescent="0.25">
      <c r="A30" t="s">
        <v>642</v>
      </c>
      <c r="B30" t="s">
        <v>643</v>
      </c>
      <c r="C30" t="s">
        <v>113</v>
      </c>
      <c r="D30" s="19">
        <v>42705</v>
      </c>
      <c r="E30" s="19"/>
      <c r="F30" s="20">
        <v>70</v>
      </c>
      <c r="G30" t="s">
        <v>2909</v>
      </c>
    </row>
    <row r="31" spans="1:7" x14ac:dyDescent="0.25">
      <c r="A31" t="s">
        <v>646</v>
      </c>
      <c r="B31" t="s">
        <v>89</v>
      </c>
      <c r="C31" t="s">
        <v>63</v>
      </c>
      <c r="D31" s="19">
        <v>40269</v>
      </c>
      <c r="E31" s="19"/>
      <c r="F31" s="20">
        <v>77</v>
      </c>
    </row>
    <row r="32" spans="1:7" x14ac:dyDescent="0.25">
      <c r="A32" t="s">
        <v>657</v>
      </c>
      <c r="B32" t="s">
        <v>397</v>
      </c>
      <c r="C32" t="s">
        <v>113</v>
      </c>
      <c r="D32" s="19">
        <v>35156</v>
      </c>
      <c r="E32" s="19"/>
      <c r="F32" s="20">
        <v>67</v>
      </c>
      <c r="G32" t="s">
        <v>2909</v>
      </c>
    </row>
    <row r="33" spans="1:8" x14ac:dyDescent="0.25">
      <c r="A33" t="s">
        <v>661</v>
      </c>
      <c r="B33" t="s">
        <v>369</v>
      </c>
      <c r="C33" t="s">
        <v>17</v>
      </c>
      <c r="D33" s="19">
        <v>36220</v>
      </c>
      <c r="E33" s="19"/>
      <c r="F33" s="20">
        <v>66</v>
      </c>
      <c r="G33" t="s">
        <v>2948</v>
      </c>
    </row>
    <row r="34" spans="1:8" x14ac:dyDescent="0.25">
      <c r="A34" t="s">
        <v>699</v>
      </c>
      <c r="B34" t="s">
        <v>700</v>
      </c>
      <c r="C34" t="s">
        <v>63</v>
      </c>
      <c r="D34" s="19">
        <v>37500</v>
      </c>
      <c r="E34" s="19"/>
      <c r="F34" s="20">
        <v>63</v>
      </c>
      <c r="G34" t="s">
        <v>2909</v>
      </c>
    </row>
    <row r="35" spans="1:8" x14ac:dyDescent="0.25">
      <c r="A35" t="s">
        <v>706</v>
      </c>
      <c r="B35" t="s">
        <v>199</v>
      </c>
      <c r="C35" t="s">
        <v>72</v>
      </c>
      <c r="D35" s="19">
        <v>36373</v>
      </c>
      <c r="E35" s="19"/>
      <c r="F35" s="20">
        <v>58</v>
      </c>
    </row>
    <row r="36" spans="1:8" x14ac:dyDescent="0.25">
      <c r="A36" t="s">
        <v>725</v>
      </c>
      <c r="B36" t="s">
        <v>534</v>
      </c>
      <c r="C36" t="s">
        <v>113</v>
      </c>
      <c r="D36" s="19">
        <v>41821</v>
      </c>
      <c r="E36" s="19"/>
      <c r="F36" s="20">
        <v>70</v>
      </c>
      <c r="G36" t="s">
        <v>2950</v>
      </c>
    </row>
    <row r="37" spans="1:8" x14ac:dyDescent="0.25">
      <c r="A37" t="s">
        <v>770</v>
      </c>
      <c r="B37" t="s">
        <v>771</v>
      </c>
      <c r="C37" t="s">
        <v>716</v>
      </c>
      <c r="D37" s="19">
        <v>42401</v>
      </c>
      <c r="E37" s="19"/>
      <c r="F37" s="20">
        <v>87</v>
      </c>
      <c r="G37" t="s">
        <v>2951</v>
      </c>
    </row>
    <row r="38" spans="1:8" x14ac:dyDescent="0.25">
      <c r="A38" t="s">
        <v>845</v>
      </c>
      <c r="B38" t="s">
        <v>16</v>
      </c>
      <c r="C38" t="s">
        <v>17</v>
      </c>
      <c r="D38" s="19">
        <v>30560</v>
      </c>
      <c r="E38" s="19"/>
      <c r="F38" s="20">
        <v>42</v>
      </c>
      <c r="G38" t="s">
        <v>2952</v>
      </c>
    </row>
    <row r="39" spans="1:8" x14ac:dyDescent="0.25">
      <c r="A39" t="s">
        <v>838</v>
      </c>
      <c r="B39" t="s">
        <v>116</v>
      </c>
      <c r="C39" t="s">
        <v>67</v>
      </c>
      <c r="D39" s="19">
        <v>35490</v>
      </c>
      <c r="E39" s="19"/>
      <c r="F39" s="20">
        <v>64</v>
      </c>
      <c r="G39" t="s">
        <v>2953</v>
      </c>
    </row>
    <row r="40" spans="1:8" x14ac:dyDescent="0.25">
      <c r="A40" t="s">
        <v>839</v>
      </c>
      <c r="B40" t="s">
        <v>840</v>
      </c>
      <c r="C40" t="s">
        <v>17</v>
      </c>
      <c r="D40" s="19">
        <v>40452</v>
      </c>
      <c r="E40" s="19"/>
      <c r="F40" s="20">
        <v>79</v>
      </c>
      <c r="G40" t="s">
        <v>2954</v>
      </c>
    </row>
    <row r="41" spans="1:8" x14ac:dyDescent="0.25">
      <c r="A41" t="s">
        <v>792</v>
      </c>
      <c r="B41" t="s">
        <v>116</v>
      </c>
      <c r="C41" t="s">
        <v>26</v>
      </c>
      <c r="D41" s="19">
        <v>41395</v>
      </c>
      <c r="E41" s="19"/>
      <c r="F41" s="20">
        <v>79</v>
      </c>
    </row>
    <row r="42" spans="1:8" x14ac:dyDescent="0.25">
      <c r="A42" t="s">
        <v>798</v>
      </c>
      <c r="B42" t="s">
        <v>53</v>
      </c>
      <c r="C42" t="s">
        <v>26</v>
      </c>
      <c r="D42" s="19">
        <v>41061</v>
      </c>
      <c r="E42" s="19"/>
      <c r="F42" s="20">
        <v>81</v>
      </c>
    </row>
    <row r="43" spans="1:8" x14ac:dyDescent="0.25">
      <c r="A43" t="s">
        <v>811</v>
      </c>
      <c r="B43" t="s">
        <v>808</v>
      </c>
      <c r="C43" t="s">
        <v>32</v>
      </c>
      <c r="D43" s="19">
        <v>41426</v>
      </c>
      <c r="E43" s="19"/>
      <c r="F43" s="20">
        <v>83</v>
      </c>
      <c r="G43" t="s">
        <v>3363</v>
      </c>
    </row>
    <row r="44" spans="1:8" x14ac:dyDescent="0.25">
      <c r="A44" t="s">
        <v>813</v>
      </c>
      <c r="B44" t="s">
        <v>100</v>
      </c>
      <c r="C44" t="s">
        <v>113</v>
      </c>
      <c r="D44" s="19">
        <v>29495</v>
      </c>
      <c r="E44" s="19"/>
      <c r="F44" s="20">
        <v>47</v>
      </c>
      <c r="G44" t="s">
        <v>3362</v>
      </c>
    </row>
    <row r="45" spans="1:8" x14ac:dyDescent="0.25">
      <c r="A45" s="21" t="s">
        <v>882</v>
      </c>
      <c r="B45" s="21" t="s">
        <v>116</v>
      </c>
      <c r="C45" s="21" t="s">
        <v>17</v>
      </c>
      <c r="D45" s="22">
        <v>42248</v>
      </c>
      <c r="E45" s="22"/>
      <c r="F45" s="23">
        <v>74</v>
      </c>
      <c r="H45" t="s">
        <v>2955</v>
      </c>
    </row>
    <row r="46" spans="1:8" x14ac:dyDescent="0.25">
      <c r="A46" t="s">
        <v>918</v>
      </c>
      <c r="B46" t="s">
        <v>635</v>
      </c>
      <c r="C46" t="s">
        <v>67</v>
      </c>
      <c r="D46" s="19">
        <v>39022</v>
      </c>
      <c r="E46" s="19"/>
      <c r="F46" s="20">
        <v>67</v>
      </c>
      <c r="G46" t="s">
        <v>2942</v>
      </c>
    </row>
    <row r="47" spans="1:8" x14ac:dyDescent="0.25">
      <c r="A47" s="21" t="s">
        <v>396</v>
      </c>
      <c r="B47" s="21" t="s">
        <v>397</v>
      </c>
      <c r="C47" s="21" t="s">
        <v>26</v>
      </c>
      <c r="D47" s="19"/>
      <c r="E47" s="19" t="s">
        <v>3027</v>
      </c>
      <c r="H47" t="s">
        <v>2981</v>
      </c>
    </row>
    <row r="48" spans="1:8" x14ac:dyDescent="0.25">
      <c r="A48" t="s">
        <v>921</v>
      </c>
      <c r="B48" t="s">
        <v>777</v>
      </c>
      <c r="C48" t="s">
        <v>72</v>
      </c>
      <c r="D48" s="19">
        <v>41456</v>
      </c>
      <c r="E48" s="19"/>
      <c r="F48" s="20">
        <v>88</v>
      </c>
    </row>
    <row r="49" spans="1:8" x14ac:dyDescent="0.25">
      <c r="A49" t="s">
        <v>928</v>
      </c>
      <c r="B49" t="s">
        <v>77</v>
      </c>
      <c r="C49" t="s">
        <v>67</v>
      </c>
      <c r="D49" s="19">
        <v>39356</v>
      </c>
      <c r="E49" s="19"/>
      <c r="F49" s="20">
        <v>64</v>
      </c>
    </row>
    <row r="50" spans="1:8" x14ac:dyDescent="0.25">
      <c r="A50" t="s">
        <v>1519</v>
      </c>
      <c r="B50" t="s">
        <v>253</v>
      </c>
      <c r="C50" t="s">
        <v>58</v>
      </c>
      <c r="D50" s="19">
        <v>37135</v>
      </c>
      <c r="E50" s="19"/>
      <c r="F50" s="20">
        <v>54</v>
      </c>
    </row>
    <row r="51" spans="1:8" x14ac:dyDescent="0.25">
      <c r="A51" t="s">
        <v>930</v>
      </c>
      <c r="B51" t="s">
        <v>931</v>
      </c>
      <c r="D51" s="19">
        <v>36923</v>
      </c>
      <c r="E51" s="19"/>
      <c r="F51" s="20">
        <v>63</v>
      </c>
      <c r="G51" t="s">
        <v>2957</v>
      </c>
    </row>
    <row r="52" spans="1:8" x14ac:dyDescent="0.25">
      <c r="A52" t="s">
        <v>933</v>
      </c>
      <c r="B52" t="s">
        <v>934</v>
      </c>
      <c r="C52" t="s">
        <v>67</v>
      </c>
      <c r="D52" s="19">
        <v>41699</v>
      </c>
      <c r="E52" s="19"/>
      <c r="F52" s="20">
        <v>90</v>
      </c>
      <c r="G52" t="s">
        <v>2958</v>
      </c>
    </row>
    <row r="53" spans="1:8" x14ac:dyDescent="0.25">
      <c r="A53" t="s">
        <v>944</v>
      </c>
      <c r="B53" t="s">
        <v>116</v>
      </c>
      <c r="C53" t="s">
        <v>716</v>
      </c>
      <c r="D53" s="19">
        <v>40118</v>
      </c>
      <c r="E53" s="19"/>
      <c r="F53" s="20">
        <v>75</v>
      </c>
    </row>
    <row r="54" spans="1:8" x14ac:dyDescent="0.25">
      <c r="A54" t="s">
        <v>949</v>
      </c>
      <c r="B54" t="s">
        <v>226</v>
      </c>
      <c r="C54" t="s">
        <v>599</v>
      </c>
      <c r="D54" s="19">
        <v>40940</v>
      </c>
      <c r="E54" s="19"/>
      <c r="F54" s="20">
        <v>69</v>
      </c>
    </row>
    <row r="55" spans="1:8" x14ac:dyDescent="0.25">
      <c r="A55" t="s">
        <v>952</v>
      </c>
      <c r="B55" t="s">
        <v>116</v>
      </c>
      <c r="C55" t="s">
        <v>953</v>
      </c>
      <c r="D55" s="19">
        <v>34943</v>
      </c>
      <c r="E55" s="19"/>
      <c r="F55" s="20">
        <v>53</v>
      </c>
      <c r="H55" t="s">
        <v>2983</v>
      </c>
    </row>
    <row r="56" spans="1:8" x14ac:dyDescent="0.25">
      <c r="A56" t="s">
        <v>980</v>
      </c>
      <c r="B56" t="s">
        <v>981</v>
      </c>
      <c r="C56" t="s">
        <v>17</v>
      </c>
      <c r="D56" s="19">
        <v>42401</v>
      </c>
      <c r="E56" s="19"/>
      <c r="F56" s="20">
        <v>75</v>
      </c>
      <c r="G56" t="s">
        <v>2978</v>
      </c>
    </row>
    <row r="57" spans="1:8" x14ac:dyDescent="0.25">
      <c r="A57" t="s">
        <v>984</v>
      </c>
      <c r="B57" t="s">
        <v>226</v>
      </c>
      <c r="C57" t="s">
        <v>53</v>
      </c>
      <c r="D57" s="19">
        <v>37865</v>
      </c>
      <c r="E57" s="19"/>
      <c r="F57" s="20">
        <v>69</v>
      </c>
      <c r="G57" t="s">
        <v>2984</v>
      </c>
    </row>
    <row r="58" spans="1:8" x14ac:dyDescent="0.25">
      <c r="A58" t="s">
        <v>399</v>
      </c>
      <c r="B58" t="s">
        <v>148</v>
      </c>
      <c r="D58" s="19">
        <v>42948</v>
      </c>
      <c r="E58" s="19" t="s">
        <v>3027</v>
      </c>
      <c r="F58" s="20">
        <v>99</v>
      </c>
    </row>
    <row r="59" spans="1:8" x14ac:dyDescent="0.25">
      <c r="A59" t="s">
        <v>989</v>
      </c>
      <c r="B59" t="s">
        <v>77</v>
      </c>
      <c r="C59" t="s">
        <v>53</v>
      </c>
      <c r="D59" s="19">
        <v>35796</v>
      </c>
      <c r="E59" s="19"/>
      <c r="F59" s="20">
        <v>68</v>
      </c>
    </row>
    <row r="60" spans="1:8" x14ac:dyDescent="0.25">
      <c r="A60" t="s">
        <v>994</v>
      </c>
      <c r="B60" t="s">
        <v>148</v>
      </c>
      <c r="C60" t="s">
        <v>67</v>
      </c>
      <c r="D60" s="19">
        <v>36495</v>
      </c>
      <c r="E60" s="19"/>
      <c r="F60" s="20">
        <v>69</v>
      </c>
    </row>
    <row r="61" spans="1:8" x14ac:dyDescent="0.25">
      <c r="A61" t="s">
        <v>1019</v>
      </c>
      <c r="B61" t="s">
        <v>1020</v>
      </c>
      <c r="C61" t="s">
        <v>63</v>
      </c>
      <c r="D61" s="19">
        <v>41214</v>
      </c>
      <c r="E61" s="19"/>
      <c r="F61" s="20">
        <v>83</v>
      </c>
      <c r="H61" t="s">
        <v>2987</v>
      </c>
    </row>
    <row r="62" spans="1:8" x14ac:dyDescent="0.25">
      <c r="A62" s="21" t="s">
        <v>37</v>
      </c>
      <c r="B62" s="21" t="s">
        <v>2985</v>
      </c>
      <c r="C62" s="21" t="s">
        <v>32</v>
      </c>
      <c r="D62" s="23">
        <v>2002</v>
      </c>
      <c r="E62" s="23" t="s">
        <v>3027</v>
      </c>
      <c r="H62" t="s">
        <v>2986</v>
      </c>
    </row>
    <row r="63" spans="1:8" x14ac:dyDescent="0.25">
      <c r="A63" s="24" t="s">
        <v>1052</v>
      </c>
      <c r="B63" s="24" t="s">
        <v>77</v>
      </c>
      <c r="C63" s="24" t="s">
        <v>53</v>
      </c>
      <c r="D63" s="26">
        <v>40299</v>
      </c>
      <c r="E63" s="26"/>
      <c r="F63" s="20">
        <v>78</v>
      </c>
      <c r="G63" s="24" t="s">
        <v>2988</v>
      </c>
    </row>
    <row r="64" spans="1:8" x14ac:dyDescent="0.25">
      <c r="A64" s="24" t="s">
        <v>1055</v>
      </c>
      <c r="B64" s="24" t="s">
        <v>77</v>
      </c>
      <c r="C64" s="24" t="s">
        <v>953</v>
      </c>
      <c r="D64" s="26">
        <v>40817</v>
      </c>
      <c r="E64" s="26"/>
      <c r="F64" s="20">
        <v>84</v>
      </c>
      <c r="H64" t="s">
        <v>2989</v>
      </c>
    </row>
    <row r="65" spans="1:8" x14ac:dyDescent="0.25">
      <c r="A65" s="24" t="s">
        <v>1071</v>
      </c>
      <c r="B65" s="24" t="s">
        <v>808</v>
      </c>
      <c r="C65" s="24" t="s">
        <v>113</v>
      </c>
      <c r="D65" s="26">
        <v>40513</v>
      </c>
      <c r="E65" s="26"/>
      <c r="F65" s="20">
        <v>81</v>
      </c>
      <c r="G65" s="24" t="s">
        <v>2991</v>
      </c>
      <c r="H65" t="s">
        <v>2990</v>
      </c>
    </row>
    <row r="66" spans="1:8" x14ac:dyDescent="0.25">
      <c r="A66" s="24" t="s">
        <v>1136</v>
      </c>
      <c r="B66" s="24" t="s">
        <v>1137</v>
      </c>
      <c r="C66" s="24" t="s">
        <v>72</v>
      </c>
      <c r="D66" s="26">
        <v>41518</v>
      </c>
      <c r="E66" s="26"/>
      <c r="F66" s="20">
        <v>72</v>
      </c>
      <c r="H66" t="s">
        <v>2992</v>
      </c>
    </row>
    <row r="67" spans="1:8" x14ac:dyDescent="0.25">
      <c r="A67" s="24" t="s">
        <v>1139</v>
      </c>
      <c r="B67" s="24" t="s">
        <v>77</v>
      </c>
      <c r="C67" s="24" t="s">
        <v>412</v>
      </c>
      <c r="D67" s="26">
        <v>35490</v>
      </c>
      <c r="E67" s="26"/>
      <c r="F67" s="20">
        <v>75</v>
      </c>
      <c r="G67" s="24" t="s">
        <v>3364</v>
      </c>
    </row>
    <row r="68" spans="1:8" x14ac:dyDescent="0.25">
      <c r="A68" s="24" t="s">
        <v>1139</v>
      </c>
      <c r="B68" s="24" t="s">
        <v>100</v>
      </c>
      <c r="C68" s="24" t="s">
        <v>58</v>
      </c>
      <c r="D68" s="26">
        <v>41760</v>
      </c>
      <c r="E68" s="26"/>
      <c r="F68" s="20">
        <v>76</v>
      </c>
      <c r="G68" s="24" t="s">
        <v>2993</v>
      </c>
    </row>
    <row r="69" spans="1:8" x14ac:dyDescent="0.25">
      <c r="A69" s="24" t="s">
        <v>1145</v>
      </c>
      <c r="B69" s="24" t="s">
        <v>226</v>
      </c>
      <c r="C69" s="24" t="s">
        <v>72</v>
      </c>
      <c r="D69" s="26">
        <v>41548</v>
      </c>
      <c r="E69" s="26"/>
      <c r="F69" s="20">
        <v>78</v>
      </c>
      <c r="G69" s="24"/>
      <c r="H69" t="s">
        <v>2992</v>
      </c>
    </row>
    <row r="70" spans="1:8" x14ac:dyDescent="0.25">
      <c r="A70" s="24" t="s">
        <v>847</v>
      </c>
      <c r="B70" s="24" t="s">
        <v>1150</v>
      </c>
      <c r="C70" s="24" t="s">
        <v>953</v>
      </c>
      <c r="D70" s="26">
        <v>39539</v>
      </c>
      <c r="E70" s="26"/>
      <c r="F70" s="20">
        <v>66</v>
      </c>
      <c r="G70" s="24"/>
      <c r="H70" t="s">
        <v>2994</v>
      </c>
    </row>
    <row r="71" spans="1:8" x14ac:dyDescent="0.25">
      <c r="A71" t="s">
        <v>1213</v>
      </c>
      <c r="B71" t="s">
        <v>1214</v>
      </c>
      <c r="C71" t="s">
        <v>953</v>
      </c>
      <c r="D71" s="19">
        <v>42644</v>
      </c>
      <c r="E71" s="19"/>
      <c r="F71" s="20">
        <v>85</v>
      </c>
    </row>
    <row r="72" spans="1:8" x14ac:dyDescent="0.25">
      <c r="A72" t="s">
        <v>1218</v>
      </c>
      <c r="B72" t="s">
        <v>163</v>
      </c>
      <c r="C72" t="s">
        <v>113</v>
      </c>
      <c r="D72" s="19">
        <v>32540</v>
      </c>
      <c r="E72" s="19"/>
      <c r="F72" s="20">
        <v>60</v>
      </c>
      <c r="G72" t="s">
        <v>2995</v>
      </c>
    </row>
    <row r="73" spans="1:8" x14ac:dyDescent="0.25">
      <c r="A73" t="s">
        <v>1237</v>
      </c>
      <c r="B73" t="s">
        <v>1238</v>
      </c>
      <c r="C73" t="s">
        <v>67</v>
      </c>
      <c r="D73" s="19">
        <v>41518</v>
      </c>
      <c r="E73" s="19"/>
      <c r="F73" s="20">
        <v>78</v>
      </c>
      <c r="H73" t="s">
        <v>2992</v>
      </c>
    </row>
    <row r="74" spans="1:8" x14ac:dyDescent="0.25">
      <c r="A74" t="s">
        <v>1244</v>
      </c>
      <c r="B74" t="s">
        <v>2996</v>
      </c>
      <c r="C74" t="s">
        <v>58</v>
      </c>
      <c r="D74" s="19">
        <v>39995</v>
      </c>
      <c r="E74" s="19"/>
      <c r="F74" s="20">
        <v>80</v>
      </c>
    </row>
    <row r="75" spans="1:8" x14ac:dyDescent="0.25">
      <c r="A75" t="s">
        <v>1525</v>
      </c>
      <c r="B75" t="s">
        <v>280</v>
      </c>
      <c r="C75" t="s">
        <v>67</v>
      </c>
      <c r="D75" s="19">
        <v>41821</v>
      </c>
      <c r="E75" s="19"/>
      <c r="F75" s="20">
        <v>67</v>
      </c>
      <c r="H75" t="s">
        <v>2992</v>
      </c>
    </row>
    <row r="76" spans="1:8" x14ac:dyDescent="0.25">
      <c r="A76" t="s">
        <v>1261</v>
      </c>
      <c r="B76" t="s">
        <v>397</v>
      </c>
      <c r="C76" t="s">
        <v>72</v>
      </c>
      <c r="D76" s="19">
        <v>39203</v>
      </c>
      <c r="E76" s="19"/>
      <c r="F76" s="20">
        <v>60</v>
      </c>
      <c r="H76" t="s">
        <v>2992</v>
      </c>
    </row>
    <row r="77" spans="1:8" x14ac:dyDescent="0.25">
      <c r="A77" t="s">
        <v>1264</v>
      </c>
      <c r="B77" t="s">
        <v>150</v>
      </c>
      <c r="C77" t="s">
        <v>463</v>
      </c>
      <c r="D77" s="19">
        <v>41852</v>
      </c>
      <c r="E77" s="19"/>
      <c r="F77" s="20">
        <v>92</v>
      </c>
    </row>
    <row r="78" spans="1:8" x14ac:dyDescent="0.25">
      <c r="A78" s="21" t="s">
        <v>1277</v>
      </c>
      <c r="B78" s="21" t="s">
        <v>1278</v>
      </c>
      <c r="C78" s="21" t="s">
        <v>123</v>
      </c>
      <c r="D78" s="22">
        <v>30072</v>
      </c>
      <c r="E78" s="22"/>
      <c r="F78" s="23">
        <v>34</v>
      </c>
    </row>
    <row r="79" spans="1:8" s="24" customFormat="1" x14ac:dyDescent="0.25">
      <c r="A79" s="24" t="s">
        <v>2997</v>
      </c>
      <c r="B79" s="24" t="s">
        <v>1281</v>
      </c>
      <c r="D79" s="26">
        <v>38869</v>
      </c>
      <c r="E79" s="26"/>
      <c r="F79" s="25">
        <v>80</v>
      </c>
      <c r="G79" s="24" t="s">
        <v>2998</v>
      </c>
    </row>
    <row r="80" spans="1:8" s="24" customFormat="1" x14ac:dyDescent="0.25">
      <c r="A80" s="24" t="s">
        <v>1263</v>
      </c>
      <c r="B80" s="24" t="s">
        <v>1234</v>
      </c>
      <c r="C80" s="24" t="s">
        <v>63</v>
      </c>
      <c r="D80" s="26">
        <v>36251</v>
      </c>
      <c r="E80" s="26"/>
      <c r="F80" s="25">
        <v>70</v>
      </c>
      <c r="G80" s="24" t="s">
        <v>2950</v>
      </c>
    </row>
    <row r="81" spans="1:8" s="24" customFormat="1" x14ac:dyDescent="0.25">
      <c r="A81" s="24" t="s">
        <v>1294</v>
      </c>
      <c r="B81" s="24" t="s">
        <v>777</v>
      </c>
      <c r="C81" s="24" t="s">
        <v>113</v>
      </c>
      <c r="D81" s="26">
        <v>41671</v>
      </c>
      <c r="E81" s="26"/>
      <c r="F81" s="25">
        <v>83</v>
      </c>
      <c r="G81" s="24" t="s">
        <v>3013</v>
      </c>
    </row>
    <row r="82" spans="1:8" s="24" customFormat="1" x14ac:dyDescent="0.25">
      <c r="A82" s="24" t="s">
        <v>1534</v>
      </c>
      <c r="B82" s="24" t="s">
        <v>1003</v>
      </c>
      <c r="C82" s="24" t="s">
        <v>17</v>
      </c>
      <c r="D82" s="26">
        <v>37834</v>
      </c>
      <c r="E82" s="26"/>
      <c r="F82" s="25">
        <v>61</v>
      </c>
      <c r="H82" s="24" t="s">
        <v>3014</v>
      </c>
    </row>
    <row r="83" spans="1:8" s="24" customFormat="1" x14ac:dyDescent="0.25">
      <c r="A83" s="24" t="s">
        <v>1309</v>
      </c>
      <c r="B83" s="24" t="s">
        <v>369</v>
      </c>
      <c r="C83" s="24" t="s">
        <v>192</v>
      </c>
      <c r="D83" s="26">
        <v>39569</v>
      </c>
      <c r="E83" s="26"/>
      <c r="F83" s="25">
        <v>75</v>
      </c>
    </row>
    <row r="84" spans="1:8" s="24" customFormat="1" x14ac:dyDescent="0.25">
      <c r="A84" s="24" t="s">
        <v>1329</v>
      </c>
      <c r="B84" s="24" t="s">
        <v>447</v>
      </c>
      <c r="C84" s="24" t="s">
        <v>67</v>
      </c>
      <c r="D84" s="26">
        <v>43040</v>
      </c>
      <c r="E84" s="26"/>
      <c r="F84" s="25">
        <v>73</v>
      </c>
      <c r="H84" s="24" t="s">
        <v>2992</v>
      </c>
    </row>
    <row r="85" spans="1:8" x14ac:dyDescent="0.25">
      <c r="A85" t="s">
        <v>1351</v>
      </c>
      <c r="B85" t="s">
        <v>397</v>
      </c>
      <c r="C85" t="s">
        <v>32</v>
      </c>
      <c r="D85" s="19">
        <v>42430</v>
      </c>
      <c r="E85" s="19"/>
      <c r="F85" s="20">
        <v>79</v>
      </c>
    </row>
    <row r="86" spans="1:8" x14ac:dyDescent="0.25">
      <c r="A86" t="s">
        <v>354</v>
      </c>
      <c r="B86" t="s">
        <v>1360</v>
      </c>
      <c r="C86" t="s">
        <v>599</v>
      </c>
      <c r="D86" s="19">
        <v>42370</v>
      </c>
      <c r="E86" s="19"/>
      <c r="F86" s="20">
        <v>68</v>
      </c>
      <c r="G86" t="s">
        <v>3017</v>
      </c>
    </row>
    <row r="87" spans="1:8" x14ac:dyDescent="0.25">
      <c r="A87" t="s">
        <v>1389</v>
      </c>
      <c r="B87" t="s">
        <v>1390</v>
      </c>
      <c r="C87" t="s">
        <v>32</v>
      </c>
      <c r="D87" s="19">
        <v>41640</v>
      </c>
      <c r="E87" s="19"/>
      <c r="F87" s="20">
        <v>75</v>
      </c>
      <c r="H87" t="s">
        <v>3018</v>
      </c>
    </row>
    <row r="88" spans="1:8" x14ac:dyDescent="0.25">
      <c r="A88" t="s">
        <v>1407</v>
      </c>
      <c r="B88" t="s">
        <v>116</v>
      </c>
      <c r="C88" t="s">
        <v>72</v>
      </c>
      <c r="D88" s="19">
        <v>38749</v>
      </c>
      <c r="E88" s="19"/>
      <c r="F88" s="20">
        <v>75</v>
      </c>
      <c r="H88" t="s">
        <v>2992</v>
      </c>
    </row>
    <row r="89" spans="1:8" x14ac:dyDescent="0.25">
      <c r="A89" t="s">
        <v>1418</v>
      </c>
      <c r="B89" t="s">
        <v>89</v>
      </c>
      <c r="C89" t="s">
        <v>244</v>
      </c>
      <c r="D89" s="19">
        <v>38869</v>
      </c>
      <c r="E89" s="19"/>
      <c r="F89" s="20">
        <v>62</v>
      </c>
      <c r="G89" t="s">
        <v>3019</v>
      </c>
    </row>
    <row r="90" spans="1:8" x14ac:dyDescent="0.25">
      <c r="A90" t="s">
        <v>1543</v>
      </c>
      <c r="B90" t="s">
        <v>116</v>
      </c>
      <c r="D90" s="19">
        <v>42005</v>
      </c>
      <c r="E90" s="19"/>
      <c r="F90" s="20">
        <v>67</v>
      </c>
      <c r="H90" t="s">
        <v>2992</v>
      </c>
    </row>
    <row r="91" spans="1:8" x14ac:dyDescent="0.25">
      <c r="A91" t="s">
        <v>1460</v>
      </c>
      <c r="B91" t="s">
        <v>1127</v>
      </c>
      <c r="C91" t="s">
        <v>17</v>
      </c>
      <c r="D91" s="19">
        <v>40878</v>
      </c>
      <c r="E91" s="19"/>
      <c r="F91" s="20">
        <v>83</v>
      </c>
      <c r="G91" t="s">
        <v>3020</v>
      </c>
    </row>
    <row r="92" spans="1:8" x14ac:dyDescent="0.25">
      <c r="A92" t="s">
        <v>116</v>
      </c>
      <c r="B92" t="s">
        <v>1481</v>
      </c>
      <c r="C92" t="s">
        <v>463</v>
      </c>
      <c r="D92" s="19">
        <v>41974</v>
      </c>
      <c r="E92" s="19"/>
      <c r="F92" s="20">
        <v>85</v>
      </c>
      <c r="H92" t="s">
        <v>2992</v>
      </c>
    </row>
    <row r="93" spans="1:8" x14ac:dyDescent="0.25">
      <c r="A93" t="s">
        <v>1492</v>
      </c>
      <c r="B93" t="s">
        <v>733</v>
      </c>
      <c r="C93" t="s">
        <v>53</v>
      </c>
      <c r="D93" s="19">
        <v>31837</v>
      </c>
      <c r="E93" s="19"/>
      <c r="F93" s="20">
        <v>61</v>
      </c>
      <c r="G93" t="s">
        <v>3021</v>
      </c>
    </row>
    <row r="94" spans="1:8" x14ac:dyDescent="0.25">
      <c r="A94" t="s">
        <v>1505</v>
      </c>
      <c r="B94" t="s">
        <v>1040</v>
      </c>
      <c r="C94" t="s">
        <v>244</v>
      </c>
      <c r="D94" s="19">
        <v>34912</v>
      </c>
      <c r="E94" s="19"/>
      <c r="F94" s="20">
        <v>68</v>
      </c>
      <c r="G94" t="s">
        <v>3022</v>
      </c>
    </row>
    <row r="95" spans="1:8" x14ac:dyDescent="0.25">
      <c r="A95" t="s">
        <v>1508</v>
      </c>
      <c r="B95" t="s">
        <v>432</v>
      </c>
      <c r="C95" t="s">
        <v>113</v>
      </c>
      <c r="D95" s="19">
        <v>35916</v>
      </c>
      <c r="E95" s="19"/>
      <c r="F95" s="20">
        <v>66</v>
      </c>
      <c r="G95" t="s">
        <v>2993</v>
      </c>
    </row>
    <row r="96" spans="1:8" x14ac:dyDescent="0.25">
      <c r="A96" t="s">
        <v>111</v>
      </c>
      <c r="B96" t="s">
        <v>808</v>
      </c>
      <c r="C96" t="s">
        <v>113</v>
      </c>
      <c r="D96" s="19">
        <v>42217</v>
      </c>
      <c r="E96" s="19"/>
      <c r="F96" s="20">
        <v>77</v>
      </c>
      <c r="G96" t="s">
        <v>3023</v>
      </c>
    </row>
    <row r="97" spans="1:8" x14ac:dyDescent="0.25">
      <c r="A97" t="s">
        <v>1589</v>
      </c>
      <c r="B97" t="s">
        <v>116</v>
      </c>
      <c r="C97" t="s">
        <v>53</v>
      </c>
      <c r="D97" s="19">
        <v>41730</v>
      </c>
      <c r="E97" s="19"/>
      <c r="F97" s="20">
        <v>87</v>
      </c>
      <c r="H97" t="s">
        <v>2992</v>
      </c>
    </row>
    <row r="98" spans="1:8" x14ac:dyDescent="0.25">
      <c r="A98" t="s">
        <v>1590</v>
      </c>
      <c r="B98" t="s">
        <v>1591</v>
      </c>
      <c r="C98" t="s">
        <v>32</v>
      </c>
      <c r="D98" s="19">
        <v>26816</v>
      </c>
      <c r="E98" s="19"/>
      <c r="F98" s="20">
        <v>25</v>
      </c>
      <c r="G98" t="s">
        <v>2947</v>
      </c>
    </row>
    <row r="99" spans="1:8" x14ac:dyDescent="0.25">
      <c r="A99" t="s">
        <v>1612</v>
      </c>
      <c r="B99" t="s">
        <v>148</v>
      </c>
      <c r="C99" t="s">
        <v>412</v>
      </c>
      <c r="D99" s="19">
        <v>36647</v>
      </c>
      <c r="E99" s="19"/>
      <c r="F99" s="20">
        <v>75</v>
      </c>
      <c r="H99" t="s">
        <v>2992</v>
      </c>
    </row>
    <row r="100" spans="1:8" x14ac:dyDescent="0.25">
      <c r="A100" t="s">
        <v>1620</v>
      </c>
      <c r="B100" t="s">
        <v>62</v>
      </c>
      <c r="C100" t="s">
        <v>67</v>
      </c>
      <c r="D100" s="19">
        <v>38384</v>
      </c>
      <c r="E100" s="19"/>
      <c r="F100" s="20">
        <v>64</v>
      </c>
      <c r="H100" t="s">
        <v>3024</v>
      </c>
    </row>
    <row r="101" spans="1:8" x14ac:dyDescent="0.25">
      <c r="A101" t="s">
        <v>1651</v>
      </c>
      <c r="B101" t="s">
        <v>1234</v>
      </c>
      <c r="C101" t="s">
        <v>123</v>
      </c>
      <c r="D101" s="19">
        <v>41699</v>
      </c>
      <c r="E101" s="19"/>
      <c r="F101" s="20">
        <v>83</v>
      </c>
      <c r="H101" t="s">
        <v>3024</v>
      </c>
    </row>
    <row r="102" spans="1:8" x14ac:dyDescent="0.25">
      <c r="A102" t="s">
        <v>150</v>
      </c>
      <c r="B102" t="s">
        <v>369</v>
      </c>
      <c r="C102" t="s">
        <v>412</v>
      </c>
      <c r="D102" s="19">
        <v>38687</v>
      </c>
      <c r="E102" s="19"/>
      <c r="F102" s="20">
        <v>75</v>
      </c>
      <c r="H102" t="s">
        <v>2992</v>
      </c>
    </row>
    <row r="103" spans="1:8" x14ac:dyDescent="0.25">
      <c r="A103" t="s">
        <v>1719</v>
      </c>
      <c r="B103" t="s">
        <v>509</v>
      </c>
      <c r="C103" t="s">
        <v>72</v>
      </c>
      <c r="D103" s="19">
        <v>35643</v>
      </c>
      <c r="E103" s="19"/>
      <c r="F103" s="20">
        <v>62</v>
      </c>
      <c r="H103" t="s">
        <v>2992</v>
      </c>
    </row>
    <row r="104" spans="1:8" x14ac:dyDescent="0.25">
      <c r="A104" t="s">
        <v>643</v>
      </c>
      <c r="B104" t="s">
        <v>635</v>
      </c>
      <c r="C104" t="s">
        <v>63</v>
      </c>
      <c r="D104" s="19">
        <v>41944</v>
      </c>
      <c r="E104" s="19"/>
      <c r="F104" s="20">
        <v>76</v>
      </c>
      <c r="G104" t="s">
        <v>3025</v>
      </c>
    </row>
    <row r="105" spans="1:8" x14ac:dyDescent="0.25">
      <c r="A105" t="s">
        <v>1754</v>
      </c>
      <c r="B105" t="s">
        <v>1127</v>
      </c>
      <c r="C105" t="s">
        <v>182</v>
      </c>
      <c r="D105" s="19">
        <v>38047</v>
      </c>
      <c r="E105" s="19"/>
      <c r="F105" s="20">
        <v>58</v>
      </c>
      <c r="G105" s="27" t="s">
        <v>3026</v>
      </c>
    </row>
    <row r="106" spans="1:8" x14ac:dyDescent="0.25">
      <c r="A106" t="s">
        <v>71</v>
      </c>
      <c r="B106" t="s">
        <v>116</v>
      </c>
      <c r="C106" t="s">
        <v>123</v>
      </c>
      <c r="D106" s="19">
        <v>30407</v>
      </c>
      <c r="E106" s="19" t="s">
        <v>3027</v>
      </c>
      <c r="F106" s="20">
        <v>39</v>
      </c>
      <c r="G106" s="27" t="s">
        <v>3028</v>
      </c>
    </row>
    <row r="107" spans="1:8" x14ac:dyDescent="0.25">
      <c r="A107" t="s">
        <v>1773</v>
      </c>
      <c r="B107" t="s">
        <v>1774</v>
      </c>
      <c r="C107" t="s">
        <v>412</v>
      </c>
      <c r="D107" s="19">
        <v>34731</v>
      </c>
      <c r="E107" s="19"/>
      <c r="F107" s="20">
        <v>73</v>
      </c>
      <c r="H107" t="s">
        <v>3018</v>
      </c>
    </row>
    <row r="108" spans="1:8" x14ac:dyDescent="0.25">
      <c r="A108" t="s">
        <v>1778</v>
      </c>
      <c r="B108" t="s">
        <v>1779</v>
      </c>
      <c r="C108" t="s">
        <v>113</v>
      </c>
      <c r="D108" s="19">
        <v>39356</v>
      </c>
      <c r="E108" s="19"/>
      <c r="F108" s="20">
        <v>74</v>
      </c>
      <c r="H108" t="s">
        <v>3018</v>
      </c>
    </row>
    <row r="109" spans="1:8" x14ac:dyDescent="0.25">
      <c r="A109" t="s">
        <v>1791</v>
      </c>
      <c r="B109" t="s">
        <v>1490</v>
      </c>
      <c r="C109" t="s">
        <v>63</v>
      </c>
      <c r="D109" s="19">
        <v>39995</v>
      </c>
      <c r="E109" s="19"/>
      <c r="F109" s="20">
        <v>68</v>
      </c>
      <c r="H109" t="s">
        <v>3024</v>
      </c>
    </row>
    <row r="110" spans="1:8" x14ac:dyDescent="0.25">
      <c r="A110" t="s">
        <v>1821</v>
      </c>
      <c r="B110" t="s">
        <v>1822</v>
      </c>
      <c r="D110" s="19">
        <v>35431</v>
      </c>
      <c r="E110" s="19"/>
      <c r="F110" s="20">
        <v>59</v>
      </c>
      <c r="H110" t="s">
        <v>3024</v>
      </c>
    </row>
    <row r="111" spans="1:8" x14ac:dyDescent="0.25">
      <c r="A111" t="s">
        <v>1834</v>
      </c>
      <c r="B111" t="s">
        <v>1835</v>
      </c>
      <c r="C111" t="s">
        <v>123</v>
      </c>
      <c r="D111" s="19">
        <v>41883</v>
      </c>
      <c r="E111" s="19"/>
      <c r="F111" s="20">
        <v>64</v>
      </c>
      <c r="H111" t="s">
        <v>3024</v>
      </c>
    </row>
    <row r="112" spans="1:8" x14ac:dyDescent="0.25">
      <c r="A112" t="s">
        <v>1150</v>
      </c>
      <c r="B112" t="s">
        <v>635</v>
      </c>
      <c r="C112" t="s">
        <v>53</v>
      </c>
      <c r="D112" s="19">
        <v>41974</v>
      </c>
      <c r="E112" s="19"/>
      <c r="F112" s="20">
        <v>83</v>
      </c>
      <c r="G112" t="s">
        <v>2979</v>
      </c>
    </row>
    <row r="113" spans="1:8" x14ac:dyDescent="0.25">
      <c r="A113" t="s">
        <v>1850</v>
      </c>
      <c r="B113" t="s">
        <v>981</v>
      </c>
      <c r="C113" t="s">
        <v>63</v>
      </c>
      <c r="D113" s="19">
        <v>34820</v>
      </c>
      <c r="E113" s="19"/>
      <c r="F113" s="20">
        <v>62</v>
      </c>
      <c r="G113" t="s">
        <v>2993</v>
      </c>
    </row>
    <row r="114" spans="1:8" x14ac:dyDescent="0.25">
      <c r="A114" t="s">
        <v>1853</v>
      </c>
      <c r="B114" t="s">
        <v>333</v>
      </c>
      <c r="C114" t="s">
        <v>58</v>
      </c>
      <c r="D114" s="19">
        <v>37196</v>
      </c>
      <c r="E114" s="19"/>
      <c r="F114" s="20">
        <v>57</v>
      </c>
      <c r="G114" t="s">
        <v>2904</v>
      </c>
    </row>
    <row r="115" spans="1:8" x14ac:dyDescent="0.25">
      <c r="A115" t="s">
        <v>1894</v>
      </c>
      <c r="B115" t="s">
        <v>616</v>
      </c>
      <c r="C115" t="s">
        <v>63</v>
      </c>
      <c r="D115" s="19">
        <v>31321</v>
      </c>
      <c r="E115" s="19"/>
      <c r="F115" s="20">
        <v>62</v>
      </c>
      <c r="H115" t="s">
        <v>3024</v>
      </c>
    </row>
    <row r="116" spans="1:8" x14ac:dyDescent="0.25">
      <c r="A116" t="s">
        <v>1912</v>
      </c>
      <c r="B116" t="s">
        <v>77</v>
      </c>
      <c r="C116" t="s">
        <v>599</v>
      </c>
      <c r="D116" s="19">
        <v>40210</v>
      </c>
      <c r="E116" s="19"/>
      <c r="F116" s="20">
        <v>74</v>
      </c>
      <c r="H116" t="s">
        <v>2992</v>
      </c>
    </row>
    <row r="117" spans="1:8" x14ac:dyDescent="0.25">
      <c r="A117" t="s">
        <v>1931</v>
      </c>
      <c r="B117" t="s">
        <v>760</v>
      </c>
      <c r="C117" t="s">
        <v>58</v>
      </c>
      <c r="D117" s="19">
        <v>39630</v>
      </c>
      <c r="E117" s="19"/>
      <c r="F117" s="20">
        <v>65</v>
      </c>
      <c r="G117" t="s">
        <v>2984</v>
      </c>
    </row>
    <row r="118" spans="1:8" x14ac:dyDescent="0.25">
      <c r="A118" t="s">
        <v>1952</v>
      </c>
      <c r="B118" t="s">
        <v>777</v>
      </c>
      <c r="C118" t="s">
        <v>412</v>
      </c>
      <c r="D118" s="19">
        <v>41852</v>
      </c>
      <c r="E118" s="19"/>
      <c r="F118" s="20">
        <v>74</v>
      </c>
      <c r="H118" t="s">
        <v>3024</v>
      </c>
    </row>
    <row r="119" spans="1:8" x14ac:dyDescent="0.25">
      <c r="A119" t="s">
        <v>1954</v>
      </c>
      <c r="B119" t="s">
        <v>369</v>
      </c>
      <c r="C119" t="s">
        <v>53</v>
      </c>
      <c r="D119" s="19">
        <v>31564</v>
      </c>
      <c r="E119" s="19"/>
      <c r="F119" s="20">
        <v>80</v>
      </c>
      <c r="H119" t="s">
        <v>3024</v>
      </c>
    </row>
    <row r="120" spans="1:8" x14ac:dyDescent="0.25">
      <c r="A120" t="s">
        <v>1994</v>
      </c>
      <c r="B120" t="s">
        <v>116</v>
      </c>
      <c r="C120" t="s">
        <v>412</v>
      </c>
      <c r="D120" s="19">
        <v>42948</v>
      </c>
      <c r="E120" s="19"/>
      <c r="F120" s="20">
        <v>88</v>
      </c>
      <c r="H120" t="s">
        <v>3029</v>
      </c>
    </row>
    <row r="121" spans="1:8" x14ac:dyDescent="0.25">
      <c r="A121" t="s">
        <v>2038</v>
      </c>
      <c r="B121" t="s">
        <v>1557</v>
      </c>
      <c r="C121" t="s">
        <v>17</v>
      </c>
      <c r="D121" s="19">
        <v>38353</v>
      </c>
      <c r="E121" s="19"/>
      <c r="F121" s="20">
        <v>63</v>
      </c>
      <c r="G121" t="s">
        <v>3364</v>
      </c>
    </row>
    <row r="122" spans="1:8" x14ac:dyDescent="0.25">
      <c r="A122" t="s">
        <v>2073</v>
      </c>
      <c r="B122" t="s">
        <v>148</v>
      </c>
      <c r="C122" t="s">
        <v>17</v>
      </c>
      <c r="D122" s="19">
        <v>42248</v>
      </c>
      <c r="E122" s="19"/>
      <c r="F122" s="20">
        <v>84</v>
      </c>
      <c r="G122" t="s">
        <v>3017</v>
      </c>
    </row>
    <row r="123" spans="1:8" x14ac:dyDescent="0.25">
      <c r="A123" t="s">
        <v>3030</v>
      </c>
      <c r="B123" t="s">
        <v>2083</v>
      </c>
      <c r="C123" t="s">
        <v>58</v>
      </c>
      <c r="D123" s="19">
        <v>37316</v>
      </c>
      <c r="E123" s="19"/>
      <c r="F123" s="20">
        <v>72</v>
      </c>
      <c r="H123" t="s">
        <v>3014</v>
      </c>
    </row>
    <row r="124" spans="1:8" x14ac:dyDescent="0.25">
      <c r="A124" t="s">
        <v>2090</v>
      </c>
      <c r="B124" t="s">
        <v>1698</v>
      </c>
      <c r="C124" t="s">
        <v>113</v>
      </c>
      <c r="D124" s="19">
        <v>40756</v>
      </c>
      <c r="E124" s="19"/>
      <c r="F124" s="20">
        <v>76</v>
      </c>
      <c r="G124" t="s">
        <v>2909</v>
      </c>
    </row>
    <row r="125" spans="1:8" x14ac:dyDescent="0.25">
      <c r="A125" t="s">
        <v>2149</v>
      </c>
      <c r="B125" t="s">
        <v>808</v>
      </c>
      <c r="C125" t="s">
        <v>63</v>
      </c>
      <c r="D125" s="19">
        <v>40422</v>
      </c>
      <c r="E125" s="19"/>
      <c r="F125" s="20">
        <v>80</v>
      </c>
      <c r="G125" t="s">
        <v>3364</v>
      </c>
    </row>
    <row r="126" spans="1:8" x14ac:dyDescent="0.25">
      <c r="A126" t="s">
        <v>2163</v>
      </c>
      <c r="B126" t="s">
        <v>116</v>
      </c>
      <c r="C126" t="s">
        <v>63</v>
      </c>
      <c r="D126" s="19">
        <v>41426</v>
      </c>
      <c r="E126" s="19"/>
      <c r="F126" s="20">
        <v>82</v>
      </c>
      <c r="H126" t="s">
        <v>2992</v>
      </c>
    </row>
    <row r="127" spans="1:8" x14ac:dyDescent="0.25">
      <c r="A127" t="s">
        <v>2170</v>
      </c>
      <c r="B127" t="s">
        <v>1281</v>
      </c>
      <c r="C127" t="s">
        <v>412</v>
      </c>
      <c r="D127" s="19">
        <v>37012</v>
      </c>
      <c r="E127" s="19"/>
      <c r="F127" s="20">
        <v>64</v>
      </c>
      <c r="G127" t="s">
        <v>2909</v>
      </c>
    </row>
    <row r="128" spans="1:8" x14ac:dyDescent="0.25">
      <c r="A128" t="s">
        <v>129</v>
      </c>
      <c r="B128" t="s">
        <v>2189</v>
      </c>
      <c r="C128" t="s">
        <v>463</v>
      </c>
      <c r="D128" s="19">
        <v>42430</v>
      </c>
      <c r="E128" s="19"/>
      <c r="F128" s="20">
        <v>84</v>
      </c>
    </row>
    <row r="129" spans="1:8" x14ac:dyDescent="0.25">
      <c r="A129" t="s">
        <v>2195</v>
      </c>
      <c r="B129" t="s">
        <v>140</v>
      </c>
      <c r="C129" t="s">
        <v>716</v>
      </c>
      <c r="D129" s="19">
        <v>36069</v>
      </c>
      <c r="E129" s="19"/>
      <c r="F129" s="20">
        <v>60</v>
      </c>
      <c r="G129" t="s">
        <v>3032</v>
      </c>
      <c r="H129" t="s">
        <v>3033</v>
      </c>
    </row>
    <row r="130" spans="1:8" x14ac:dyDescent="0.25">
      <c r="A130" t="s">
        <v>2197</v>
      </c>
      <c r="B130" t="s">
        <v>77</v>
      </c>
      <c r="C130" t="s">
        <v>63</v>
      </c>
      <c r="D130" s="19">
        <v>42856</v>
      </c>
      <c r="E130" s="19"/>
      <c r="F130" s="20">
        <v>71</v>
      </c>
      <c r="G130" t="s">
        <v>3034</v>
      </c>
    </row>
    <row r="131" spans="1:8" x14ac:dyDescent="0.25">
      <c r="A131" t="s">
        <v>2237</v>
      </c>
      <c r="B131" t="s">
        <v>116</v>
      </c>
      <c r="C131" t="s">
        <v>182</v>
      </c>
      <c r="D131" s="19">
        <v>35916</v>
      </c>
      <c r="E131" s="19"/>
      <c r="F131" s="20">
        <v>63</v>
      </c>
      <c r="H131" t="s">
        <v>3024</v>
      </c>
    </row>
    <row r="132" spans="1:8" x14ac:dyDescent="0.25">
      <c r="A132" t="s">
        <v>2241</v>
      </c>
      <c r="B132" t="s">
        <v>77</v>
      </c>
      <c r="C132" t="s">
        <v>32</v>
      </c>
      <c r="D132" s="19">
        <v>40148</v>
      </c>
      <c r="E132" s="19"/>
      <c r="F132" s="20">
        <v>82</v>
      </c>
      <c r="G132" t="s">
        <v>3035</v>
      </c>
    </row>
    <row r="133" spans="1:8" x14ac:dyDescent="0.25">
      <c r="A133" t="s">
        <v>2242</v>
      </c>
      <c r="B133" t="s">
        <v>968</v>
      </c>
      <c r="C133" t="s">
        <v>32</v>
      </c>
      <c r="D133" s="19">
        <v>34759</v>
      </c>
      <c r="E133" s="19"/>
      <c r="F133" s="20">
        <v>64</v>
      </c>
      <c r="H133" t="s">
        <v>3024</v>
      </c>
    </row>
    <row r="134" spans="1:8" x14ac:dyDescent="0.25">
      <c r="A134" t="s">
        <v>2256</v>
      </c>
      <c r="B134" t="s">
        <v>2257</v>
      </c>
      <c r="C134" t="s">
        <v>113</v>
      </c>
      <c r="D134" s="19">
        <v>41852</v>
      </c>
      <c r="E134" s="19"/>
      <c r="F134" s="20">
        <v>80</v>
      </c>
      <c r="H134" t="s">
        <v>3024</v>
      </c>
    </row>
    <row r="135" spans="1:8" x14ac:dyDescent="0.25">
      <c r="A135" t="s">
        <v>2262</v>
      </c>
      <c r="B135" t="s">
        <v>2263</v>
      </c>
      <c r="C135" t="s">
        <v>192</v>
      </c>
      <c r="D135" s="19">
        <v>42675</v>
      </c>
      <c r="E135" s="19"/>
      <c r="F135" s="20">
        <v>84</v>
      </c>
      <c r="H135" t="s">
        <v>2992</v>
      </c>
    </row>
    <row r="136" spans="1:8" x14ac:dyDescent="0.25">
      <c r="A136" t="s">
        <v>2268</v>
      </c>
      <c r="B136" t="s">
        <v>269</v>
      </c>
      <c r="C136" t="s">
        <v>953</v>
      </c>
      <c r="D136" s="19">
        <v>35796</v>
      </c>
      <c r="E136" s="19"/>
      <c r="F136" s="20">
        <v>56</v>
      </c>
      <c r="H136" t="s">
        <v>3024</v>
      </c>
    </row>
    <row r="137" spans="1:8" x14ac:dyDescent="0.25">
      <c r="A137" t="s">
        <v>2280</v>
      </c>
      <c r="B137" t="s">
        <v>1456</v>
      </c>
      <c r="C137" t="s">
        <v>244</v>
      </c>
      <c r="D137" s="19">
        <v>37987</v>
      </c>
      <c r="E137" s="19"/>
      <c r="F137" s="20">
        <v>76</v>
      </c>
      <c r="H137" t="s">
        <v>3024</v>
      </c>
    </row>
    <row r="138" spans="1:8" ht="17.25" customHeight="1" x14ac:dyDescent="0.25">
      <c r="A138" t="s">
        <v>2282</v>
      </c>
      <c r="B138" t="s">
        <v>2283</v>
      </c>
      <c r="C138" t="s">
        <v>53</v>
      </c>
      <c r="D138" s="19">
        <v>41365</v>
      </c>
      <c r="E138" s="19"/>
      <c r="F138" s="20">
        <v>85</v>
      </c>
      <c r="G138" t="s">
        <v>3365</v>
      </c>
    </row>
    <row r="139" spans="1:8" ht="17.25" customHeight="1" x14ac:dyDescent="0.25">
      <c r="A139" t="s">
        <v>2282</v>
      </c>
      <c r="B139" t="s">
        <v>100</v>
      </c>
      <c r="C139" t="s">
        <v>599</v>
      </c>
      <c r="D139" s="19">
        <v>40148</v>
      </c>
      <c r="E139" s="19"/>
      <c r="F139" s="20">
        <v>78</v>
      </c>
      <c r="G139" t="s">
        <v>3366</v>
      </c>
    </row>
    <row r="140" spans="1:8" ht="17.25" customHeight="1" x14ac:dyDescent="0.25">
      <c r="A140" t="s">
        <v>2299</v>
      </c>
      <c r="B140" t="s">
        <v>2301</v>
      </c>
      <c r="C140" t="s">
        <v>72</v>
      </c>
      <c r="D140" s="19">
        <v>27364</v>
      </c>
      <c r="E140" s="19"/>
      <c r="F140" s="20">
        <v>34</v>
      </c>
      <c r="G140" t="s">
        <v>3036</v>
      </c>
    </row>
    <row r="141" spans="1:8" ht="17.25" customHeight="1" x14ac:dyDescent="0.25">
      <c r="A141" t="s">
        <v>2300</v>
      </c>
      <c r="B141" t="s">
        <v>269</v>
      </c>
      <c r="D141" s="19">
        <v>41944</v>
      </c>
      <c r="E141" s="19"/>
      <c r="F141" s="20">
        <v>86</v>
      </c>
      <c r="H141" t="s">
        <v>3024</v>
      </c>
    </row>
    <row r="142" spans="1:8" ht="17.25" customHeight="1" x14ac:dyDescent="0.25">
      <c r="A142" t="s">
        <v>2312</v>
      </c>
      <c r="B142" t="s">
        <v>397</v>
      </c>
      <c r="C142" t="s">
        <v>58</v>
      </c>
      <c r="D142" s="19">
        <v>38504</v>
      </c>
      <c r="E142" s="19"/>
      <c r="F142" s="20">
        <v>66</v>
      </c>
      <c r="G142" t="s">
        <v>2984</v>
      </c>
    </row>
    <row r="143" spans="1:8" ht="17.25" customHeight="1" x14ac:dyDescent="0.25">
      <c r="A143" t="s">
        <v>2318</v>
      </c>
      <c r="B143" t="s">
        <v>148</v>
      </c>
      <c r="C143" t="s">
        <v>113</v>
      </c>
      <c r="D143" s="19">
        <v>29618</v>
      </c>
      <c r="E143" s="19"/>
      <c r="F143" s="20">
        <v>39</v>
      </c>
      <c r="G143" t="s">
        <v>2909</v>
      </c>
    </row>
    <row r="144" spans="1:8" ht="17.25" customHeight="1" x14ac:dyDescent="0.25">
      <c r="A144" t="s">
        <v>2360</v>
      </c>
      <c r="B144" t="s">
        <v>2361</v>
      </c>
      <c r="C144" t="s">
        <v>113</v>
      </c>
      <c r="D144" s="19"/>
      <c r="E144" s="19"/>
      <c r="H144" t="s">
        <v>3037</v>
      </c>
    </row>
    <row r="145" spans="1:8" ht="17.25" customHeight="1" x14ac:dyDescent="0.25">
      <c r="A145" t="s">
        <v>2375</v>
      </c>
      <c r="B145" t="s">
        <v>2376</v>
      </c>
      <c r="C145" t="s">
        <v>599</v>
      </c>
      <c r="D145" s="19">
        <v>35827</v>
      </c>
      <c r="E145" s="19"/>
      <c r="F145" s="20">
        <v>59</v>
      </c>
      <c r="H145" t="s">
        <v>3024</v>
      </c>
    </row>
    <row r="146" spans="1:8" ht="17.25" customHeight="1" x14ac:dyDescent="0.25">
      <c r="A146" t="s">
        <v>2383</v>
      </c>
      <c r="B146" t="s">
        <v>148</v>
      </c>
      <c r="C146" t="s">
        <v>123</v>
      </c>
      <c r="D146" s="19">
        <v>38353</v>
      </c>
      <c r="E146" s="19"/>
      <c r="F146" s="20">
        <v>72</v>
      </c>
      <c r="H146" t="s">
        <v>3024</v>
      </c>
    </row>
    <row r="147" spans="1:8" ht="17.25" customHeight="1" x14ac:dyDescent="0.25">
      <c r="A147" t="s">
        <v>2383</v>
      </c>
      <c r="B147" t="s">
        <v>2387</v>
      </c>
      <c r="C147" t="s">
        <v>58</v>
      </c>
      <c r="D147" s="19">
        <v>41548</v>
      </c>
      <c r="E147" s="19"/>
      <c r="F147" s="20">
        <v>88</v>
      </c>
      <c r="G147" t="s">
        <v>3038</v>
      </c>
    </row>
    <row r="148" spans="1:8" ht="17.25" customHeight="1" x14ac:dyDescent="0.25">
      <c r="A148" t="s">
        <v>2388</v>
      </c>
      <c r="B148" t="s">
        <v>204</v>
      </c>
      <c r="C148" t="s">
        <v>599</v>
      </c>
      <c r="D148" s="19">
        <v>39934</v>
      </c>
      <c r="E148" s="19"/>
      <c r="F148" s="20">
        <v>80</v>
      </c>
      <c r="H148" t="s">
        <v>2992</v>
      </c>
    </row>
    <row r="149" spans="1:8" ht="17.25" customHeight="1" x14ac:dyDescent="0.25">
      <c r="A149" t="s">
        <v>2401</v>
      </c>
      <c r="B149" t="s">
        <v>16</v>
      </c>
      <c r="C149" t="s">
        <v>113</v>
      </c>
      <c r="D149" s="19">
        <v>35490</v>
      </c>
      <c r="E149" s="19"/>
      <c r="F149" s="20">
        <v>50</v>
      </c>
      <c r="H149" t="s">
        <v>3024</v>
      </c>
    </row>
    <row r="150" spans="1:8" ht="17.25" customHeight="1" x14ac:dyDescent="0.25">
      <c r="A150" t="s">
        <v>136</v>
      </c>
      <c r="B150" t="s">
        <v>226</v>
      </c>
      <c r="C150" t="s">
        <v>58</v>
      </c>
      <c r="D150" s="19">
        <v>42309</v>
      </c>
      <c r="E150" s="19"/>
      <c r="F150" s="20">
        <v>84</v>
      </c>
      <c r="G150" t="s">
        <v>3367</v>
      </c>
    </row>
    <row r="151" spans="1:8" ht="17.25" customHeight="1" x14ac:dyDescent="0.25">
      <c r="A151" t="s">
        <v>2419</v>
      </c>
      <c r="B151" t="s">
        <v>116</v>
      </c>
      <c r="C151" t="s">
        <v>463</v>
      </c>
      <c r="D151" s="19">
        <v>32599</v>
      </c>
      <c r="E151" s="19"/>
      <c r="F151" s="20">
        <v>51</v>
      </c>
      <c r="G151" t="s">
        <v>3039</v>
      </c>
    </row>
    <row r="152" spans="1:8" ht="17.25" customHeight="1" x14ac:dyDescent="0.25">
      <c r="A152" t="s">
        <v>2441</v>
      </c>
      <c r="B152" t="s">
        <v>199</v>
      </c>
      <c r="C152" t="s">
        <v>72</v>
      </c>
      <c r="D152" s="19">
        <v>40969</v>
      </c>
      <c r="E152" s="19"/>
      <c r="F152" s="20">
        <v>83</v>
      </c>
      <c r="H152" t="s">
        <v>2992</v>
      </c>
    </row>
    <row r="153" spans="1:8" ht="17.25" customHeight="1" x14ac:dyDescent="0.25">
      <c r="A153" t="s">
        <v>130</v>
      </c>
      <c r="B153" t="s">
        <v>56</v>
      </c>
      <c r="D153" s="19">
        <v>28887</v>
      </c>
      <c r="E153" s="19"/>
      <c r="F153" s="20">
        <v>45</v>
      </c>
      <c r="G153" t="s">
        <v>3040</v>
      </c>
    </row>
    <row r="154" spans="1:8" ht="17.25" customHeight="1" x14ac:dyDescent="0.25">
      <c r="A154" t="s">
        <v>2444</v>
      </c>
      <c r="B154" t="s">
        <v>1403</v>
      </c>
      <c r="C154" t="s">
        <v>72</v>
      </c>
      <c r="D154" s="19">
        <v>30834</v>
      </c>
      <c r="E154" s="19"/>
      <c r="F154" s="20">
        <v>55</v>
      </c>
      <c r="G154" t="s">
        <v>2909</v>
      </c>
    </row>
    <row r="155" spans="1:8" ht="17.25" customHeight="1" x14ac:dyDescent="0.25">
      <c r="A155" t="s">
        <v>2446</v>
      </c>
      <c r="B155" t="s">
        <v>100</v>
      </c>
      <c r="C155" t="s">
        <v>113</v>
      </c>
      <c r="D155" s="19">
        <v>39965</v>
      </c>
      <c r="E155" s="19"/>
      <c r="F155" s="20">
        <v>78</v>
      </c>
      <c r="H155" t="s">
        <v>2992</v>
      </c>
    </row>
    <row r="156" spans="1:8" ht="17.25" customHeight="1" x14ac:dyDescent="0.25">
      <c r="A156" t="s">
        <v>2454</v>
      </c>
      <c r="B156" t="s">
        <v>2436</v>
      </c>
      <c r="C156" t="s">
        <v>17</v>
      </c>
      <c r="D156" s="19">
        <v>41640</v>
      </c>
      <c r="E156" s="19"/>
      <c r="F156" s="20">
        <v>78</v>
      </c>
      <c r="G156" t="s">
        <v>2984</v>
      </c>
    </row>
    <row r="157" spans="1:8" ht="17.25" customHeight="1" x14ac:dyDescent="0.25">
      <c r="A157" t="s">
        <v>2462</v>
      </c>
      <c r="B157" t="s">
        <v>100</v>
      </c>
      <c r="C157" t="s">
        <v>58</v>
      </c>
      <c r="D157" s="19">
        <v>27061</v>
      </c>
      <c r="E157" s="19"/>
      <c r="F157" s="20">
        <v>42</v>
      </c>
      <c r="G157" t="s">
        <v>2904</v>
      </c>
    </row>
    <row r="158" spans="1:8" ht="17.25" customHeight="1" x14ac:dyDescent="0.25">
      <c r="A158" t="s">
        <v>2498</v>
      </c>
      <c r="B158" t="s">
        <v>2499</v>
      </c>
      <c r="D158" s="19">
        <v>39845</v>
      </c>
      <c r="E158" s="19"/>
      <c r="F158" s="20">
        <v>69</v>
      </c>
      <c r="H158" t="s">
        <v>3024</v>
      </c>
    </row>
    <row r="159" spans="1:8" x14ac:dyDescent="0.25">
      <c r="A159" t="s">
        <v>2648</v>
      </c>
      <c r="B159" t="s">
        <v>116</v>
      </c>
      <c r="C159" t="s">
        <v>599</v>
      </c>
      <c r="D159" s="19">
        <v>38534</v>
      </c>
      <c r="E159" s="19"/>
      <c r="F159" s="20">
        <v>81</v>
      </c>
      <c r="G159" t="s">
        <v>3368</v>
      </c>
    </row>
    <row r="160" spans="1:8" x14ac:dyDescent="0.25">
      <c r="A160" t="s">
        <v>2726</v>
      </c>
      <c r="B160" t="s">
        <v>163</v>
      </c>
      <c r="C160" t="s">
        <v>463</v>
      </c>
      <c r="D160" s="19">
        <v>42156</v>
      </c>
      <c r="E160" s="19"/>
      <c r="F160" s="20">
        <v>82</v>
      </c>
    </row>
    <row r="161" spans="1:8" x14ac:dyDescent="0.25">
      <c r="A161" t="s">
        <v>2757</v>
      </c>
      <c r="B161" t="s">
        <v>1680</v>
      </c>
      <c r="C161" t="s">
        <v>58</v>
      </c>
      <c r="D161" s="19">
        <v>37438</v>
      </c>
      <c r="E161" s="19"/>
      <c r="F161" s="20">
        <v>69</v>
      </c>
    </row>
    <row r="162" spans="1:8" x14ac:dyDescent="0.25">
      <c r="A162" t="s">
        <v>2775</v>
      </c>
      <c r="B162" t="s">
        <v>2980</v>
      </c>
      <c r="C162" t="s">
        <v>103</v>
      </c>
      <c r="D162" s="19">
        <v>42856</v>
      </c>
      <c r="E162" s="19"/>
      <c r="F162" s="20">
        <v>85</v>
      </c>
    </row>
    <row r="163" spans="1:8" x14ac:dyDescent="0.25">
      <c r="A163" t="s">
        <v>2780</v>
      </c>
      <c r="B163" t="s">
        <v>551</v>
      </c>
      <c r="C163" t="s">
        <v>53</v>
      </c>
      <c r="D163" s="19">
        <v>31017</v>
      </c>
      <c r="E163" s="19"/>
      <c r="F163" s="20">
        <v>51</v>
      </c>
      <c r="H163" t="s">
        <v>3014</v>
      </c>
    </row>
    <row r="164" spans="1:8" x14ac:dyDescent="0.25">
      <c r="A164" t="s">
        <v>2789</v>
      </c>
      <c r="B164" t="s">
        <v>2790</v>
      </c>
      <c r="D164" s="19">
        <v>34943</v>
      </c>
      <c r="E164" s="19"/>
      <c r="F164" s="20">
        <v>54</v>
      </c>
      <c r="G164" t="s">
        <v>3064</v>
      </c>
    </row>
    <row r="165" spans="1:8" x14ac:dyDescent="0.25">
      <c r="A165" t="s">
        <v>2796</v>
      </c>
      <c r="B165" t="s">
        <v>2797</v>
      </c>
      <c r="D165" s="19">
        <v>43070</v>
      </c>
      <c r="E165" s="19"/>
      <c r="F165" s="20">
        <v>90</v>
      </c>
      <c r="H165" t="s">
        <v>2992</v>
      </c>
    </row>
    <row r="166" spans="1:8" x14ac:dyDescent="0.25">
      <c r="A166" t="s">
        <v>154</v>
      </c>
      <c r="B166" t="s">
        <v>148</v>
      </c>
      <c r="C166" t="s">
        <v>63</v>
      </c>
      <c r="D166" s="19">
        <v>40422</v>
      </c>
      <c r="E166" s="19"/>
      <c r="F166" s="20">
        <v>86</v>
      </c>
    </row>
    <row r="167" spans="1:8" x14ac:dyDescent="0.25">
      <c r="A167" t="s">
        <v>2855</v>
      </c>
      <c r="B167" t="s">
        <v>140</v>
      </c>
      <c r="D167" s="19">
        <v>39722</v>
      </c>
      <c r="E167" s="19"/>
      <c r="F167" s="20">
        <v>61</v>
      </c>
      <c r="G167" t="s">
        <v>3064</v>
      </c>
    </row>
    <row r="168" spans="1:8" x14ac:dyDescent="0.25">
      <c r="A168" t="s">
        <v>2853</v>
      </c>
      <c r="B168" t="s">
        <v>1459</v>
      </c>
      <c r="C168" t="s">
        <v>67</v>
      </c>
      <c r="D168" s="19">
        <v>42675</v>
      </c>
      <c r="E168" s="19"/>
      <c r="F168" s="20">
        <v>85</v>
      </c>
      <c r="G168" t="s">
        <v>3369</v>
      </c>
    </row>
    <row r="169" spans="1:8" x14ac:dyDescent="0.25">
      <c r="A169" t="s">
        <v>2874</v>
      </c>
      <c r="B169" t="s">
        <v>397</v>
      </c>
      <c r="C169" t="s">
        <v>182</v>
      </c>
      <c r="D169" s="19">
        <v>35674</v>
      </c>
      <c r="F169" s="20">
        <v>67</v>
      </c>
      <c r="H169" t="s">
        <v>3024</v>
      </c>
    </row>
    <row r="170" spans="1:8" x14ac:dyDescent="0.25">
      <c r="A170" t="s">
        <v>204</v>
      </c>
      <c r="B170" t="s">
        <v>77</v>
      </c>
      <c r="C170" t="s">
        <v>53</v>
      </c>
      <c r="D170" s="19">
        <v>40087</v>
      </c>
      <c r="F170" s="20">
        <v>73</v>
      </c>
      <c r="H170" t="s">
        <v>2992</v>
      </c>
    </row>
    <row r="171" spans="1:8" x14ac:dyDescent="0.25">
      <c r="A171" t="s">
        <v>3065</v>
      </c>
      <c r="B171" t="s">
        <v>733</v>
      </c>
      <c r="C171" t="s">
        <v>244</v>
      </c>
      <c r="D171" s="19">
        <v>31564</v>
      </c>
      <c r="F171" s="20">
        <v>39</v>
      </c>
      <c r="G171" t="s">
        <v>3066</v>
      </c>
    </row>
    <row r="172" spans="1:8" x14ac:dyDescent="0.25">
      <c r="A172" t="s">
        <v>2959</v>
      </c>
      <c r="B172" t="s">
        <v>1003</v>
      </c>
      <c r="C172" t="s">
        <v>72</v>
      </c>
      <c r="D172" s="19">
        <v>42186</v>
      </c>
      <c r="F172" s="20">
        <v>85</v>
      </c>
      <c r="H172" t="s">
        <v>2992</v>
      </c>
    </row>
    <row r="173" spans="1:8" x14ac:dyDescent="0.25">
      <c r="A173" t="s">
        <v>1617</v>
      </c>
      <c r="B173" t="s">
        <v>885</v>
      </c>
      <c r="C173" t="s">
        <v>53</v>
      </c>
      <c r="D173" s="19">
        <v>32143</v>
      </c>
      <c r="F173" s="20">
        <v>55</v>
      </c>
      <c r="H173" t="s">
        <v>3024</v>
      </c>
    </row>
    <row r="174" spans="1:8" x14ac:dyDescent="0.25">
      <c r="A174" t="s">
        <v>2967</v>
      </c>
      <c r="B174" t="s">
        <v>226</v>
      </c>
      <c r="C174" t="s">
        <v>63</v>
      </c>
      <c r="D174" s="19">
        <v>40057</v>
      </c>
      <c r="F174" s="20">
        <v>86</v>
      </c>
      <c r="H174" t="s">
        <v>2992</v>
      </c>
    </row>
    <row r="175" spans="1:8" x14ac:dyDescent="0.25">
      <c r="A175" t="s">
        <v>3041</v>
      </c>
      <c r="B175" t="s">
        <v>3042</v>
      </c>
      <c r="C175" t="s">
        <v>463</v>
      </c>
      <c r="D175" s="19">
        <v>41760</v>
      </c>
      <c r="F175" s="20">
        <v>69</v>
      </c>
      <c r="H175" t="s">
        <v>2992</v>
      </c>
    </row>
    <row r="176" spans="1:8" x14ac:dyDescent="0.25">
      <c r="A176" t="s">
        <v>3045</v>
      </c>
      <c r="B176" t="s">
        <v>2319</v>
      </c>
      <c r="C176" t="s">
        <v>17</v>
      </c>
      <c r="D176" s="19">
        <v>42248</v>
      </c>
      <c r="F176" s="20">
        <v>83</v>
      </c>
      <c r="H176" t="s">
        <v>2992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G1" sqref="A1:O1"/>
    </sheetView>
  </sheetViews>
  <sheetFormatPr defaultRowHeight="15" x14ac:dyDescent="0.25"/>
  <cols>
    <col min="1" max="1" width="16.28515625" customWidth="1"/>
    <col min="2" max="2" width="14.42578125" customWidth="1"/>
    <col min="4" max="4" width="12.140625" bestFit="1" customWidth="1"/>
    <col min="5" max="5" width="24.140625" customWidth="1"/>
    <col min="6" max="6" width="19.85546875" customWidth="1"/>
    <col min="7" max="7" width="16.28515625" bestFit="1" customWidth="1"/>
    <col min="8" max="8" width="14.7109375" bestFit="1" customWidth="1"/>
    <col min="9" max="9" width="9.85546875" bestFit="1" customWidth="1"/>
    <col min="11" max="11" width="15.28515625" customWidth="1"/>
    <col min="13" max="13" width="46.28515625" style="1" customWidth="1"/>
    <col min="14" max="14" width="14.140625" bestFit="1" customWidth="1"/>
    <col min="15" max="15" width="25.140625" bestFit="1" customWidth="1"/>
  </cols>
  <sheetData>
    <row r="1" spans="1:15" ht="20.25" customHeight="1" x14ac:dyDescent="0.25">
      <c r="A1" s="1" t="s">
        <v>0</v>
      </c>
      <c r="B1" s="1" t="s">
        <v>1</v>
      </c>
      <c r="C1" s="1" t="s">
        <v>2</v>
      </c>
      <c r="D1" s="1" t="s">
        <v>94</v>
      </c>
      <c r="E1" s="1" t="s">
        <v>11</v>
      </c>
      <c r="F1" s="1" t="s">
        <v>3</v>
      </c>
      <c r="G1" s="1" t="s">
        <v>3229</v>
      </c>
      <c r="H1" s="1" t="s">
        <v>10</v>
      </c>
      <c r="I1" s="1" t="s">
        <v>12</v>
      </c>
      <c r="J1" s="1" t="s">
        <v>7</v>
      </c>
      <c r="K1" s="1" t="s">
        <v>21</v>
      </c>
      <c r="L1" s="1" t="s">
        <v>23</v>
      </c>
      <c r="M1" s="1" t="s">
        <v>39</v>
      </c>
      <c r="N1" s="1" t="s">
        <v>1065</v>
      </c>
      <c r="O1" s="1" t="s">
        <v>1486</v>
      </c>
    </row>
    <row r="2" spans="1:15" ht="42" customHeight="1" x14ac:dyDescent="0.25">
      <c r="A2" s="24" t="s">
        <v>528</v>
      </c>
      <c r="B2" t="s">
        <v>534</v>
      </c>
      <c r="C2" t="s">
        <v>17</v>
      </c>
      <c r="D2" s="1" t="s">
        <v>101</v>
      </c>
      <c r="E2" s="1" t="s">
        <v>3096</v>
      </c>
      <c r="F2" s="1" t="s">
        <v>6</v>
      </c>
      <c r="G2" s="1" t="s">
        <v>9</v>
      </c>
      <c r="I2">
        <f>42+121+75</f>
        <v>238</v>
      </c>
      <c r="K2" s="1" t="s">
        <v>3137</v>
      </c>
      <c r="M2" s="1" t="s">
        <v>3138</v>
      </c>
    </row>
    <row r="3" spans="1:15" ht="45" x14ac:dyDescent="0.25">
      <c r="A3" s="35" t="s">
        <v>2181</v>
      </c>
      <c r="B3" t="s">
        <v>749</v>
      </c>
      <c r="C3" t="s">
        <v>192</v>
      </c>
      <c r="D3" s="1" t="s">
        <v>553</v>
      </c>
      <c r="E3" s="1" t="s">
        <v>2182</v>
      </c>
      <c r="F3" s="1" t="s">
        <v>6</v>
      </c>
      <c r="G3" s="1" t="s">
        <v>20</v>
      </c>
      <c r="I3">
        <f>42+121+75</f>
        <v>238</v>
      </c>
      <c r="K3" s="1" t="s">
        <v>3137</v>
      </c>
      <c r="M3" s="1" t="s">
        <v>3138</v>
      </c>
    </row>
    <row r="4" spans="1:15" ht="45" x14ac:dyDescent="0.25">
      <c r="A4" s="35" t="s">
        <v>1872</v>
      </c>
      <c r="B4" t="s">
        <v>226</v>
      </c>
      <c r="C4" t="s">
        <v>412</v>
      </c>
      <c r="D4" s="1" t="s">
        <v>703</v>
      </c>
      <c r="E4" s="1" t="s">
        <v>1873</v>
      </c>
      <c r="F4" s="1" t="s">
        <v>6</v>
      </c>
      <c r="G4" s="1" t="s">
        <v>20</v>
      </c>
      <c r="I4">
        <f>42+121+75</f>
        <v>238</v>
      </c>
      <c r="K4" s="1" t="s">
        <v>3137</v>
      </c>
      <c r="M4" s="1" t="s">
        <v>3138</v>
      </c>
    </row>
    <row r="5" spans="1:15" x14ac:dyDescent="0.25">
      <c r="A5" t="s">
        <v>722</v>
      </c>
      <c r="B5" t="s">
        <v>580</v>
      </c>
      <c r="C5" t="s">
        <v>192</v>
      </c>
      <c r="D5" t="s">
        <v>201</v>
      </c>
      <c r="E5" s="1" t="s">
        <v>724</v>
      </c>
      <c r="F5" s="1" t="s">
        <v>6</v>
      </c>
      <c r="G5" s="1" t="s">
        <v>222</v>
      </c>
      <c r="H5" s="31">
        <v>25218</v>
      </c>
      <c r="I5">
        <v>14</v>
      </c>
      <c r="K5" t="s">
        <v>3097</v>
      </c>
      <c r="M5" s="1" t="s">
        <v>3098</v>
      </c>
    </row>
    <row r="6" spans="1:15" x14ac:dyDescent="0.25">
      <c r="A6" t="s">
        <v>1277</v>
      </c>
      <c r="B6" t="s">
        <v>1278</v>
      </c>
      <c r="C6" t="s">
        <v>123</v>
      </c>
      <c r="D6" s="1" t="s">
        <v>201</v>
      </c>
      <c r="E6" s="1" t="s">
        <v>1279</v>
      </c>
      <c r="F6" s="1" t="s">
        <v>6</v>
      </c>
      <c r="G6" s="1" t="s">
        <v>222</v>
      </c>
      <c r="H6" s="31">
        <v>25218</v>
      </c>
      <c r="I6">
        <v>5</v>
      </c>
      <c r="K6" t="s">
        <v>3099</v>
      </c>
      <c r="M6" s="1" t="s">
        <v>3098</v>
      </c>
    </row>
    <row r="7" spans="1:15" x14ac:dyDescent="0.25">
      <c r="A7" t="s">
        <v>867</v>
      </c>
      <c r="B7" t="s">
        <v>868</v>
      </c>
      <c r="C7" t="s">
        <v>17</v>
      </c>
      <c r="D7" s="1" t="s">
        <v>869</v>
      </c>
      <c r="E7" s="1" t="s">
        <v>724</v>
      </c>
      <c r="F7" s="1" t="s">
        <v>6</v>
      </c>
      <c r="G7" s="1" t="s">
        <v>222</v>
      </c>
      <c r="H7" s="31">
        <v>25228</v>
      </c>
      <c r="I7">
        <v>12</v>
      </c>
      <c r="K7" t="s">
        <v>3101</v>
      </c>
      <c r="M7" s="1" t="s">
        <v>3100</v>
      </c>
    </row>
    <row r="8" spans="1:15" x14ac:dyDescent="0.25">
      <c r="A8" t="s">
        <v>1894</v>
      </c>
      <c r="B8" t="s">
        <v>616</v>
      </c>
      <c r="C8" t="s">
        <v>63</v>
      </c>
      <c r="D8" s="1" t="s">
        <v>270</v>
      </c>
      <c r="E8" s="1" t="s">
        <v>724</v>
      </c>
      <c r="F8" s="1" t="s">
        <v>6</v>
      </c>
      <c r="G8" s="1" t="s">
        <v>222</v>
      </c>
      <c r="H8" s="31">
        <v>25227</v>
      </c>
      <c r="I8">
        <v>5</v>
      </c>
      <c r="K8" t="s">
        <v>3102</v>
      </c>
      <c r="M8" s="1" t="s">
        <v>3103</v>
      </c>
    </row>
    <row r="9" spans="1:15" ht="45" x14ac:dyDescent="0.25">
      <c r="A9" s="24" t="s">
        <v>3104</v>
      </c>
      <c r="B9" t="s">
        <v>100</v>
      </c>
      <c r="C9" t="s">
        <v>123</v>
      </c>
      <c r="D9" s="1" t="s">
        <v>703</v>
      </c>
      <c r="E9" s="1" t="s">
        <v>1166</v>
      </c>
      <c r="F9" s="1" t="s">
        <v>6</v>
      </c>
      <c r="G9" s="1" t="s">
        <v>20</v>
      </c>
      <c r="I9">
        <f>65+57+69</f>
        <v>191</v>
      </c>
      <c r="K9" s="1" t="s">
        <v>3139</v>
      </c>
      <c r="M9" s="1" t="s">
        <v>3142</v>
      </c>
    </row>
    <row r="10" spans="1:15" ht="45" x14ac:dyDescent="0.25">
      <c r="A10" s="35" t="s">
        <v>1343</v>
      </c>
      <c r="B10" t="s">
        <v>134</v>
      </c>
      <c r="C10" t="s">
        <v>599</v>
      </c>
      <c r="D10" s="1" t="s">
        <v>1344</v>
      </c>
      <c r="E10" s="1" t="s">
        <v>1345</v>
      </c>
      <c r="F10" s="1" t="s">
        <v>6</v>
      </c>
      <c r="G10" s="1" t="s">
        <v>20</v>
      </c>
      <c r="I10">
        <f>65+57+68</f>
        <v>190</v>
      </c>
      <c r="K10" s="1" t="s">
        <v>3140</v>
      </c>
      <c r="M10" s="1" t="s">
        <v>3142</v>
      </c>
    </row>
    <row r="11" spans="1:15" ht="57.75" customHeight="1" x14ac:dyDescent="0.25">
      <c r="A11" s="35" t="s">
        <v>2435</v>
      </c>
      <c r="B11" t="s">
        <v>2436</v>
      </c>
      <c r="C11" t="s">
        <v>32</v>
      </c>
      <c r="D11" s="1" t="s">
        <v>348</v>
      </c>
      <c r="E11" s="1" t="s">
        <v>2437</v>
      </c>
      <c r="F11" s="1" t="s">
        <v>6</v>
      </c>
      <c r="G11" s="1" t="s">
        <v>9</v>
      </c>
      <c r="I11">
        <f>65+57+87+8+86</f>
        <v>303</v>
      </c>
      <c r="K11" s="1" t="s">
        <v>3141</v>
      </c>
      <c r="M11" s="1" t="s">
        <v>3143</v>
      </c>
    </row>
    <row r="12" spans="1:15" x14ac:dyDescent="0.25">
      <c r="A12" t="s">
        <v>2685</v>
      </c>
      <c r="B12" t="s">
        <v>534</v>
      </c>
      <c r="C12" t="s">
        <v>192</v>
      </c>
      <c r="D12" s="1" t="s">
        <v>276</v>
      </c>
      <c r="E12" s="1" t="s">
        <v>2686</v>
      </c>
      <c r="F12" s="1" t="s">
        <v>6</v>
      </c>
      <c r="G12" s="1" t="s">
        <v>215</v>
      </c>
      <c r="H12" s="31">
        <v>25828</v>
      </c>
      <c r="I12">
        <v>40</v>
      </c>
      <c r="K12" t="s">
        <v>3105</v>
      </c>
      <c r="M12" s="1" t="s">
        <v>3106</v>
      </c>
    </row>
    <row r="13" spans="1:15" ht="45" x14ac:dyDescent="0.25">
      <c r="A13" t="s">
        <v>2470</v>
      </c>
      <c r="B13" t="s">
        <v>77</v>
      </c>
      <c r="C13" t="s">
        <v>26</v>
      </c>
      <c r="D13" s="1" t="s">
        <v>227</v>
      </c>
      <c r="E13" s="1" t="s">
        <v>2510</v>
      </c>
      <c r="F13" s="1" t="s">
        <v>6</v>
      </c>
      <c r="G13" s="1" t="s">
        <v>222</v>
      </c>
      <c r="H13" s="32">
        <v>26224</v>
      </c>
      <c r="I13" s="24">
        <f>79+9+30</f>
        <v>118</v>
      </c>
      <c r="J13" s="24"/>
      <c r="K13" s="1" t="s">
        <v>3107</v>
      </c>
      <c r="M13" s="1" t="s">
        <v>3108</v>
      </c>
    </row>
    <row r="14" spans="1:15" x14ac:dyDescent="0.25">
      <c r="A14" t="s">
        <v>1540</v>
      </c>
      <c r="B14" t="s">
        <v>100</v>
      </c>
      <c r="C14" t="s">
        <v>72</v>
      </c>
      <c r="D14" s="17" t="s">
        <v>726</v>
      </c>
      <c r="E14" s="17" t="s">
        <v>1124</v>
      </c>
      <c r="F14" s="17" t="s">
        <v>6</v>
      </c>
      <c r="G14" s="1" t="s">
        <v>222</v>
      </c>
      <c r="H14" s="31">
        <v>24891</v>
      </c>
      <c r="I14">
        <v>47</v>
      </c>
      <c r="K14" t="s">
        <v>3117</v>
      </c>
      <c r="M14" s="1" t="s">
        <v>3115</v>
      </c>
    </row>
    <row r="15" spans="1:15" x14ac:dyDescent="0.25">
      <c r="A15" t="s">
        <v>1123</v>
      </c>
      <c r="B15" t="s">
        <v>635</v>
      </c>
      <c r="C15" t="s">
        <v>67</v>
      </c>
      <c r="D15" s="17" t="s">
        <v>726</v>
      </c>
      <c r="E15" s="17" t="s">
        <v>1124</v>
      </c>
      <c r="F15" s="17" t="s">
        <v>6</v>
      </c>
      <c r="G15" s="17" t="s">
        <v>222</v>
      </c>
      <c r="H15" s="31">
        <v>24891</v>
      </c>
      <c r="I15">
        <v>29</v>
      </c>
      <c r="K15" t="s">
        <v>3117</v>
      </c>
      <c r="M15" s="1" t="s">
        <v>3116</v>
      </c>
    </row>
    <row r="16" spans="1:15" ht="30" x14ac:dyDescent="0.25">
      <c r="A16" t="s">
        <v>1014</v>
      </c>
      <c r="B16" t="s">
        <v>635</v>
      </c>
      <c r="C16" t="s">
        <v>103</v>
      </c>
      <c r="D16" s="1" t="s">
        <v>857</v>
      </c>
      <c r="E16" s="1" t="s">
        <v>1015</v>
      </c>
      <c r="F16" s="1" t="s">
        <v>3135</v>
      </c>
      <c r="G16" s="1" t="s">
        <v>9</v>
      </c>
      <c r="H16" s="31">
        <v>26596</v>
      </c>
      <c r="I16">
        <v>15</v>
      </c>
      <c r="K16" t="s">
        <v>3118</v>
      </c>
      <c r="M16" s="1" t="s">
        <v>3136</v>
      </c>
    </row>
    <row r="17" spans="1:13" ht="30" x14ac:dyDescent="0.25">
      <c r="A17" s="30" t="s">
        <v>1194</v>
      </c>
      <c r="B17" t="s">
        <v>1195</v>
      </c>
      <c r="C17" t="s">
        <v>32</v>
      </c>
      <c r="D17" s="1" t="s">
        <v>703</v>
      </c>
      <c r="E17" s="1" t="s">
        <v>1196</v>
      </c>
      <c r="F17" s="1" t="s">
        <v>3135</v>
      </c>
      <c r="G17" s="1" t="s">
        <v>20</v>
      </c>
      <c r="H17" s="31">
        <v>26596</v>
      </c>
      <c r="I17">
        <v>15</v>
      </c>
      <c r="K17" t="s">
        <v>3118</v>
      </c>
      <c r="M17" s="1" t="s">
        <v>3136</v>
      </c>
    </row>
    <row r="18" spans="1:13" ht="30" x14ac:dyDescent="0.25">
      <c r="A18" s="30" t="s">
        <v>163</v>
      </c>
      <c r="B18" t="s">
        <v>749</v>
      </c>
      <c r="C18" t="s">
        <v>67</v>
      </c>
      <c r="D18" s="1" t="s">
        <v>703</v>
      </c>
      <c r="E18" s="1" t="s">
        <v>750</v>
      </c>
      <c r="F18" s="1" t="s">
        <v>3135</v>
      </c>
      <c r="G18" s="1" t="s">
        <v>20</v>
      </c>
      <c r="H18" s="31">
        <v>26596</v>
      </c>
      <c r="I18">
        <v>15</v>
      </c>
      <c r="K18" t="s">
        <v>3118</v>
      </c>
      <c r="M18" s="1" t="s">
        <v>3136</v>
      </c>
    </row>
    <row r="19" spans="1:13" x14ac:dyDescent="0.25">
      <c r="A19" t="s">
        <v>1724</v>
      </c>
      <c r="B19" t="s">
        <v>541</v>
      </c>
      <c r="C19" t="s">
        <v>58</v>
      </c>
      <c r="D19" s="1" t="s">
        <v>201</v>
      </c>
      <c r="E19" s="1" t="s">
        <v>1725</v>
      </c>
      <c r="F19" t="s">
        <v>6</v>
      </c>
      <c r="G19" s="1" t="s">
        <v>222</v>
      </c>
      <c r="H19" s="10" t="s">
        <v>3134</v>
      </c>
      <c r="I19">
        <v>50</v>
      </c>
      <c r="K19" t="s">
        <v>3119</v>
      </c>
    </row>
    <row r="20" spans="1:13" x14ac:dyDescent="0.25">
      <c r="A20" s="30" t="s">
        <v>2768</v>
      </c>
      <c r="B20" t="s">
        <v>981</v>
      </c>
      <c r="C20" t="s">
        <v>67</v>
      </c>
      <c r="D20" s="1" t="s">
        <v>849</v>
      </c>
      <c r="E20" s="1" t="s">
        <v>1725</v>
      </c>
      <c r="F20" t="s">
        <v>6</v>
      </c>
      <c r="G20" s="1" t="s">
        <v>222</v>
      </c>
      <c r="H20" s="34">
        <v>25001</v>
      </c>
      <c r="I20">
        <v>50</v>
      </c>
      <c r="K20" t="s">
        <v>3119</v>
      </c>
    </row>
    <row r="21" spans="1:13" ht="30.75" customHeight="1" x14ac:dyDescent="0.25">
      <c r="A21" s="33" t="s">
        <v>443</v>
      </c>
      <c r="B21" t="s">
        <v>777</v>
      </c>
      <c r="C21" t="s">
        <v>72</v>
      </c>
      <c r="D21" s="1" t="s">
        <v>227</v>
      </c>
      <c r="E21" s="1" t="s">
        <v>1882</v>
      </c>
      <c r="F21" s="17" t="s">
        <v>3132</v>
      </c>
      <c r="G21" s="1" t="s">
        <v>222</v>
      </c>
      <c r="H21" s="10" t="s">
        <v>3133</v>
      </c>
      <c r="I21">
        <v>340</v>
      </c>
      <c r="K21" s="1" t="s">
        <v>3120</v>
      </c>
    </row>
    <row r="22" spans="1:13" ht="30" x14ac:dyDescent="0.25">
      <c r="A22" s="33" t="s">
        <v>1881</v>
      </c>
      <c r="B22" t="s">
        <v>840</v>
      </c>
      <c r="C22" t="s">
        <v>17</v>
      </c>
      <c r="D22" s="1" t="s">
        <v>227</v>
      </c>
      <c r="E22" s="1" t="s">
        <v>1882</v>
      </c>
      <c r="F22" s="17" t="s">
        <v>3132</v>
      </c>
      <c r="G22" s="1" t="s">
        <v>222</v>
      </c>
      <c r="H22" s="10" t="s">
        <v>3133</v>
      </c>
      <c r="I22">
        <v>340</v>
      </c>
      <c r="K22" s="1" t="s">
        <v>3120</v>
      </c>
    </row>
    <row r="23" spans="1:13" ht="30" x14ac:dyDescent="0.25">
      <c r="A23" t="s">
        <v>692</v>
      </c>
      <c r="B23" t="s">
        <v>3121</v>
      </c>
      <c r="D23" s="1" t="s">
        <v>245</v>
      </c>
      <c r="E23" s="24" t="s">
        <v>694</v>
      </c>
      <c r="F23" s="24" t="s">
        <v>3131</v>
      </c>
      <c r="G23" s="1" t="s">
        <v>222</v>
      </c>
      <c r="H23" s="31">
        <v>24236</v>
      </c>
      <c r="I23">
        <v>340</v>
      </c>
      <c r="K23" t="s">
        <v>3128</v>
      </c>
      <c r="M23" s="1" t="s">
        <v>3130</v>
      </c>
    </row>
    <row r="24" spans="1:13" x14ac:dyDescent="0.25">
      <c r="A24" t="s">
        <v>111</v>
      </c>
      <c r="B24" t="s">
        <v>635</v>
      </c>
      <c r="C24" t="s">
        <v>113</v>
      </c>
      <c r="D24" s="1" t="s">
        <v>1511</v>
      </c>
      <c r="E24" s="1" t="s">
        <v>1512</v>
      </c>
      <c r="F24" s="24" t="s">
        <v>3126</v>
      </c>
      <c r="G24" s="1" t="s">
        <v>222</v>
      </c>
      <c r="H24" s="31">
        <v>24895</v>
      </c>
      <c r="I24">
        <v>36</v>
      </c>
      <c r="K24" t="s">
        <v>3127</v>
      </c>
      <c r="M24" s="1" t="s">
        <v>3129</v>
      </c>
    </row>
    <row r="25" spans="1:13" x14ac:dyDescent="0.25">
      <c r="A25" s="30" t="s">
        <v>1468</v>
      </c>
      <c r="B25" t="s">
        <v>116</v>
      </c>
      <c r="C25" t="s">
        <v>72</v>
      </c>
      <c r="D25" s="1" t="s">
        <v>227</v>
      </c>
      <c r="E25" s="1" t="s">
        <v>1470</v>
      </c>
      <c r="F25" s="24" t="s">
        <v>3126</v>
      </c>
      <c r="G25" s="1" t="s">
        <v>222</v>
      </c>
      <c r="H25" s="31">
        <v>24895</v>
      </c>
      <c r="I25">
        <v>36</v>
      </c>
      <c r="K25" t="s">
        <v>3127</v>
      </c>
      <c r="M25" s="1" t="s">
        <v>3129</v>
      </c>
    </row>
    <row r="26" spans="1:13" x14ac:dyDescent="0.25">
      <c r="A26" s="30" t="s">
        <v>2242</v>
      </c>
      <c r="B26" t="s">
        <v>968</v>
      </c>
      <c r="C26" t="s">
        <v>32</v>
      </c>
      <c r="D26" s="1" t="s">
        <v>2243</v>
      </c>
      <c r="E26" s="1" t="s">
        <v>2252</v>
      </c>
      <c r="F26" s="24" t="s">
        <v>3126</v>
      </c>
      <c r="G26" s="1" t="s">
        <v>222</v>
      </c>
      <c r="H26" s="31">
        <v>24895</v>
      </c>
      <c r="I26">
        <v>36</v>
      </c>
      <c r="K26" t="s">
        <v>3127</v>
      </c>
      <c r="M26" s="1" t="s">
        <v>3129</v>
      </c>
    </row>
    <row r="27" spans="1:13" x14ac:dyDescent="0.25">
      <c r="A27" t="s">
        <v>2929</v>
      </c>
      <c r="B27" t="s">
        <v>100</v>
      </c>
      <c r="C27" t="s">
        <v>244</v>
      </c>
      <c r="D27" s="1" t="s">
        <v>990</v>
      </c>
      <c r="E27" s="1" t="s">
        <v>3124</v>
      </c>
      <c r="F27" t="s">
        <v>3123</v>
      </c>
      <c r="G27" s="1" t="s">
        <v>222</v>
      </c>
      <c r="H27" s="31">
        <v>26766</v>
      </c>
      <c r="I27">
        <v>21</v>
      </c>
      <c r="K27" t="s">
        <v>3122</v>
      </c>
    </row>
    <row r="28" spans="1:13" x14ac:dyDescent="0.25">
      <c r="A28" s="30" t="s">
        <v>2312</v>
      </c>
      <c r="B28" t="s">
        <v>397</v>
      </c>
      <c r="C28" t="s">
        <v>58</v>
      </c>
      <c r="D28" s="1" t="s">
        <v>245</v>
      </c>
      <c r="E28" s="1" t="s">
        <v>3125</v>
      </c>
      <c r="F28" t="s">
        <v>3123</v>
      </c>
      <c r="G28" s="1" t="s">
        <v>222</v>
      </c>
      <c r="H28" s="31">
        <v>26766</v>
      </c>
      <c r="I28">
        <v>21</v>
      </c>
      <c r="K28" t="s">
        <v>3122</v>
      </c>
    </row>
    <row r="29" spans="1:13" x14ac:dyDescent="0.25">
      <c r="A29" s="30"/>
    </row>
    <row r="30" spans="1:13" s="1" customFormat="1" ht="28.5" customHeight="1" x14ac:dyDescent="0.25">
      <c r="A30" s="38" t="s">
        <v>3109</v>
      </c>
      <c r="B30" s="38"/>
      <c r="C30" s="38"/>
      <c r="E30" s="1" t="s">
        <v>3114</v>
      </c>
      <c r="H30" s="4">
        <v>26770</v>
      </c>
      <c r="I30" s="1">
        <v>97</v>
      </c>
      <c r="K30" s="1" t="s">
        <v>3112</v>
      </c>
      <c r="M30" s="1" t="s">
        <v>3113</v>
      </c>
    </row>
    <row r="31" spans="1:13" x14ac:dyDescent="0.25">
      <c r="A31" s="30" t="s">
        <v>3110</v>
      </c>
      <c r="B31" t="s">
        <v>3111</v>
      </c>
    </row>
  </sheetData>
  <mergeCells count="1">
    <mergeCell ref="A30:C30"/>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Civilians</vt:lpstr>
      <vt:lpstr>Military</vt:lpstr>
      <vt:lpstr>POWNumbers</vt:lpstr>
      <vt:lpstr>Deceased</vt:lpstr>
      <vt:lpstr>Early Release-Multidebriefs</vt:lpstr>
    </vt:vector>
  </TitlesOfParts>
  <Company>U.S. Department of Defense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Noctor Courtney CTR JPRA/J13</dc:creator>
  <cp:lastModifiedBy>Crespo Anthony A CTR JPRA/J2</cp:lastModifiedBy>
  <cp:lastPrinted>2017-08-02T13:45:15Z</cp:lastPrinted>
  <dcterms:created xsi:type="dcterms:W3CDTF">2017-04-27T17:42:07Z</dcterms:created>
  <dcterms:modified xsi:type="dcterms:W3CDTF">2018-07-18T19:45:18Z</dcterms:modified>
</cp:coreProperties>
</file>